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A9B9508-B74C-4880-9FC0-12F5DAA64DC0}" xr6:coauthVersionLast="47" xr6:coauthVersionMax="47" xr10:uidLastSave="{00000000-0000-0000-0000-000000000000}"/>
  <bookViews>
    <workbookView xWindow="-26460" yWindow="1155" windowWidth="17280" windowHeight="8970" tabRatio="82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externalReferences>
    <externalReference r:id="rId19"/>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34" i="3" l="1"/>
  <c r="C74" i="4" l="1"/>
  <c r="C9" i="4"/>
  <c r="E90" i="25" l="1"/>
  <c r="D90" i="25"/>
  <c r="E4" i="10"/>
  <c r="E45" i="25"/>
  <c r="E44" i="25"/>
  <c r="E43" i="25"/>
  <c r="E42" i="25"/>
  <c r="S86" i="4"/>
  <c r="S52" i="4" l="1"/>
  <c r="S41" i="4"/>
  <c r="S30" i="4"/>
  <c r="S31" i="4"/>
  <c r="S32" i="4"/>
  <c r="S33" i="4"/>
  <c r="S34" i="4"/>
  <c r="S35" i="4"/>
  <c r="S36" i="4"/>
  <c r="S37" i="4"/>
  <c r="S29" i="4"/>
  <c r="S27" i="4"/>
  <c r="S25" i="4"/>
  <c r="E102" i="4" l="1"/>
  <c r="E101" i="4"/>
  <c r="E100" i="4"/>
  <c r="E94" i="4"/>
  <c r="E93" i="4"/>
  <c r="E90" i="4"/>
  <c r="E86" i="4"/>
  <c r="E72" i="4"/>
  <c r="E71" i="4"/>
  <c r="E67" i="4"/>
  <c r="E66" i="4"/>
  <c r="E65" i="4"/>
  <c r="E59" i="4"/>
  <c r="E58" i="4"/>
  <c r="E56" i="4"/>
  <c r="E55" i="4"/>
  <c r="E52" i="4"/>
  <c r="E48" i="4"/>
  <c r="E47" i="4"/>
  <c r="E41" i="4"/>
  <c r="E37" i="4"/>
  <c r="E36" i="4"/>
  <c r="E35" i="4"/>
  <c r="E34" i="4"/>
  <c r="E33" i="4"/>
  <c r="E32" i="4"/>
  <c r="E31" i="4"/>
  <c r="E30" i="4"/>
  <c r="E29" i="4"/>
  <c r="E27" i="4"/>
  <c r="E25" i="4"/>
  <c r="E15" i="4"/>
  <c r="E14" i="4"/>
  <c r="E13" i="4"/>
  <c r="E10" i="4"/>
  <c r="E7" i="4"/>
  <c r="E5" i="4"/>
  <c r="E4" i="4"/>
  <c r="AO625" i="3"/>
  <c r="J18" i="4" s="1"/>
  <c r="AO624" i="3"/>
  <c r="I18" i="4" s="1"/>
  <c r="C89" i="4"/>
  <c r="C87" i="4"/>
  <c r="C85" i="4"/>
  <c r="C84" i="4"/>
  <c r="AF1002" i="3" s="1"/>
  <c r="C75" i="4"/>
  <c r="C73" i="4"/>
  <c r="C68" i="4"/>
  <c r="C64" i="4"/>
  <c r="C60" i="4"/>
  <c r="C57" i="4"/>
  <c r="C51" i="4"/>
  <c r="C50" i="4"/>
  <c r="C49" i="4"/>
  <c r="C43" i="4"/>
  <c r="C24" i="4"/>
  <c r="C17" i="4"/>
  <c r="C6" i="4"/>
  <c r="AA926" i="3"/>
  <c r="AA925" i="3"/>
  <c r="Z792" i="3"/>
  <c r="O696" i="3"/>
  <c r="O695" i="3"/>
  <c r="O697" i="3" s="1"/>
  <c r="AO626" i="3"/>
  <c r="K18" i="4" s="1"/>
  <c r="AO623" i="3"/>
  <c r="H18" i="4" s="1"/>
  <c r="AO621" i="3"/>
  <c r="AA907" i="3" s="1"/>
  <c r="AM555" i="3"/>
  <c r="AM554" i="3"/>
  <c r="AM552" i="3"/>
  <c r="AM550" i="3"/>
  <c r="W549" i="3"/>
  <c r="Q549" i="3"/>
  <c r="AO622" i="3" l="1"/>
  <c r="AM551" i="3"/>
  <c r="AA924" i="3"/>
  <c r="C92" i="4" l="1"/>
  <c r="C99" i="4"/>
  <c r="C83" i="4"/>
  <c r="C88" i="4"/>
  <c r="C91" i="4"/>
  <c r="C22" i="4" l="1"/>
  <c r="C40" i="4" l="1"/>
  <c r="C78" i="4"/>
  <c r="C19" i="4"/>
  <c r="C23" i="4"/>
  <c r="C18" i="4" l="1"/>
  <c r="C20" i="4"/>
  <c r="C21" i="4" s="1"/>
  <c r="C5" i="9" l="1"/>
  <c r="C7" i="9" l="1"/>
  <c r="C9" i="9"/>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7" i="3" s="1"/>
  <c r="AZ260" i="3"/>
  <c r="BO245" i="3" s="1"/>
  <c r="T269" i="3" s="1"/>
  <c r="Y22" i="5"/>
  <c r="AI22" i="5"/>
  <c r="BF695" i="3" l="1"/>
  <c r="BF696" i="3"/>
  <c r="AZ729" i="3"/>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D92" i="15"/>
  <c r="B93" i="15"/>
  <c r="C93" i="15"/>
  <c r="D93" i="15"/>
  <c r="B94" i="15"/>
  <c r="C94" i="15"/>
  <c r="E94" i="15"/>
  <c r="D94" i="15"/>
  <c r="B95" i="15"/>
  <c r="C95" i="15"/>
  <c r="E95" i="15"/>
  <c r="D95" i="15"/>
  <c r="D79" i="15"/>
  <c r="C79" i="15"/>
  <c r="B79" i="15"/>
  <c r="B73" i="15"/>
  <c r="C73" i="15"/>
  <c r="D73" i="15"/>
  <c r="B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8" i="15"/>
  <c r="C48" i="15"/>
  <c r="D48" i="15"/>
  <c r="B49" i="15"/>
  <c r="C49" i="15"/>
  <c r="E49" i="15"/>
  <c r="D49" i="15"/>
  <c r="B50" i="15"/>
  <c r="C50" i="15"/>
  <c r="D50" i="15"/>
  <c r="B51" i="15"/>
  <c r="E51" i="15" s="1"/>
  <c r="C51" i="15"/>
  <c r="D51" i="15"/>
  <c r="B52" i="15"/>
  <c r="C52" i="15"/>
  <c r="D52" i="15"/>
  <c r="B53" i="15"/>
  <c r="C53" i="15"/>
  <c r="D53"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D20" i="15"/>
  <c r="B21" i="15"/>
  <c r="C21" i="15"/>
  <c r="E21" i="15" s="1"/>
  <c r="D21" i="15"/>
  <c r="B22" i="15"/>
  <c r="C22" i="15"/>
  <c r="D22" i="15"/>
  <c r="B23" i="15"/>
  <c r="C23" i="15"/>
  <c r="E23" i="15" s="1"/>
  <c r="D23" i="15"/>
  <c r="B24" i="15"/>
  <c r="C24" i="15"/>
  <c r="D24" i="15"/>
  <c r="B25" i="15"/>
  <c r="C25" i="15"/>
  <c r="E25" i="15" s="1"/>
  <c r="D25" i="15"/>
  <c r="B26" i="15"/>
  <c r="C26" i="15"/>
  <c r="E26" i="15"/>
  <c r="D26" i="15"/>
  <c r="B28" i="15"/>
  <c r="C28" i="15"/>
  <c r="D28" i="15"/>
  <c r="B5" i="15"/>
  <c r="C5" i="15"/>
  <c r="B6" i="15"/>
  <c r="C6" i="15"/>
  <c r="B7" i="15"/>
  <c r="B9" i="15" s="1"/>
  <c r="C7" i="15"/>
  <c r="E7" i="15" s="1"/>
  <c r="B8" i="15"/>
  <c r="C8" i="15"/>
  <c r="B10" i="15"/>
  <c r="B12" i="15" s="1"/>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E34" i="15"/>
  <c r="E101" i="15"/>
  <c r="E53" i="15"/>
  <c r="E56" i="15"/>
  <c r="E73" i="15"/>
  <c r="E91" i="15"/>
  <c r="E87" i="15"/>
  <c r="E67" i="15"/>
  <c r="E33" i="15"/>
  <c r="E16" i="15"/>
  <c r="E31" i="15"/>
  <c r="E57" i="15"/>
  <c r="E14" i="15"/>
  <c r="E28" i="15"/>
  <c r="E8" i="15"/>
  <c r="E52" i="15"/>
  <c r="E48" i="15"/>
  <c r="E42" i="15"/>
  <c r="E72" i="15"/>
  <c r="E6" i="15"/>
  <c r="E11" i="15"/>
  <c r="E5" i="15"/>
  <c r="E35" i="15"/>
  <c r="E36" i="15"/>
  <c r="E30" i="15"/>
  <c r="E15"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B24" i="4"/>
  <c r="E24" i="4" s="1"/>
  <c r="R24" i="4" s="1"/>
  <c r="S24" i="4" s="1"/>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C11" i="4"/>
  <c r="B11" i="18" s="1"/>
  <c r="C26" i="4"/>
  <c r="B25" i="18" s="1"/>
  <c r="C38" i="4"/>
  <c r="C42" i="4"/>
  <c r="B41" i="18" s="1"/>
  <c r="C61" i="4"/>
  <c r="B60" i="18" s="1"/>
  <c r="C69" i="4"/>
  <c r="B69" i="4" s="1"/>
  <c r="C76" i="4"/>
  <c r="D77" i="15" s="1"/>
  <c r="C66" i="25"/>
  <c r="Y20" i="5"/>
  <c r="AI20" i="5"/>
  <c r="S38" i="4"/>
  <c r="F25" i="18"/>
  <c r="F37" i="18"/>
  <c r="F41" i="18"/>
  <c r="F52" i="18"/>
  <c r="F68" i="18"/>
  <c r="F79" i="18"/>
  <c r="F94" i="18"/>
  <c r="F102" i="18"/>
  <c r="T20" i="5"/>
  <c r="T26" i="4"/>
  <c r="T38" i="4"/>
  <c r="T42" i="4"/>
  <c r="T53"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62" i="4" s="1"/>
  <c r="J96" i="4" s="1"/>
  <c r="J104" i="4" s="1"/>
  <c r="J38" i="4"/>
  <c r="J42" i="4"/>
  <c r="J53" i="4"/>
  <c r="J61" i="4"/>
  <c r="J69" i="4"/>
  <c r="J76" i="4"/>
  <c r="J95" i="4"/>
  <c r="K8" i="4"/>
  <c r="K11" i="4"/>
  <c r="K26" i="4"/>
  <c r="K62" i="4" s="1"/>
  <c r="K96" i="4" s="1"/>
  <c r="K104" i="4" s="1"/>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F80" i="4"/>
  <c r="G80" i="4"/>
  <c r="H80" i="4"/>
  <c r="G76" i="4"/>
  <c r="F76" i="4"/>
  <c r="H78" i="18"/>
  <c r="B78" i="4"/>
  <c r="E78" i="4" s="1"/>
  <c r="R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3" i="18"/>
  <c r="E92" i="18"/>
  <c r="E89" i="18"/>
  <c r="E88" i="18"/>
  <c r="E85" i="18"/>
  <c r="E51" i="18"/>
  <c r="E47" i="18"/>
  <c r="E46" i="18"/>
  <c r="E42" i="18"/>
  <c r="E40" i="18"/>
  <c r="E36" i="18"/>
  <c r="E34" i="18"/>
  <c r="E33" i="18"/>
  <c r="E32" i="18"/>
  <c r="E31" i="18"/>
  <c r="E30" i="18"/>
  <c r="E29" i="18"/>
  <c r="E28" i="18"/>
  <c r="E26" i="18"/>
  <c r="E24" i="18"/>
  <c r="E14" i="18"/>
  <c r="E15" i="18"/>
  <c r="E13" i="18"/>
  <c r="E10"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90" i="4"/>
  <c r="R93" i="4"/>
  <c r="R59" i="4"/>
  <c r="R58" i="4"/>
  <c r="R56" i="4"/>
  <c r="R52" i="4"/>
  <c r="R48" i="4"/>
  <c r="R47" i="4"/>
  <c r="R41" i="4"/>
  <c r="R37" i="4"/>
  <c r="R35" i="4"/>
  <c r="R34" i="4"/>
  <c r="R33" i="4"/>
  <c r="R32" i="4"/>
  <c r="R30" i="4"/>
  <c r="R31" i="4"/>
  <c r="R29" i="4"/>
  <c r="R27" i="4"/>
  <c r="R25" i="4"/>
  <c r="R15" i="4"/>
  <c r="R14" i="4"/>
  <c r="R13" i="4"/>
  <c r="R7" i="4"/>
  <c r="D5" i="15"/>
  <c r="D6" i="15"/>
  <c r="D7" i="15"/>
  <c r="D8" i="15"/>
  <c r="D10" i="15"/>
  <c r="D12" i="15" s="1"/>
  <c r="D11" i="15"/>
  <c r="D14" i="15"/>
  <c r="D15" i="15"/>
  <c r="D16" i="15"/>
  <c r="D18" i="15"/>
  <c r="E37" i="18"/>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E6" i="4" s="1"/>
  <c r="E8" i="4" s="1"/>
  <c r="B7" i="4"/>
  <c r="F8" i="4"/>
  <c r="G8" i="4"/>
  <c r="H8" i="4"/>
  <c r="H11" i="4"/>
  <c r="L12" i="4"/>
  <c r="B9" i="4"/>
  <c r="B10" i="4"/>
  <c r="G11" i="4"/>
  <c r="I12" i="4"/>
  <c r="O12" i="4"/>
  <c r="B13" i="4"/>
  <c r="B14" i="4"/>
  <c r="B17" i="4"/>
  <c r="E17" i="4" s="1"/>
  <c r="R17" i="4" s="1"/>
  <c r="S17" i="4" s="1"/>
  <c r="E17" i="18" s="1"/>
  <c r="B18" i="4"/>
  <c r="B19" i="4"/>
  <c r="E19" i="4" s="1"/>
  <c r="R19" i="4" s="1"/>
  <c r="S19" i="4" s="1"/>
  <c r="E19" i="18" s="1"/>
  <c r="B20" i="4"/>
  <c r="E20" i="4" s="1"/>
  <c r="R20" i="4" s="1"/>
  <c r="S20" i="4" s="1"/>
  <c r="E20" i="18" s="1"/>
  <c r="B21" i="4"/>
  <c r="E21" i="4" s="1"/>
  <c r="R21" i="4" s="1"/>
  <c r="S21" i="4" s="1"/>
  <c r="E21" i="18" s="1"/>
  <c r="B22" i="4"/>
  <c r="B23" i="4"/>
  <c r="E23" i="4" s="1"/>
  <c r="R23" i="4" s="1"/>
  <c r="S23" i="4" s="1"/>
  <c r="E23" i="18" s="1"/>
  <c r="B25" i="4"/>
  <c r="H26" i="4"/>
  <c r="H62" i="4" s="1"/>
  <c r="H96" i="4" s="1"/>
  <c r="H104" i="4" s="1"/>
  <c r="M103" i="4"/>
  <c r="Q103" i="4"/>
  <c r="B27" i="4"/>
  <c r="B29" i="4"/>
  <c r="B30" i="4"/>
  <c r="B31" i="4"/>
  <c r="B32" i="4"/>
  <c r="B33" i="4"/>
  <c r="B34" i="4"/>
  <c r="B35" i="4"/>
  <c r="B37" i="4"/>
  <c r="E38" i="4"/>
  <c r="F38" i="4"/>
  <c r="G38" i="4"/>
  <c r="H38" i="4"/>
  <c r="O103" i="4"/>
  <c r="B40" i="4"/>
  <c r="E40" i="4" s="1"/>
  <c r="E42" i="4" s="1"/>
  <c r="B41" i="4"/>
  <c r="F42" i="4"/>
  <c r="G42" i="4"/>
  <c r="H42" i="4"/>
  <c r="B43" i="4"/>
  <c r="E43" i="4" s="1"/>
  <c r="R43" i="4" s="1"/>
  <c r="B47" i="4"/>
  <c r="B48" i="4"/>
  <c r="B49" i="4"/>
  <c r="E49" i="4" s="1"/>
  <c r="R49" i="4" s="1"/>
  <c r="S49" i="4" s="1"/>
  <c r="E48" i="18" s="1"/>
  <c r="B50" i="4"/>
  <c r="E50" i="4" s="1"/>
  <c r="R50" i="4" s="1"/>
  <c r="S50" i="4" s="1"/>
  <c r="E49" i="18" s="1"/>
  <c r="B51" i="4"/>
  <c r="E51" i="4" s="1"/>
  <c r="R51" i="4" s="1"/>
  <c r="S51" i="4" s="1"/>
  <c r="E50" i="18" s="1"/>
  <c r="B52" i="4"/>
  <c r="F53" i="4"/>
  <c r="F61" i="4"/>
  <c r="F95" i="4"/>
  <c r="F69" i="4"/>
  <c r="F103" i="4"/>
  <c r="G53" i="4"/>
  <c r="H53" i="4"/>
  <c r="B55" i="4"/>
  <c r="R55" i="4"/>
  <c r="B56" i="4"/>
  <c r="B57" i="4"/>
  <c r="E57" i="4" s="1"/>
  <c r="R57" i="4" s="1"/>
  <c r="B58" i="4"/>
  <c r="B59" i="4"/>
  <c r="B60" i="4"/>
  <c r="E60" i="4" s="1"/>
  <c r="R60" i="4" s="1"/>
  <c r="G61" i="4"/>
  <c r="H61" i="4"/>
  <c r="B64" i="4"/>
  <c r="E64" i="4" s="1"/>
  <c r="B68" i="4"/>
  <c r="E68" i="4" s="1"/>
  <c r="R68" i="4" s="1"/>
  <c r="S68" i="4" s="1"/>
  <c r="E67" i="18" s="1"/>
  <c r="G69" i="4"/>
  <c r="H69" i="4"/>
  <c r="B71" i="4"/>
  <c r="B72" i="4"/>
  <c r="B73" i="4"/>
  <c r="E73" i="4" s="1"/>
  <c r="R73" i="4" s="1"/>
  <c r="B74" i="4"/>
  <c r="E74" i="4" s="1"/>
  <c r="B75" i="4"/>
  <c r="E75" i="4" s="1"/>
  <c r="R75" i="4" s="1"/>
  <c r="H76" i="4"/>
  <c r="B83" i="4"/>
  <c r="E83" i="4" s="1"/>
  <c r="R83" i="4" s="1"/>
  <c r="S83" i="4" s="1"/>
  <c r="B84" i="4"/>
  <c r="E84" i="4" s="1"/>
  <c r="R84" i="4" s="1"/>
  <c r="S84" i="4" s="1"/>
  <c r="E83" i="18" s="1"/>
  <c r="B85" i="4"/>
  <c r="E85" i="4" s="1"/>
  <c r="R85" i="4" s="1"/>
  <c r="S85" i="4" s="1"/>
  <c r="E84" i="18" s="1"/>
  <c r="B86" i="4"/>
  <c r="B87" i="4"/>
  <c r="E87" i="4" s="1"/>
  <c r="R87" i="4" s="1"/>
  <c r="B88" i="4"/>
  <c r="E88" i="4" s="1"/>
  <c r="R88" i="4" s="1"/>
  <c r="S88" i="4" s="1"/>
  <c r="E87" i="18" s="1"/>
  <c r="B89" i="4"/>
  <c r="E89" i="4" s="1"/>
  <c r="R89" i="4" s="1"/>
  <c r="B90" i="4"/>
  <c r="B91" i="4"/>
  <c r="E91" i="4" s="1"/>
  <c r="R91" i="4" s="1"/>
  <c r="S91" i="4" s="1"/>
  <c r="E90" i="18" s="1"/>
  <c r="B92" i="4"/>
  <c r="E92" i="4" s="1"/>
  <c r="R92" i="4" s="1"/>
  <c r="S92" i="4" s="1"/>
  <c r="E91" i="18" s="1"/>
  <c r="B93" i="4"/>
  <c r="B94" i="4"/>
  <c r="G95" i="4"/>
  <c r="H95" i="4"/>
  <c r="B99" i="4"/>
  <c r="E99" i="4" s="1"/>
  <c r="R99" i="4" s="1"/>
  <c r="S99" i="4" s="1"/>
  <c r="E98" i="18" s="1"/>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G12" i="4"/>
  <c r="C39" i="15"/>
  <c r="E39" i="15" s="1"/>
  <c r="D39" i="15"/>
  <c r="B39" i="15"/>
  <c r="G52" i="25"/>
  <c r="AB47" i="26"/>
  <c r="I61" i="18"/>
  <c r="I95" i="18"/>
  <c r="I103" i="18"/>
  <c r="I105" i="18"/>
  <c r="J61" i="18"/>
  <c r="J95" i="18"/>
  <c r="J103" i="18"/>
  <c r="J105" i="18"/>
  <c r="K12" i="4"/>
  <c r="J12" i="4"/>
  <c r="C61" i="18"/>
  <c r="C95" i="18"/>
  <c r="C103" i="18"/>
  <c r="C12" i="18"/>
  <c r="M62" i="4"/>
  <c r="M96" i="4"/>
  <c r="M104" i="4"/>
  <c r="O62" i="4"/>
  <c r="O96" i="4"/>
  <c r="O104" i="4"/>
  <c r="N62" i="4"/>
  <c r="N96" i="4"/>
  <c r="N104" i="4"/>
  <c r="D62" i="4"/>
  <c r="D96" i="4"/>
  <c r="D104" i="4"/>
  <c r="L62" i="4"/>
  <c r="L96" i="4"/>
  <c r="L104" i="4"/>
  <c r="H12" i="4"/>
  <c r="Q62" i="4"/>
  <c r="Q96" i="4"/>
  <c r="Q104" i="4"/>
  <c r="R38" i="4"/>
  <c r="M12" i="4"/>
  <c r="D12" i="18"/>
  <c r="P62" i="4"/>
  <c r="P96" i="4"/>
  <c r="P104" i="4"/>
  <c r="G61" i="18"/>
  <c r="G95" i="18"/>
  <c r="G103" i="18"/>
  <c r="G105" i="18"/>
  <c r="B38" i="4"/>
  <c r="F61" i="18"/>
  <c r="F95" i="18"/>
  <c r="F103" i="18"/>
  <c r="F105" i="18"/>
  <c r="D61" i="18"/>
  <c r="D95" i="18"/>
  <c r="D103" i="18"/>
  <c r="S28" i="9"/>
  <c r="AC28" i="9"/>
  <c r="T24" i="27"/>
  <c r="T24" i="26"/>
  <c r="I4" i="10" l="1"/>
  <c r="E58" i="15"/>
  <c r="R11" i="4"/>
  <c r="E44" i="15"/>
  <c r="E50" i="15"/>
  <c r="E84" i="15"/>
  <c r="D62" i="15"/>
  <c r="B62" i="15"/>
  <c r="E61" i="4"/>
  <c r="E74" i="15"/>
  <c r="E92" i="15"/>
  <c r="C62" i="15"/>
  <c r="E62" i="15" s="1"/>
  <c r="B61" i="4"/>
  <c r="B11" i="4"/>
  <c r="E85" i="15"/>
  <c r="E69" i="4"/>
  <c r="E22" i="15"/>
  <c r="R6" i="4"/>
  <c r="R8" i="4" s="1"/>
  <c r="R12" i="4" s="1"/>
  <c r="S95" i="4"/>
  <c r="E94" i="18" s="1"/>
  <c r="C9" i="15"/>
  <c r="R64" i="4"/>
  <c r="E88" i="15"/>
  <c r="R61" i="4"/>
  <c r="E10" i="15"/>
  <c r="E24" i="15"/>
  <c r="E86" i="15"/>
  <c r="D70" i="15"/>
  <c r="E82" i="18"/>
  <c r="B70" i="15"/>
  <c r="C77" i="15"/>
  <c r="C70" i="15"/>
  <c r="E70" i="15" s="1"/>
  <c r="B68" i="18"/>
  <c r="D9" i="15"/>
  <c r="D13" i="15" s="1"/>
  <c r="E65" i="15"/>
  <c r="E76" i="4"/>
  <c r="S78" i="4"/>
  <c r="B77" i="15"/>
  <c r="E20" i="15"/>
  <c r="B76" i="4"/>
  <c r="R40" i="4"/>
  <c r="E41" i="15"/>
  <c r="R74" i="4"/>
  <c r="R76" i="4" s="1"/>
  <c r="B75" i="18"/>
  <c r="B42" i="4"/>
  <c r="E93" i="15"/>
  <c r="E100" i="15"/>
  <c r="F9" i="4"/>
  <c r="E9" i="4" s="1"/>
  <c r="E11" i="4" s="1"/>
  <c r="E12" i="4" s="1"/>
  <c r="G22" i="4"/>
  <c r="G18" i="4" s="1"/>
  <c r="G26" i="4" s="1"/>
  <c r="G62" i="4" s="1"/>
  <c r="G96" i="4" s="1"/>
  <c r="G104" i="4" s="1"/>
  <c r="E79" i="15"/>
  <c r="D43" i="15"/>
  <c r="C43" i="15"/>
  <c r="B43" i="15"/>
  <c r="B26" i="4"/>
  <c r="C27" i="15"/>
  <c r="D27" i="15"/>
  <c r="B27" i="15"/>
  <c r="B13" i="15"/>
  <c r="C12" i="15"/>
  <c r="E12" i="15" s="1"/>
  <c r="B12" i="4"/>
  <c r="B8" i="18"/>
  <c r="C12" i="4"/>
  <c r="B12" i="18" s="1"/>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0" i="26"/>
  <c r="T22" i="26" s="1"/>
  <c r="Y20" i="26"/>
  <c r="Y22" i="26" s="1"/>
  <c r="AD20" i="26"/>
  <c r="AD22" i="26" s="1"/>
  <c r="AD7" i="5"/>
  <c r="AI20" i="27"/>
  <c r="AI22" i="27" s="1"/>
  <c r="AD63" i="5"/>
  <c r="AD67" i="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H9" i="18" l="1"/>
  <c r="T11" i="4"/>
  <c r="C13" i="15"/>
  <c r="E9" i="15"/>
  <c r="E77" i="15"/>
  <c r="R69" i="4"/>
  <c r="S64" i="4"/>
  <c r="L936" i="3"/>
  <c r="L937" i="3" s="1"/>
  <c r="E6" i="9"/>
  <c r="I6" i="9"/>
  <c r="R42" i="4"/>
  <c r="S40" i="4"/>
  <c r="E27" i="15"/>
  <c r="E77" i="18"/>
  <c r="E22" i="4"/>
  <c r="R22" i="4" s="1"/>
  <c r="S22" i="4" s="1"/>
  <c r="E22" i="18" s="1"/>
  <c r="E13" i="15"/>
  <c r="F18" i="4"/>
  <c r="F11" i="4"/>
  <c r="E43" i="15"/>
  <c r="Y112" i="6"/>
  <c r="BA203" i="6"/>
  <c r="AO197" i="6"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CQ647" i="3"/>
  <c r="AD27" i="26"/>
  <c r="BX651" i="3"/>
  <c r="AB963" i="3" s="1"/>
  <c r="AJ963" i="3" s="1"/>
  <c r="CC651" i="3"/>
  <c r="AB964" i="3" s="1"/>
  <c r="AJ964" i="3" s="1"/>
  <c r="AD27" i="27"/>
  <c r="AF710" i="6"/>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K16" i="9"/>
  <c r="S15" i="9"/>
  <c r="M32" i="9"/>
  <c r="I8" i="9"/>
  <c r="G9" i="9"/>
  <c r="H11" i="18" l="1"/>
  <c r="T62" i="4"/>
  <c r="E63" i="18"/>
  <c r="S69" i="4"/>
  <c r="E68" i="18" s="1"/>
  <c r="E39" i="18"/>
  <c r="S42" i="4"/>
  <c r="E41" i="18" s="1"/>
  <c r="F26" i="4"/>
  <c r="F62" i="4" s="1"/>
  <c r="F96" i="4" s="1"/>
  <c r="F104" i="4" s="1"/>
  <c r="E18" i="4"/>
  <c r="F12" i="4"/>
  <c r="AP192" i="6"/>
  <c r="AJ206" i="6" s="1"/>
  <c r="AK283" i="6" s="1"/>
  <c r="T703" i="6" s="1"/>
  <c r="AJ961" i="3"/>
  <c r="Y613" i="6"/>
  <c r="CE530" i="6" s="1"/>
  <c r="CE531" i="6" s="1"/>
  <c r="CC532" i="6" s="1"/>
  <c r="AB965" i="3"/>
  <c r="AJ965" i="3" s="1"/>
  <c r="AP193" i="6"/>
  <c r="G4" i="9"/>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U15" i="9"/>
  <c r="O32" i="9"/>
  <c r="I9" i="9"/>
  <c r="K8" i="9"/>
  <c r="H61" i="18" l="1"/>
  <c r="T96" i="4"/>
  <c r="I4" i="9"/>
  <c r="I5" i="9" s="1"/>
  <c r="E26" i="4"/>
  <c r="R18" i="4"/>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G7" i="9"/>
  <c r="BI550" i="6"/>
  <c r="BM547" i="6"/>
  <c r="W15" i="9"/>
  <c r="Q32" i="9"/>
  <c r="M8" i="9"/>
  <c r="K9" i="9"/>
  <c r="H95" i="18" l="1"/>
  <c r="T104" i="4"/>
  <c r="R26" i="4"/>
  <c r="S18" i="4"/>
  <c r="AJ988" i="3"/>
  <c r="AJ969" i="3"/>
  <c r="AJ991" i="3"/>
  <c r="Q4" i="9"/>
  <c r="Q5" i="9" s="1"/>
  <c r="K5" i="9"/>
  <c r="M5" i="9"/>
  <c r="AJ617" i="6"/>
  <c r="BO572" i="6"/>
  <c r="BO577" i="6" s="1"/>
  <c r="AO698" i="6"/>
  <c r="CC534" i="6"/>
  <c r="CC537" i="6" s="1"/>
  <c r="BY537" i="6"/>
  <c r="BU537" i="6"/>
  <c r="BJ590" i="6"/>
  <c r="AV554" i="6" s="1"/>
  <c r="K6" i="9"/>
  <c r="I7" i="9"/>
  <c r="I11" i="9" s="1"/>
  <c r="Q16" i="9"/>
  <c r="Y15" i="9"/>
  <c r="BM550" i="6"/>
  <c r="BQ548" i="6"/>
  <c r="S32" i="9"/>
  <c r="M9" i="9"/>
  <c r="O8" i="9"/>
  <c r="H103" i="18" l="1"/>
  <c r="T106" i="4"/>
  <c r="H105" i="18" s="1"/>
  <c r="E18" i="18"/>
  <c r="S26" i="4"/>
  <c r="E25" i="18" s="1"/>
  <c r="S4" i="9"/>
  <c r="S5" i="9" s="1"/>
  <c r="AK619" i="6"/>
  <c r="AJ1020" i="3"/>
  <c r="T708" i="6"/>
  <c r="T706" i="6" s="1"/>
  <c r="BT573" i="6"/>
  <c r="CG537" i="6"/>
  <c r="BQ550" i="6"/>
  <c r="BU549" i="6"/>
  <c r="BU550" i="6" s="1"/>
  <c r="S16" i="9"/>
  <c r="AA15" i="9"/>
  <c r="K7" i="9"/>
  <c r="K11" i="9" s="1"/>
  <c r="M6" i="9"/>
  <c r="U32" i="9"/>
  <c r="Q8" i="9"/>
  <c r="O9" i="9"/>
  <c r="AD11" i="5" l="1"/>
  <c r="AD11" i="26"/>
  <c r="AD23" i="26" s="1"/>
  <c r="AD26" i="26" s="1"/>
  <c r="AD28" i="26" s="1"/>
  <c r="AI11" i="26"/>
  <c r="AD11" i="27"/>
  <c r="AI11" i="27"/>
  <c r="AI23" i="27" s="1"/>
  <c r="AI26" i="27" s="1"/>
  <c r="AI28" i="27" s="1"/>
  <c r="AD63" i="27" s="1"/>
  <c r="AI11" i="5"/>
  <c r="AI23" i="5" s="1"/>
  <c r="AI26" i="5" s="1"/>
  <c r="AI28" i="5" s="1"/>
  <c r="U4" i="9"/>
  <c r="U5" i="9" s="1"/>
  <c r="T24" i="5"/>
  <c r="AF706" i="6"/>
  <c r="AF712" i="6" s="1"/>
  <c r="BT577" i="6"/>
  <c r="BY574" i="6"/>
  <c r="CC550" i="6"/>
  <c r="U16" i="9"/>
  <c r="AC15" i="9"/>
  <c r="O6" i="9"/>
  <c r="M7" i="9"/>
  <c r="M11" i="9" s="1"/>
  <c r="W32" i="9"/>
  <c r="S8" i="9"/>
  <c r="Q9" i="9"/>
  <c r="AD21" i="5" l="1"/>
  <c r="AD23" i="5" s="1"/>
  <c r="AD26" i="5" s="1"/>
  <c r="AD28" i="5" s="1"/>
  <c r="W4" i="9"/>
  <c r="Y4" i="9" s="1"/>
  <c r="CD575" i="6"/>
  <c r="BY577" i="6"/>
  <c r="Q6" i="9"/>
  <c r="O7" i="9"/>
  <c r="O11" i="9" s="1"/>
  <c r="AE15" i="9"/>
  <c r="W16" i="9"/>
  <c r="Y32" i="9"/>
  <c r="U8" i="9"/>
  <c r="S9" i="9"/>
  <c r="AD22" i="5" l="1"/>
  <c r="AD21" i="27"/>
  <c r="AD22" i="27" s="1"/>
  <c r="AD23" i="27" s="1"/>
  <c r="AD26" i="27" s="1"/>
  <c r="AD28" i="27" s="1"/>
  <c r="W5" i="9"/>
  <c r="CD577" i="6"/>
  <c r="CI576" i="6"/>
  <c r="CI577" i="6" s="1"/>
  <c r="AA4" i="9"/>
  <c r="Y5" i="9"/>
  <c r="AG15" i="9"/>
  <c r="Y16" i="9"/>
  <c r="S6" i="9"/>
  <c r="Q7" i="9"/>
  <c r="Q11" i="9" s="1"/>
  <c r="AA32" i="9"/>
  <c r="W8" i="9"/>
  <c r="U9" i="9"/>
  <c r="CN577" i="6" l="1"/>
  <c r="BD558" i="6" s="1"/>
  <c r="AC4" i="9"/>
  <c r="AA5" i="9"/>
  <c r="U6" i="9"/>
  <c r="S7" i="9"/>
  <c r="S11" i="9" s="1"/>
  <c r="AA16" i="9"/>
  <c r="AC32" i="9"/>
  <c r="W9" i="9"/>
  <c r="Y8" i="9"/>
  <c r="AT560" i="6" l="1"/>
  <c r="AW562" i="6"/>
  <c r="W6" i="9"/>
  <c r="U7" i="9"/>
  <c r="U11" i="9" s="1"/>
  <c r="AC16" i="9"/>
  <c r="AC5" i="9"/>
  <c r="AE4" i="9"/>
  <c r="AE32" i="9"/>
  <c r="Y9" i="9"/>
  <c r="AA8" i="9"/>
  <c r="AE5" i="9" l="1"/>
  <c r="AG4" i="9"/>
  <c r="W7" i="9"/>
  <c r="W11" i="9" s="1"/>
  <c r="Y6" i="9"/>
  <c r="AE16" i="9"/>
  <c r="AG32" i="9"/>
  <c r="AA9" i="9"/>
  <c r="AC8" i="9"/>
  <c r="AG5" i="9" l="1"/>
  <c r="AG16" i="9"/>
  <c r="Y7" i="9"/>
  <c r="Y11" i="9" s="1"/>
  <c r="AA6" i="9"/>
  <c r="AC9" i="9"/>
  <c r="AE8" i="9"/>
  <c r="AA7" i="9" l="1"/>
  <c r="AA11" i="9" s="1"/>
  <c r="AC6" i="9"/>
  <c r="AG8" i="9"/>
  <c r="AE9" i="9"/>
  <c r="AE6" i="9" l="1"/>
  <c r="AC7" i="9"/>
  <c r="AC11" i="9" s="1"/>
  <c r="AG9" i="9"/>
  <c r="AG6" i="9" l="1"/>
  <c r="AE7" i="9"/>
  <c r="AE11" i="9" s="1"/>
  <c r="AG7" i="9" l="1"/>
  <c r="AG11" i="9" s="1"/>
  <c r="E19" i="9"/>
  <c r="G19" i="9" s="1"/>
  <c r="I19" i="9" s="1"/>
  <c r="K19" i="9" s="1"/>
  <c r="AC862" i="3" l="1"/>
  <c r="AC864" i="3" s="1"/>
  <c r="I22" i="9"/>
  <c r="I35" i="9" s="1"/>
  <c r="I37" i="9" s="1"/>
  <c r="M19" i="9"/>
  <c r="K22" i="9"/>
  <c r="K35" i="9" s="1"/>
  <c r="K37" i="9" s="1"/>
  <c r="G22" i="9"/>
  <c r="G35" i="9" s="1"/>
  <c r="G10" i="9" s="1"/>
  <c r="G11" i="9" s="1"/>
  <c r="G37" i="9" s="1"/>
  <c r="E22" i="9"/>
  <c r="E35" i="9" s="1"/>
  <c r="E10" i="9" s="1"/>
  <c r="E11" i="9" s="1"/>
  <c r="E37" i="9" s="1"/>
  <c r="E45" i="9" l="1"/>
  <c r="E49" i="9"/>
  <c r="O19" i="9"/>
  <c r="M22" i="9"/>
  <c r="M35" i="9" s="1"/>
  <c r="M37" i="9" s="1"/>
  <c r="G45" i="9"/>
  <c r="G49" i="9"/>
  <c r="K45" i="9"/>
  <c r="K49" i="9"/>
  <c r="I45" i="9"/>
  <c r="I49" i="9"/>
  <c r="G60" i="9" l="1"/>
  <c r="G48" i="9"/>
  <c r="G47" i="9"/>
  <c r="K60" i="9"/>
  <c r="K47" i="9"/>
  <c r="K48" i="9"/>
  <c r="M45" i="9"/>
  <c r="M49" i="9"/>
  <c r="I60" i="9"/>
  <c r="I47" i="9"/>
  <c r="I48" i="9"/>
  <c r="O22" i="9"/>
  <c r="O35" i="9" s="1"/>
  <c r="O37" i="9" s="1"/>
  <c r="Q19" i="9"/>
  <c r="E60" i="9"/>
  <c r="E48" i="9"/>
  <c r="E47" i="9"/>
  <c r="K68" i="9" l="1"/>
  <c r="K67" i="9"/>
  <c r="K69" i="9"/>
  <c r="K66" i="9"/>
  <c r="K70" i="9" s="1"/>
  <c r="K62" i="9"/>
  <c r="E67" i="9"/>
  <c r="E66" i="9"/>
  <c r="I68" i="9"/>
  <c r="I66" i="9"/>
  <c r="I67" i="9"/>
  <c r="I69" i="9"/>
  <c r="I62" i="9"/>
  <c r="O49" i="9"/>
  <c r="O45" i="9"/>
  <c r="M60" i="9"/>
  <c r="M48" i="9"/>
  <c r="M47" i="9"/>
  <c r="Q22" i="9"/>
  <c r="Q35" i="9" s="1"/>
  <c r="Q37" i="9" s="1"/>
  <c r="S19" i="9"/>
  <c r="G66" i="9"/>
  <c r="G67" i="9"/>
  <c r="G68" i="9"/>
  <c r="G69" i="9"/>
  <c r="G62" i="9"/>
  <c r="K72" i="9" l="1"/>
  <c r="G70" i="9"/>
  <c r="G72" i="9" s="1"/>
  <c r="Q45" i="9"/>
  <c r="Q49" i="9"/>
  <c r="O47" i="9"/>
  <c r="O60" i="9"/>
  <c r="O48" i="9"/>
  <c r="E70" i="9"/>
  <c r="E72" i="9" s="1"/>
  <c r="S22" i="9"/>
  <c r="S35" i="9" s="1"/>
  <c r="S37" i="9" s="1"/>
  <c r="U19" i="9"/>
  <c r="M68" i="9"/>
  <c r="M67" i="9"/>
  <c r="M62" i="9"/>
  <c r="M66" i="9"/>
  <c r="M69" i="9"/>
  <c r="I70" i="9"/>
  <c r="I72" i="9" s="1"/>
  <c r="O68" i="9" l="1"/>
  <c r="O67" i="9"/>
  <c r="O66" i="9"/>
  <c r="O62" i="9"/>
  <c r="O69" i="9"/>
  <c r="M70" i="9"/>
  <c r="M72" i="9" s="1"/>
  <c r="Q47" i="9"/>
  <c r="Q60" i="9"/>
  <c r="Q48" i="9"/>
  <c r="U22" i="9"/>
  <c r="U35" i="9" s="1"/>
  <c r="U37" i="9" s="1"/>
  <c r="W19" i="9"/>
  <c r="S45" i="9"/>
  <c r="S49" i="9"/>
  <c r="O70" i="9" l="1"/>
  <c r="O72" i="9" s="1"/>
  <c r="U45" i="9"/>
  <c r="U49" i="9"/>
  <c r="Q62" i="9"/>
  <c r="Q68" i="9"/>
  <c r="Q67" i="9"/>
  <c r="Q69" i="9"/>
  <c r="Q66" i="9"/>
  <c r="S47" i="9"/>
  <c r="S60" i="9"/>
  <c r="S48" i="9"/>
  <c r="Y19" i="9"/>
  <c r="W22" i="9"/>
  <c r="W35" i="9" s="1"/>
  <c r="W37" i="9" s="1"/>
  <c r="S62" i="9" l="1"/>
  <c r="S67" i="9"/>
  <c r="S68" i="9"/>
  <c r="S69" i="9"/>
  <c r="S66" i="9"/>
  <c r="W45" i="9"/>
  <c r="W49" i="9"/>
  <c r="Q70" i="9"/>
  <c r="Q72" i="9" s="1"/>
  <c r="U47" i="9"/>
  <c r="U60" i="9"/>
  <c r="U48" i="9"/>
  <c r="Y22" i="9"/>
  <c r="Y35" i="9" s="1"/>
  <c r="Y37" i="9" s="1"/>
  <c r="AA19" i="9"/>
  <c r="S70" i="9" l="1"/>
  <c r="S72" i="9" s="1"/>
  <c r="Y45" i="9"/>
  <c r="Y49" i="9"/>
  <c r="AA22" i="9"/>
  <c r="AA35" i="9" s="1"/>
  <c r="AA37" i="9" s="1"/>
  <c r="AC19" i="9"/>
  <c r="U69" i="9"/>
  <c r="U62" i="9"/>
  <c r="U68" i="9"/>
  <c r="U67" i="9"/>
  <c r="U66" i="9"/>
  <c r="W47" i="9"/>
  <c r="W60" i="9"/>
  <c r="W48" i="9"/>
  <c r="U70" i="9" l="1"/>
  <c r="U72" i="9" s="1"/>
  <c r="W69" i="9"/>
  <c r="W62" i="9"/>
  <c r="W68" i="9"/>
  <c r="W66" i="9"/>
  <c r="W67" i="9"/>
  <c r="AA45" i="9"/>
  <c r="AA49" i="9"/>
  <c r="AC22" i="9"/>
  <c r="AC35" i="9" s="1"/>
  <c r="AC37" i="9" s="1"/>
  <c r="AE19" i="9"/>
  <c r="Y48" i="9"/>
  <c r="Y47" i="9"/>
  <c r="Y60" i="9"/>
  <c r="W70" i="9" l="1"/>
  <c r="W72" i="9"/>
  <c r="Y69" i="9"/>
  <c r="Y62" i="9"/>
  <c r="Y68" i="9"/>
  <c r="Y66" i="9"/>
  <c r="Y67" i="9"/>
  <c r="AE22" i="9"/>
  <c r="AE35" i="9" s="1"/>
  <c r="AE37" i="9" s="1"/>
  <c r="AG19" i="9"/>
  <c r="AG22" i="9" s="1"/>
  <c r="AG35" i="9" s="1"/>
  <c r="AG37" i="9" s="1"/>
  <c r="AC49" i="9"/>
  <c r="AC45" i="9"/>
  <c r="AA48" i="9"/>
  <c r="AA47" i="9"/>
  <c r="AA60" i="9"/>
  <c r="AA66" i="9" l="1"/>
  <c r="AA69" i="9"/>
  <c r="AA62" i="9"/>
  <c r="AA68" i="9"/>
  <c r="AA67" i="9"/>
  <c r="AG49" i="9"/>
  <c r="AG45" i="9"/>
  <c r="AE49" i="9"/>
  <c r="AE45" i="9"/>
  <c r="AC48" i="9"/>
  <c r="AC47" i="9"/>
  <c r="AC60" i="9"/>
  <c r="Y70" i="9"/>
  <c r="Y72" i="9" s="1"/>
  <c r="AC66" i="9" l="1"/>
  <c r="AC69" i="9"/>
  <c r="AC62" i="9"/>
  <c r="AC68" i="9"/>
  <c r="AC67" i="9"/>
  <c r="AE48" i="9"/>
  <c r="AE47" i="9"/>
  <c r="AE60" i="9"/>
  <c r="AG48" i="9"/>
  <c r="AG47" i="9"/>
  <c r="AG60" i="9"/>
  <c r="AA70" i="9"/>
  <c r="AA72" i="9" s="1"/>
  <c r="AG66" i="9" l="1"/>
  <c r="AG69" i="9"/>
  <c r="AG62" i="9"/>
  <c r="AG67" i="9"/>
  <c r="AG68" i="9"/>
  <c r="AE66" i="9"/>
  <c r="AE68" i="9"/>
  <c r="AE69" i="9"/>
  <c r="AE62" i="9"/>
  <c r="AE67" i="9"/>
  <c r="AC70" i="9"/>
  <c r="AC72" i="9" s="1"/>
  <c r="AE70" i="9" l="1"/>
  <c r="AE72" i="9" s="1"/>
  <c r="AG70" i="9"/>
  <c r="AG72" i="9" s="1"/>
  <c r="AM549" i="3"/>
  <c r="AM553" i="3"/>
  <c r="AM561" i="3"/>
  <c r="AO634" i="3"/>
  <c r="E107" i="4" s="1"/>
  <c r="T21" i="5"/>
  <c r="T22" i="5"/>
  <c r="AB49" i="5"/>
  <c r="T21" i="27"/>
  <c r="T22" i="27"/>
  <c r="AI21" i="26"/>
  <c r="AI22" i="26"/>
  <c r="AI23" i="26" s="1"/>
  <c r="AI26" i="26" s="1"/>
  <c r="AI28" i="26" s="1"/>
  <c r="AD63" i="26" s="1"/>
  <c r="C45" i="4"/>
  <c r="S45" i="4"/>
  <c r="E44" i="18" s="1"/>
  <c r="C46" i="4"/>
  <c r="C53" i="4"/>
  <c r="C62" i="4"/>
  <c r="C79" i="4"/>
  <c r="C80" i="4"/>
  <c r="C82" i="4"/>
  <c r="C95" i="4" s="1"/>
  <c r="C98" i="4"/>
  <c r="C103" i="4" s="1"/>
  <c r="C96" i="4" l="1"/>
  <c r="C104" i="4" s="1"/>
  <c r="AO635" i="3"/>
  <c r="AC448" i="3"/>
  <c r="B105" i="15"/>
  <c r="C105" i="15"/>
  <c r="D105" i="15"/>
  <c r="B103" i="18"/>
  <c r="B104" i="4"/>
  <c r="B104" i="15"/>
  <c r="C104" i="15"/>
  <c r="E104" i="15" s="1"/>
  <c r="D104" i="15"/>
  <c r="B102" i="18"/>
  <c r="B103" i="4"/>
  <c r="B99" i="15"/>
  <c r="C99" i="15"/>
  <c r="E99" i="15" s="1"/>
  <c r="D99" i="15"/>
  <c r="B97" i="18"/>
  <c r="B98" i="4"/>
  <c r="E98" i="4" s="1"/>
  <c r="B97" i="15"/>
  <c r="C97" i="15"/>
  <c r="E97" i="15" s="1"/>
  <c r="D97" i="15"/>
  <c r="B95" i="18"/>
  <c r="B96" i="4"/>
  <c r="B96" i="15"/>
  <c r="C96" i="15"/>
  <c r="E96" i="15" s="1"/>
  <c r="D96" i="15"/>
  <c r="B94" i="18"/>
  <c r="B95" i="4"/>
  <c r="B83" i="15"/>
  <c r="C83" i="15"/>
  <c r="D83" i="15"/>
  <c r="B81" i="18"/>
  <c r="B82" i="4"/>
  <c r="E82" i="4" s="1"/>
  <c r="B81" i="15"/>
  <c r="C81" i="15"/>
  <c r="E81" i="15" s="1"/>
  <c r="D81" i="15"/>
  <c r="B79" i="18"/>
  <c r="B80" i="4"/>
  <c r="B80" i="15"/>
  <c r="C80" i="15"/>
  <c r="E80" i="15" s="1"/>
  <c r="D80" i="15"/>
  <c r="B78" i="18"/>
  <c r="B79" i="4"/>
  <c r="E79" i="4" s="1"/>
  <c r="B63" i="15"/>
  <c r="C63" i="15"/>
  <c r="E63" i="15" s="1"/>
  <c r="D63" i="15"/>
  <c r="B61" i="18"/>
  <c r="B62" i="4"/>
  <c r="B54" i="15"/>
  <c r="C54" i="15"/>
  <c r="E54" i="15" s="1"/>
  <c r="D54" i="15"/>
  <c r="B52" i="18"/>
  <c r="B53" i="4"/>
  <c r="B47" i="15"/>
  <c r="C47" i="15"/>
  <c r="E47" i="15" s="1"/>
  <c r="D47" i="15"/>
  <c r="B45" i="18"/>
  <c r="B46" i="4"/>
  <c r="E46" i="4" s="1"/>
  <c r="R46" i="4" s="1"/>
  <c r="S46" i="4" s="1"/>
  <c r="B46" i="15"/>
  <c r="C46" i="15"/>
  <c r="E46" i="15" s="1"/>
  <c r="D46" i="15"/>
  <c r="B44" i="18"/>
  <c r="B45" i="4"/>
  <c r="E45" i="4" s="1"/>
  <c r="E83" i="15" l="1"/>
  <c r="E105" i="15"/>
  <c r="R45" i="4"/>
  <c r="R53" i="4" s="1"/>
  <c r="R62" i="4" s="1"/>
  <c r="E53" i="4"/>
  <c r="E62" i="4" s="1"/>
  <c r="E45" i="18"/>
  <c r="S53" i="4"/>
  <c r="R79" i="4"/>
  <c r="E80" i="4"/>
  <c r="R82" i="4"/>
  <c r="R95" i="4" s="1"/>
  <c r="E95" i="4"/>
  <c r="R98" i="4"/>
  <c r="E103" i="4"/>
  <c r="AC447" i="3"/>
  <c r="F450" i="3" s="1"/>
  <c r="AB46" i="5"/>
  <c r="AB48" i="5" s="1"/>
  <c r="AB46" i="27"/>
  <c r="AB48" i="27" s="1"/>
  <c r="J58" i="25"/>
  <c r="AB46" i="26"/>
  <c r="AB48" i="26" s="1"/>
  <c r="AB53" i="26" l="1"/>
  <c r="AB54" i="26" s="1"/>
  <c r="G71" i="25"/>
  <c r="G72" i="25" s="1"/>
  <c r="B75" i="25" s="1"/>
  <c r="B76" i="25"/>
  <c r="O76" i="25" s="1"/>
  <c r="AB53" i="27"/>
  <c r="AB54" i="27" s="1"/>
  <c r="AB53" i="5"/>
  <c r="AB54" i="5" s="1"/>
  <c r="S98" i="4"/>
  <c r="R103" i="4"/>
  <c r="S79" i="4"/>
  <c r="R80" i="4"/>
  <c r="E52" i="18"/>
  <c r="S62" i="4"/>
  <c r="E96" i="4"/>
  <c r="E104" i="4" s="1"/>
  <c r="R96" i="4"/>
  <c r="R104" i="4" s="1"/>
  <c r="E61" i="18" l="1"/>
  <c r="E78" i="18"/>
  <c r="S80" i="4"/>
  <c r="E97" i="18"/>
  <c r="S103" i="4"/>
  <c r="E102" i="18" s="1"/>
  <c r="E79" i="18" l="1"/>
  <c r="S96" i="4"/>
  <c r="E95" i="18" l="1"/>
  <c r="S104" i="4"/>
  <c r="E103" i="18" l="1"/>
  <c r="S106" i="4"/>
  <c r="AC449" i="3" l="1"/>
  <c r="X1024" i="3"/>
  <c r="X1025" i="3" s="1"/>
  <c r="D1026" i="3" s="1"/>
  <c r="E105" i="18"/>
  <c r="T11" i="5" l="1"/>
  <c r="Y11" i="5"/>
  <c r="Y23" i="5" s="1"/>
  <c r="Y26" i="5" s="1"/>
  <c r="Y28" i="5" s="1"/>
  <c r="T11" i="27"/>
  <c r="T23" i="27" s="1"/>
  <c r="Y11" i="27"/>
  <c r="Y23" i="27" s="1"/>
  <c r="Y26" i="27" s="1"/>
  <c r="Y28" i="27" s="1"/>
  <c r="Y63" i="27" s="1"/>
  <c r="Y67" i="27" s="1"/>
  <c r="T11" i="26"/>
  <c r="T23" i="26" s="1"/>
  <c r="Y11" i="26"/>
  <c r="Y23" i="26" s="1"/>
  <c r="Y26" i="26" s="1"/>
  <c r="Y28" i="26" s="1"/>
  <c r="Y63" i="26" s="1"/>
  <c r="Y67" i="26" s="1"/>
  <c r="T26" i="26" l="1"/>
  <c r="T28" i="26" s="1"/>
  <c r="T29" i="26" s="1"/>
  <c r="Y38" i="26"/>
  <c r="Y40" i="26" s="1"/>
  <c r="AD38" i="26"/>
  <c r="AD40" i="26" s="1"/>
  <c r="T26" i="27"/>
  <c r="T28" i="27" s="1"/>
  <c r="T29" i="27" s="1"/>
  <c r="Y38" i="27"/>
  <c r="Y40" i="27" s="1"/>
  <c r="AD38" i="27"/>
  <c r="AD40" i="27" s="1"/>
  <c r="T23" i="5"/>
  <c r="BE16" i="28"/>
  <c r="T26" i="5" l="1"/>
  <c r="T28" i="5" s="1"/>
  <c r="Y38" i="5"/>
  <c r="Y40" i="5" s="1"/>
  <c r="AD38" i="5"/>
  <c r="AD40" i="5" s="1"/>
  <c r="Q71" i="25"/>
  <c r="O75" i="25" s="1"/>
  <c r="R75" i="25" s="1"/>
  <c r="Y41" i="27"/>
  <c r="AB55" i="27" s="1"/>
  <c r="AB56" i="27" s="1"/>
  <c r="Y41" i="26"/>
  <c r="AB55" i="26" s="1"/>
  <c r="AB56" i="26" s="1"/>
  <c r="AB58" i="26" l="1"/>
  <c r="AB58" i="27"/>
  <c r="AR42" i="5"/>
  <c r="Y41" i="5" s="1"/>
  <c r="AB55" i="5" s="1"/>
  <c r="AR43" i="5"/>
  <c r="T29" i="5"/>
  <c r="Y63" i="5"/>
  <c r="Y67" i="5" s="1"/>
  <c r="M25" i="3" l="1"/>
  <c r="AB56" i="5"/>
  <c r="BE15" i="28"/>
  <c r="Q22" i="28"/>
  <c r="V33" i="28" s="1"/>
  <c r="V35" i="28" s="1"/>
  <c r="F59" i="27"/>
  <c r="AB75" i="27"/>
  <c r="AB76" i="27" s="1"/>
  <c r="AB77" i="27" s="1"/>
  <c r="AB79" i="27" s="1"/>
  <c r="J80" i="27" s="1"/>
  <c r="F59" i="26"/>
  <c r="AB75" i="26"/>
  <c r="AB76" i="26" s="1"/>
  <c r="AB77" i="26" s="1"/>
  <c r="AB79" i="26" s="1"/>
  <c r="J80" i="26"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Diana Downton</author>
  </authors>
  <commentList>
    <comment ref="C5" authorId="0" shapeId="0" xr:uid="{C3DE91A9-4890-4D2B-B94F-893E263AD4D8}">
      <text>
        <r>
          <rPr>
            <sz val="9"/>
            <color indexed="81"/>
            <rFont val="Tahoma"/>
            <family val="2"/>
          </rPr>
          <t>10% vacancy for units witout rental subsidy; 5% vacancy for units with rental subsidy</t>
        </r>
        <r>
          <rPr>
            <b/>
            <sz val="9"/>
            <color indexed="81"/>
            <rFont val="Tahoma"/>
            <family val="2"/>
          </rPr>
          <t xml:space="preserve">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<sst xmlns="http://schemas.openxmlformats.org/spreadsheetml/2006/main" count="4714" uniqueCount="2474">
  <si>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</si>
  <si>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</si>
  <si>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</si>
  <si>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</si>
  <si>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</si>
  <si>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</si>
  <si>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</si>
  <si>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</si>
  <si>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</si>
  <si>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</si>
  <si>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</si>
  <si>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</si>
  <si>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</si>
  <si>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</si>
  <si>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</si>
  <si>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</si>
  <si>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</si>
  <si>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</si>
  <si>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</si>
  <si>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</si>
  <si>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</si>
  <si>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</si>
  <si>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</si>
  <si>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</si>
  <si>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</si>
  <si>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</si>
  <si>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</si>
  <si>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</si>
  <si>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</si>
  <si>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</si>
  <si>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</si>
  <si>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</si>
  <si>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</si>
  <si>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</si>
  <si>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</si>
  <si>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</si>
  <si>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</si>
  <si>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</si>
  <si>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</si>
  <si>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</si>
  <si>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</si>
  <si>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</si>
  <si>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</si>
  <si>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</si>
  <si>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</si>
  <si>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</si>
  <si>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</si>
  <si>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</si>
  <si>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</si>
  <si>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</si>
  <si>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</si>
  <si>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</si>
  <si>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</si>
  <si>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</si>
  <si>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</si>
  <si>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</si>
  <si>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</si>
  <si>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</si>
  <si>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</si>
  <si>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</si>
  <si>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</si>
  <si>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</si>
  <si>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</si>
  <si>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</si>
  <si>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</si>
  <si>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</si>
  <si>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</si>
  <si>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</si>
  <si>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</si>
  <si>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</si>
  <si>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</si>
  <si>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</si>
  <si>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</si>
  <si>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</si>
  <si>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</si>
  <si>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</si>
  <si>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</si>
  <si>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</si>
  <si>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</si>
  <si>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</si>
  <si>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</si>
  <si>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</si>
  <si>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</si>
  <si>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</si>
  <si>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</si>
  <si>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</si>
  <si>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</si>
  <si>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</si>
  <si>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</si>
  <si>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</si>
  <si>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</si>
  <si>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</si>
  <si>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</si>
  <si>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</si>
  <si>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</si>
  <si>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</si>
  <si>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</si>
  <si>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</si>
  <si>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</si>
  <si>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</si>
  <si>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</si>
  <si>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</si>
  <si>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</si>
  <si>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</si>
  <si>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</si>
  <si>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</si>
  <si>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</si>
  <si>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</si>
  <si>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</si>
  <si>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</si>
  <si>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</si>
  <si>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</si>
  <si>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</si>
  <si>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</si>
  <si>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</si>
  <si>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</si>
  <si>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</si>
  <si>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</si>
  <si>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</si>
  <si>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</si>
  <si>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</si>
  <si>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</si>
  <si>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</si>
  <si>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</si>
  <si>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</si>
  <si>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</si>
  <si>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</si>
  <si>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</si>
  <si>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</si>
  <si>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</si>
  <si>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</si>
  <si>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</si>
  <si>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</si>
  <si>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</si>
  <si>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</si>
  <si>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</si>
  <si>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</si>
  <si>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</si>
  <si>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</si>
  <si>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</si>
  <si>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</si>
  <si>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</si>
  <si>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</si>
  <si>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</si>
  <si>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</si>
  <si>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</si>
  <si>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</si>
  <si>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</si>
  <si>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</si>
  <si>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</si>
  <si>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</si>
  <si>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</si>
  <si>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</si>
  <si>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</si>
  <si>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</si>
  <si>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</si>
  <si>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</si>
  <si>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</si>
  <si>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</si>
  <si>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</si>
  <si>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</si>
  <si>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</si>
  <si>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</si>
  <si>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</si>
  <si>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</si>
  <si>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</si>
  <si>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</si>
  <si>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</si>
  <si>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</si>
  <si>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</si>
  <si>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</si>
  <si>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</si>
  <si>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</si>
  <si>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</si>
  <si>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</si>
  <si>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</si>
  <si>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</si>
  <si>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</si>
  <si>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</si>
  <si>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</si>
  <si>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</si>
  <si>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</si>
  <si>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</si>
  <si>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</si>
  <si>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</si>
  <si>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</si>
  <si>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</si>
  <si>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</si>
  <si>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</si>
  <si>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</si>
  <si>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</si>
  <si>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</si>
  <si>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</si>
  <si>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</si>
  <si>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</si>
  <si>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</si>
  <si>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</si>
  <si>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</si>
  <si>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</si>
  <si>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</si>
  <si>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</si>
  <si>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</si>
  <si>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</si>
  <si>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</si>
  <si>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</si>
  <si>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</si>
  <si>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</si>
  <si>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</si>
  <si>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</si>
  <si>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</si>
  <si>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</si>
  <si>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</si>
  <si>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</si>
  <si>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</si>
  <si>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</si>
  <si>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</si>
  <si>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</si>
  <si>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</si>
  <si>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</si>
  <si>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</si>
  <si>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</si>
  <si>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</si>
  <si>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</si>
  <si>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</si>
  <si>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</si>
  <si>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</si>
  <si>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</si>
  <si>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</si>
  <si>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</si>
  <si>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</si>
  <si>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</si>
  <si>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</si>
  <si>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</si>
  <si>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</si>
  <si>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</si>
  <si>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</si>
  <si>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</si>
  <si>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</si>
  <si>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</si>
  <si>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</si>
  <si>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</si>
  <si>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</si>
  <si>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</si>
  <si>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</si>
  <si>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</si>
  <si>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</si>
  <si>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</si>
  <si>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</si>
  <si>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</si>
  <si>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</si>
  <si>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</si>
  <si>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</si>
  <si>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</si>
  <si>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</si>
  <si>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</si>
  <si>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</si>
  <si>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</si>
  <si>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</si>
  <si>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</si>
  <si>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</si>
  <si>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</si>
  <si>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</si>
  <si>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</si>
  <si>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</si>
  <si>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</si>
  <si>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</si>
  <si>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</si>
  <si>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</si>
  <si>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</si>
  <si>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</si>
  <si>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</si>
  <si>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</si>
  <si>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</si>
  <si>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</si>
  <si>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</si>
  <si>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</si>
  <si>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</si>
  <si>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</si>
  <si>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</si>
  <si>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</si>
  <si>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</si>
  <si>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</si>
  <si>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</si>
  <si>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</si>
  <si>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</si>
  <si>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</si>
  <si>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</si>
  <si>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</si>
  <si>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</si>
  <si>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</si>
  <si>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</si>
  <si>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</si>
  <si>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</si>
  <si>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</si>
  <si>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</si>
  <si>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</si>
  <si>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</si>
  <si>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</si>
  <si>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</si>
  <si>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</si>
  <si>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</si>
  <si>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</si>
  <si>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</si>
  <si>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</si>
  <si>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</si>
  <si>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</si>
  <si>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</si>
  <si>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</si>
  <si>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</si>
  <si>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</si>
  <si>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</si>
  <si>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</si>
  <si>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</si>
  <si>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</si>
  <si>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</si>
  <si>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</si>
  <si>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</si>
  <si>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</si>
  <si>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</si>
  <si>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</si>
  <si>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</si>
  <si>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</si>
  <si>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</si>
  <si>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</si>
  <si>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</si>
  <si>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</si>
  <si>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</si>
  <si>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</si>
  <si>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</si>
  <si>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</si>
  <si>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</si>
  <si>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</si>
  <si>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</si>
  <si>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</si>
  <si>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</si>
  <si>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</si>
  <si>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</si>
  <si>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</si>
  <si>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</si>
  <si>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</si>
  <si>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</si>
  <si>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</si>
  <si>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</si>
  <si>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</si>
  <si>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</si>
  <si>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</si>
  <si>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</si>
  <si>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</si>
  <si>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</si>
  <si>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</si>
  <si>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</si>
  <si>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</si>
  <si>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</si>
  <si>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</si>
  <si>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</si>
  <si>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</si>
  <si>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</si>
  <si>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</si>
  <si>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</si>
  <si>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</si>
  <si>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</si>
  <si>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</si>
  <si>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</si>
  <si>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</si>
  <si>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</si>
  <si>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</si>
  <si>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</si>
  <si>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</si>
  <si>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</si>
  <si>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</si>
  <si>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</si>
  <si>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</si>
  <si>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</si>
  <si>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</si>
  <si>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</si>
  <si>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</si>
  <si>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</si>
  <si>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</si>
  <si>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</si>
  <si>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</si>
  <si>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</si>
  <si>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</si>
  <si>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</si>
  <si>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</si>
  <si>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</si>
  <si>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</si>
  <si>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</si>
  <si>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</si>
  <si>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</si>
  <si>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</si>
  <si>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</si>
  <si>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</si>
  <si>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</si>
  <si>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</si>
  <si>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</si>
  <si>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</si>
  <si>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</si>
  <si>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</si>
  <si>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</si>
  <si>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</si>
  <si>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</si>
  <si>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</si>
  <si>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</si>
  <si>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</si>
  <si>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</si>
  <si>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</si>
  <si>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</si>
  <si>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</si>
  <si>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</si>
  <si>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</si>
  <si>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</si>
  <si>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</si>
  <si>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</si>
  <si>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</si>
  <si>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</si>
  <si>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</si>
  <si>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</si>
  <si>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</si>
  <si>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</si>
  <si>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</si>
  <si>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</si>
  <si>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</si>
  <si>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</si>
  <si>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</si>
  <si>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</si>
  <si>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</si>
  <si>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</si>
  <si>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</si>
  <si>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</si>
  <si>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</si>
  <si>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</si>
  <si>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</si>
  <si>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</si>
  <si>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</si>
  <si>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</si>
  <si>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</si>
  <si>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</si>
  <si>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</si>
  <si>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</si>
  <si>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</si>
  <si>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</si>
  <si>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</si>
  <si>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</si>
  <si>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</si>
  <si>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</si>
  <si>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</si>
  <si>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</si>
  <si>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</si>
  <si>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</si>
  <si>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</si>
  <si>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</si>
  <si>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</si>
  <si>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</si>
  <si>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</si>
  <si>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</si>
  <si>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</si>
  <si>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</si>
  <si>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</si>
  <si>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</si>
  <si>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</si>
  <si>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</si>
  <si>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</si>
  <si>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</si>
  <si>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</si>
  <si>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</si>
  <si>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</si>
  <si>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</si>
  <si>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</si>
  <si>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</si>
  <si>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</si>
  <si>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</si>
  <si>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</si>
  <si>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</si>
  <si>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</si>
  <si>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</si>
  <si>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</si>
  <si>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</si>
  <si>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</si>
  <si>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</si>
  <si>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</si>
  <si>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</si>
  <si>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</si>
  <si>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</si>
  <si>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</si>
  <si>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</si>
  <si>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</si>
  <si>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</si>
  <si>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</si>
  <si>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</si>
  <si>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</si>
  <si>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</si>
  <si>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</si>
  <si>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</si>
  <si>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</si>
  <si>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</si>
  <si>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</si>
  <si>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</si>
  <si>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</si>
  <si>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</si>
  <si>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</si>
  <si>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</si>
  <si>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</si>
  <si>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</si>
  <si>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</si>
  <si>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</si>
  <si>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</si>
  <si>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</si>
  <si>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</si>
  <si>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</si>
  <si>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</si>
  <si>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</si>
  <si>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</si>
  <si>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</si>
  <si>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</si>
  <si>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</si>
  <si>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</si>
  <si>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</si>
  <si>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</si>
  <si>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</si>
  <si>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</si>
  <si>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</si>
  <si>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</si>
  <si>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</si>
  <si>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</si>
  <si>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</si>
  <si>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</si>
  <si>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</si>
  <si>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</si>
  <si>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</si>
  <si>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</si>
  <si>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</si>
  <si>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</si>
  <si>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</si>
  <si>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</si>
  <si>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</si>
  <si>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</si>
  <si>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</si>
  <si>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</si>
  <si>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</si>
  <si>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</si>
  <si>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</si>
  <si>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</si>
  <si>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</si>
  <si>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</si>
  <si>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</si>
  <si>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</si>
  <si>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</si>
  <si>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</si>
  <si>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</si>
  <si>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</si>
  <si>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</si>
  <si>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</si>
  <si>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</si>
  <si>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</si>
  <si>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</si>
  <si>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</si>
  <si>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</si>
  <si>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</si>
  <si>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</si>
  <si>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</si>
  <si>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</si>
  <si>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</si>
  <si>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</si>
  <si>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</si>
  <si>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</si>
  <si>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</si>
  <si>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</si>
  <si>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</si>
  <si>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</si>
  <si>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</si>
  <si>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</si>
  <si>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</si>
  <si>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</si>
  <si>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</si>
  <si>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</si>
  <si>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</si>
  <si>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</si>
  <si>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</si>
  <si>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</si>
  <si>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</si>
  <si>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</si>
  <si>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</si>
  <si>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</si>
  <si>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</si>
  <si>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</si>
  <si>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</si>
  <si>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</si>
  <si>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</si>
  <si>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</si>
  <si>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</si>
  <si>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</si>
  <si>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</si>
  <si>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</si>
  <si>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</si>
  <si>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</si>
  <si>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</si>
  <si>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</si>
  <si>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</si>
  <si>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</si>
  <si>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</si>
  <si>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</si>
  <si>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</si>
  <si>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</si>
  <si>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</si>
  <si>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</si>
  <si>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</si>
  <si>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</si>
  <si>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</si>
  <si>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</si>
  <si>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</si>
  <si>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</si>
  <si>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</si>
  <si>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</si>
  <si>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</si>
  <si>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</si>
  <si>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</si>
  <si>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</si>
  <si>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</si>
  <si>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</si>
  <si>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</si>
  <si>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</si>
  <si>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</si>
  <si>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</si>
  <si>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</si>
  <si>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</si>
  <si>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</si>
  <si>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</si>
  <si>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</si>
  <si>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</si>
  <si>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</si>
  <si>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</si>
  <si>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</si>
  <si>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</si>
  <si>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</si>
  <si>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</si>
  <si>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</si>
  <si>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</si>
  <si>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</si>
  <si>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</si>
  <si>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</si>
  <si>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</si>
  <si>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</si>
  <si>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</si>
  <si>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</si>
  <si>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</si>
  <si>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</si>
  <si>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</si>
  <si>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</si>
  <si>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</si>
  <si>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</si>
  <si>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</si>
  <si>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</si>
  <si>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</si>
  <si>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</si>
  <si>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</si>
  <si>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</si>
  <si>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</si>
  <si>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</si>
  <si>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</si>
  <si>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</si>
  <si>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</si>
  <si>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</si>
  <si>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</si>
  <si>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</si>
  <si>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</si>
  <si>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</si>
  <si>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</si>
  <si>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</si>
  <si>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</si>
  <si>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</si>
  <si>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</si>
  <si>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</si>
  <si>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</si>
  <si>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</si>
  <si>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</si>
  <si>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</si>
  <si>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</si>
  <si>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</si>
  <si>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</si>
  <si>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</si>
  <si>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</si>
  <si>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</si>
  <si>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</si>
  <si>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</si>
  <si>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</si>
  <si>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</si>
  <si>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</si>
  <si>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</si>
  <si>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</si>
  <si>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</si>
  <si>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</si>
  <si>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</si>
  <si>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</si>
  <si>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</si>
  <si>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</si>
  <si>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</si>
  <si>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</si>
  <si>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</si>
  <si>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</si>
  <si>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</si>
  <si>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</si>
  <si>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</si>
  <si>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</si>
  <si>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</si>
  <si>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</si>
  <si>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</si>
  <si>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</si>
  <si>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</si>
  <si>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</si>
  <si>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</si>
  <si>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</si>
  <si>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</si>
  <si>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</si>
  <si>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</si>
  <si>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</si>
  <si>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</si>
  <si>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</si>
  <si>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</si>
  <si>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</si>
  <si>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</si>
  <si>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</si>
  <si>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</si>
  <si>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</si>
  <si>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</si>
  <si>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</si>
  <si>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</si>
  <si>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</si>
  <si>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</si>
  <si>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</si>
  <si>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</si>
  <si>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</si>
  <si>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</si>
  <si>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</si>
  <si>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</si>
  <si>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</si>
  <si>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</si>
  <si>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</si>
  <si>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</si>
  <si>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</si>
  <si>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</si>
  <si>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</si>
  <si>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</si>
  <si>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</si>
  <si>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</si>
  <si>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</si>
  <si>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</si>
  <si>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</si>
  <si>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</si>
  <si>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</si>
  <si>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</si>
  <si>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</si>
  <si>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</si>
  <si>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</si>
  <si>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</si>
  <si>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</si>
  <si>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</si>
  <si>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</si>
  <si>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</si>
  <si>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</si>
  <si>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</si>
  <si>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</si>
  <si>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</si>
  <si>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</si>
  <si>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</si>
  <si>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</si>
  <si>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</si>
  <si>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</si>
  <si>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</si>
  <si>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</si>
  <si>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</si>
  <si>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</si>
  <si>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</si>
  <si>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</si>
  <si>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</si>
  <si>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</si>
  <si>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</si>
  <si>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</si>
  <si>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</si>
  <si>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</si>
  <si>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</si>
  <si>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</si>
  <si>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</si>
  <si>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</si>
  <si>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</si>
  <si>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</si>
  <si>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</si>
  <si>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</si>
  <si>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</si>
  <si>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</si>
  <si>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</si>
  <si>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</si>
  <si>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</si>
  <si>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</si>
  <si>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</si>
  <si>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</si>
  <si>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</si>
  <si>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</si>
  <si>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</si>
  <si>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</si>
  <si>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</si>
  <si>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</si>
  <si>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</si>
  <si>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</si>
  <si>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</si>
  <si>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</si>
  <si>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</si>
  <si>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</si>
  <si>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</si>
  <si>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</si>
  <si>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</si>
  <si>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</si>
  <si>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</si>
  <si>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</si>
  <si>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</si>
  <si>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</si>
  <si>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</si>
  <si>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</si>
  <si>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</si>
  <si>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</si>
  <si>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</si>
  <si>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</si>
  <si>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</si>
  <si>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</si>
  <si>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</si>
  <si>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</si>
  <si>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</si>
  <si>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</si>
  <si>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</si>
  <si>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</si>
  <si>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</si>
  <si>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</si>
  <si>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</si>
  <si>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</si>
  <si>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</si>
  <si>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</si>
  <si>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</si>
  <si>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</si>
  <si>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</si>
  <si>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</si>
  <si>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</si>
  <si>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</si>
  <si>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</si>
  <si>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</si>
  <si>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</si>
  <si>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</si>
  <si>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</si>
  <si>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</si>
  <si>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</si>
  <si>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</si>
  <si>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</si>
  <si>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</si>
  <si>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</si>
  <si>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</si>
  <si>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</si>
  <si>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</si>
  <si>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</si>
  <si>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</si>
  <si>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</si>
  <si>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</si>
  <si>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</si>
  <si>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</si>
  <si>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</si>
  <si>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</si>
  <si>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</si>
  <si>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</si>
  <si>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</si>
  <si>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</si>
  <si>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</si>
  <si>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</si>
  <si>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</si>
  <si>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</si>
  <si>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</si>
  <si>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</si>
  <si>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</si>
  <si>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</si>
  <si>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</si>
  <si>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</si>
  <si>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</si>
  <si>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</si>
  <si>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</si>
  <si>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</si>
  <si>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</si>
  <si>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</si>
  <si>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</si>
  <si>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</si>
  <si>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</si>
  <si>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</si>
  <si>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</si>
  <si>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</si>
  <si>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</si>
  <si>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</si>
  <si>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</si>
  <si>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</si>
  <si>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</si>
  <si>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</si>
  <si>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</si>
  <si>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</si>
  <si>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</si>
  <si>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</si>
  <si>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</si>
  <si>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</si>
  <si>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</si>
  <si>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</si>
  <si>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</si>
  <si>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</si>
  <si>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</si>
  <si>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</si>
  <si>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</si>
  <si>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</si>
  <si>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</si>
  <si>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</si>
  <si>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</si>
  <si>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</si>
  <si>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</si>
  <si>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</si>
  <si>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</si>
  <si>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</si>
  <si>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</si>
  <si>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</si>
  <si>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</si>
  <si>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</si>
  <si>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</si>
  <si>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</si>
  <si>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</si>
  <si>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</si>
  <si>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</si>
  <si>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</si>
  <si>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</si>
  <si>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</si>
  <si>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</si>
  <si>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</si>
  <si>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</si>
  <si>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</si>
  <si>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</si>
  <si>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</si>
  <si>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</si>
  <si>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</si>
  <si>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</si>
  <si>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</si>
  <si>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</si>
  <si>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</si>
  <si>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</si>
  <si>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</si>
  <si>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</si>
  <si>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</si>
  <si>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</si>
  <si>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</si>
  <si>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</si>
  <si>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</si>
  <si>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</si>
  <si>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</si>
  <si>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</si>
  <si>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</si>
  <si>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</si>
  <si>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</si>
  <si>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</si>
  <si>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</si>
  <si>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</si>
  <si>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</si>
  <si>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</si>
  <si>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</si>
  <si>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</si>
  <si>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</si>
  <si>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</si>
  <si>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</si>
  <si>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</si>
  <si>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</si>
  <si>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</si>
  <si>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</si>
  <si>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</si>
  <si>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</si>
  <si>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</si>
  <si>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</si>
  <si>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</si>
  <si>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</si>
  <si>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</si>
  <si>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</si>
  <si>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</si>
  <si>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</si>
  <si>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</si>
  <si>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</si>
  <si>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</si>
  <si>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</si>
  <si>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</si>
  <si>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</si>
  <si>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</si>
  <si>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</si>
  <si>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</si>
  <si>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</si>
  <si>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</si>
  <si>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</si>
  <si>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</si>
  <si>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</si>
  <si>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</si>
  <si>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</si>
  <si>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</si>
  <si>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</si>
  <si>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</si>
  <si>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</si>
  <si>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</si>
  <si>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</si>
  <si>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</si>
  <si>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</si>
  <si>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</si>
  <si>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</si>
  <si>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</si>
  <si>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</si>
  <si>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</si>
  <si>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</si>
  <si>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</si>
  <si>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</si>
  <si>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</si>
  <si>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</si>
  <si>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</si>
  <si>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</si>
  <si>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</si>
  <si>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</si>
  <si>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</si>
  <si>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</si>
  <si>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</si>
  <si>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</si>
  <si>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</si>
  <si>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</si>
  <si>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</si>
  <si>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</si>
  <si>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</si>
  <si>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</si>
  <si>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</si>
  <si>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</si>
  <si>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</si>
  <si>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</si>
  <si>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</si>
  <si>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</si>
  <si>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</si>
  <si>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</si>
  <si>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</si>
  <si>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</si>
  <si>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</si>
  <si>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</si>
  <si>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</si>
  <si>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</si>
  <si>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</si>
  <si>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</si>
  <si>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</si>
  <si>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</si>
  <si>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</si>
  <si>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</si>
  <si>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</si>
  <si>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</si>
  <si>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</si>
  <si>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</si>
  <si>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</si>
  <si>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</si>
  <si>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</si>
  <si>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</si>
  <si>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</si>
  <si>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</si>
  <si>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</si>
  <si>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</si>
  <si>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</si>
  <si>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</si>
  <si>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</si>
  <si>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</si>
  <si>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</si>
  <si>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</si>
  <si>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</si>
  <si>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</si>
  <si>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</si>
  <si>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</si>
  <si>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</si>
  <si>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</si>
  <si>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</si>
  <si>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</si>
  <si>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</si>
  <si>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</si>
  <si>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</si>
  <si>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</si>
  <si>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</si>
  <si>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</si>
  <si>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</si>
  <si>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</si>
  <si>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</si>
  <si>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</si>
  <si>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</si>
  <si>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</si>
  <si>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</si>
  <si>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</si>
  <si>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</si>
  <si>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</si>
  <si>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</si>
  <si>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</si>
  <si>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</si>
  <si>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</si>
  <si>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</si>
  <si>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</si>
  <si>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</si>
  <si>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</si>
  <si>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</si>
  <si>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</si>
  <si>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</si>
  <si>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</si>
  <si>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</si>
  <si>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</si>
  <si>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</si>
  <si>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</si>
  <si>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</si>
  <si>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</si>
  <si>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</si>
  <si>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</si>
  <si>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</si>
  <si>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</si>
  <si>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</si>
  <si>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</si>
  <si>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</si>
  <si>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</si>
  <si>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</si>
  <si>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</si>
  <si>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</si>
  <si>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</si>
  <si>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</si>
  <si>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</si>
  <si>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</si>
  <si>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</si>
  <si>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</si>
  <si>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</si>
  <si>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</si>
  <si>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</si>
  <si>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</si>
  <si>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</si>
  <si>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</si>
  <si>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</si>
  <si>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</si>
  <si>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</si>
  <si>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</si>
  <si>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</si>
  <si>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</si>
  <si>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</si>
  <si>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</si>
  <si>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</si>
  <si>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</si>
  <si>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</si>
  <si>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</si>
  <si>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</si>
  <si>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</si>
  <si>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</si>
  <si>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</si>
  <si>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</si>
  <si>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</si>
  <si>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</si>
  <si>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</si>
  <si>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</si>
  <si>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</si>
  <si>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</si>
  <si>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</si>
  <si>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</si>
  <si>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</si>
  <si>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</si>
  <si>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</si>
  <si>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</si>
  <si>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</si>
  <si>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</si>
  <si>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</si>
  <si>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</si>
  <si>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</si>
  <si>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</si>
  <si>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</si>
  <si>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</si>
  <si>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</si>
  <si>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</si>
  <si>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</si>
  <si>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</si>
  <si>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</si>
  <si>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</si>
  <si>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</si>
  <si>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</si>
  <si>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</si>
  <si>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</si>
  <si>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</si>
  <si>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</si>
  <si>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</si>
  <si>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</si>
  <si>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</si>
  <si>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</si>
  <si>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</si>
  <si>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</si>
  <si>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</si>
  <si>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</si>
  <si>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</si>
  <si>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</si>
  <si>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</si>
  <si>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</si>
  <si>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</si>
  <si>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</si>
  <si>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</si>
  <si>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</si>
  <si>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</si>
  <si>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</si>
  <si>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</si>
  <si>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</si>
  <si>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</si>
  <si>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</si>
  <si>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</si>
  <si>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</si>
  <si>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</si>
  <si>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</si>
  <si>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</si>
  <si>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</si>
  <si>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</si>
  <si>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</si>
  <si>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</si>
  <si>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</si>
  <si>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</si>
  <si>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</si>
  <si>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</si>
  <si>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</si>
  <si>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</si>
  <si>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</si>
  <si>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</si>
  <si>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</si>
  <si>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</si>
  <si>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</si>
  <si>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</si>
  <si>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</si>
  <si>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</si>
  <si>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</si>
  <si>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</si>
  <si>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</si>
  <si>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</si>
  <si>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</si>
  <si>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</si>
  <si>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</si>
  <si>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</si>
  <si>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</si>
  <si>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</si>
  <si>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</si>
  <si>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</si>
  <si>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</si>
  <si>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</si>
  <si>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</si>
  <si>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</si>
  <si>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</si>
  <si>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</si>
  <si>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</si>
  <si>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</si>
  <si>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</si>
  <si>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</si>
  <si>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</si>
  <si>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</si>
  <si>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</si>
  <si>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</si>
  <si>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</si>
  <si>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</si>
  <si>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</si>
  <si>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</si>
  <si>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</si>
  <si>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</si>
  <si>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</si>
  <si>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</si>
  <si>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</si>
  <si>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</si>
  <si>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</si>
  <si>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</si>
  <si>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</si>
  <si>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</si>
  <si>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</si>
  <si>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</si>
  <si>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</si>
  <si>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</si>
  <si>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</si>
  <si>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</si>
  <si>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</si>
  <si>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</si>
  <si>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</si>
  <si>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</si>
  <si>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</si>
  <si>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</si>
  <si>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</si>
  <si>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</si>
  <si>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</si>
  <si>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</si>
  <si>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</si>
  <si>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</si>
  <si>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</si>
  <si>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</si>
  <si>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</si>
  <si>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</si>
  <si>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</si>
  <si>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</si>
  <si>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</si>
  <si>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</si>
  <si>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</si>
  <si>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</si>
  <si>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</si>
  <si>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</si>
  <si>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</si>
  <si>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</si>
  <si>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</si>
  <si>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</si>
  <si>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</si>
  <si>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</si>
  <si>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</si>
  <si>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</si>
  <si>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</si>
  <si>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</si>
  <si>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</si>
  <si>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</si>
  <si>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</si>
  <si>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</si>
  <si>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</si>
  <si>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</si>
  <si>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</si>
  <si>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</si>
  <si>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</si>
  <si>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</si>
  <si>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</si>
  <si>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</si>
  <si>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</si>
  <si>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</si>
  <si>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</si>
  <si>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</si>
  <si>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</si>
  <si>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</si>
  <si>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</si>
  <si>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</si>
  <si>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</si>
  <si>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</si>
  <si>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</si>
  <si>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</si>
  <si>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</si>
  <si>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</si>
  <si>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</si>
  <si>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</si>
  <si>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</si>
  <si>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</si>
  <si>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</si>
  <si>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</si>
  <si>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</si>
  <si>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</si>
  <si>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</si>
  <si>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</si>
  <si>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</si>
  <si>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</si>
  <si>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</si>
  <si>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</si>
  <si>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</si>
  <si>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</si>
  <si>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</si>
  <si>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</si>
  <si>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</si>
  <si>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</si>
  <si>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</si>
  <si>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</si>
  <si>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</si>
  <si>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</si>
  <si>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</si>
  <si>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</si>
  <si>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</si>
  <si>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</si>
  <si>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</si>
  <si>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</si>
  <si>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</si>
  <si>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</si>
  <si>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</si>
  <si>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</si>
  <si>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</si>
  <si>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</si>
  <si>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</si>
  <si>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</si>
  <si>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</si>
  <si>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</si>
  <si>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</si>
  <si>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</si>
  <si>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</si>
  <si>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</si>
  <si>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</si>
  <si>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</si>
  <si>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</si>
  <si>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</si>
  <si>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</si>
  <si>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</si>
  <si>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</si>
  <si>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</si>
  <si>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</si>
  <si>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</si>
  <si>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</si>
  <si>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</si>
  <si>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</si>
  <si>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</si>
  <si>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</si>
  <si>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</si>
  <si>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</si>
  <si>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</si>
  <si>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</si>
  <si>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</si>
  <si>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</si>
  <si>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</si>
  <si>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</si>
  <si>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</si>
  <si>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</si>
  <si>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</si>
  <si>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</si>
  <si>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</si>
  <si>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</si>
  <si>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</si>
  <si>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</si>
  <si>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</si>
  <si>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</si>
  <si>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</si>
  <si>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</si>
  <si>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</si>
  <si>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</si>
  <si>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</si>
  <si>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</si>
  <si>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</si>
  <si>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</si>
  <si>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</si>
  <si>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</si>
  <si>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</si>
  <si>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</si>
  <si>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</si>
  <si>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</si>
  <si>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</si>
  <si>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</si>
  <si>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</si>
  <si>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</si>
  <si>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</si>
  <si>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</si>
  <si>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</si>
  <si>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</si>
  <si>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</si>
  <si>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</si>
  <si>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</si>
  <si>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</si>
  <si>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</si>
  <si>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</si>
  <si>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</si>
  <si>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</si>
  <si>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</si>
  <si>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</si>
  <si>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</si>
  <si>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</si>
  <si>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</si>
  <si>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</si>
  <si>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</si>
  <si>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</si>
  <si>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</si>
  <si>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</si>
  <si>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</si>
  <si>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</si>
  <si>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</si>
  <si>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</si>
  <si>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</si>
  <si>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</si>
  <si>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</si>
  <si>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</si>
  <si>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</si>
  <si>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</si>
  <si>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</si>
  <si>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</si>
  <si>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</si>
  <si>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</si>
  <si>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</si>
  <si>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</si>
  <si>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</si>
  <si>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</si>
  <si>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</si>
  <si>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</si>
  <si>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</si>
  <si>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</si>
  <si>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</si>
  <si>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</si>
  <si>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</si>
  <si>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</si>
  <si>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</si>
  <si>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</si>
  <si>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</si>
  <si>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</si>
  <si>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</si>
  <si>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</si>
  <si>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</si>
  <si>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</si>
  <si>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</si>
  <si>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</si>
  <si>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</si>
  <si>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</si>
  <si>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</si>
  <si>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</si>
  <si>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</si>
  <si>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</si>
  <si>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</si>
  <si>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</si>
  <si>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</si>
  <si>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</si>
  <si>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</si>
  <si>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</si>
  <si>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</si>
  <si>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</si>
  <si>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</si>
  <si>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</si>
  <si>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</si>
  <si>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</si>
  <si>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</si>
  <si>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</si>
  <si>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</si>
  <si>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</si>
  <si>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</si>
  <si>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</si>
  <si>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</si>
  <si>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</si>
  <si>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</si>
  <si>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</si>
  <si>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</si>
  <si>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</si>
  <si>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</si>
  <si>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</si>
  <si>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</si>
  <si>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</si>
  <si>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</si>
  <si>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</si>
  <si>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</si>
  <si>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</si>
  <si>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</si>
  <si>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</si>
  <si>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</si>
  <si>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</si>
  <si>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</si>
  <si>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</si>
  <si>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</si>
  <si>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</si>
  <si>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</si>
  <si>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</si>
  <si>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</si>
  <si>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</si>
  <si>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</si>
  <si>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</si>
  <si>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</si>
  <si>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</si>
  <si>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</si>
  <si>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</si>
  <si>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</si>
  <si>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</si>
  <si>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</si>
  <si>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</si>
  <si>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</si>
  <si>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</si>
  <si>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</si>
  <si>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</si>
  <si>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</si>
  <si>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</si>
  <si>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</si>
  <si>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</si>
  <si>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</si>
  <si>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</si>
  <si>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</si>
  <si>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</si>
  <si>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</si>
  <si>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</si>
  <si>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</si>
  <si>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</si>
  <si>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</si>
  <si>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</si>
  <si>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</si>
  <si>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</si>
  <si>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</si>
  <si>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</si>
  <si>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</si>
  <si>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</si>
  <si>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</si>
  <si>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</si>
  <si>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</si>
  <si>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</si>
  <si>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</si>
  <si>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</si>
  <si>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</si>
  <si>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</si>
  <si>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</si>
  <si>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</si>
  <si>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</si>
  <si>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</si>
  <si>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</si>
  <si>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</si>
  <si>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</si>
  <si>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</si>
  <si>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</si>
  <si>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</si>
  <si>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</si>
  <si>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</si>
  <si>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</si>
  <si>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</si>
  <si>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</si>
  <si>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</si>
  <si>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</si>
  <si>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</si>
  <si>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</si>
  <si>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</si>
  <si>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</si>
  <si>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</si>
  <si>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</si>
  <si>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</si>
  <si>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</si>
  <si>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</si>
  <si>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</si>
  <si>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</si>
  <si>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</si>
  <si>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</si>
  <si>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</si>
  <si>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</si>
  <si>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</si>
  <si>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</si>
  <si>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</si>
  <si>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</si>
  <si>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</si>
  <si>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</si>
  <si>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</si>
  <si>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</si>
  <si>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</si>
  <si>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</si>
  <si>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</si>
  <si>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</si>
  <si>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</si>
  <si>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</si>
  <si>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</si>
  <si>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</si>
  <si>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</si>
  <si>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</si>
  <si>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</si>
  <si>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</si>
  <si>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</si>
  <si>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</si>
  <si>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</si>
  <si>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</si>
  <si>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</si>
  <si>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</si>
  <si>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</si>
  <si>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</si>
  <si>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</si>
  <si>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</si>
  <si>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</si>
  <si>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</si>
  <si>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</si>
  <si>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</si>
  <si>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</si>
  <si>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</si>
  <si>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</si>
  <si>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</si>
  <si>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</si>
  <si>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</si>
  <si>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</si>
  <si>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</si>
  <si>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</si>
  <si>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</si>
  <si>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</si>
  <si>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</si>
  <si>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</si>
  <si>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</si>
  <si>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</si>
  <si>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</si>
  <si>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</si>
  <si>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</si>
  <si>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</si>
  <si>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</si>
  <si>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</si>
  <si>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</si>
  <si>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</si>
  <si>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</si>
  <si>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</si>
  <si>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</si>
  <si>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</si>
  <si>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</si>
  <si>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</si>
  <si>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</si>
  <si>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</si>
  <si>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</si>
  <si>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</si>
  <si>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</si>
  <si>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</si>
  <si>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</si>
  <si>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</si>
  <si>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</si>
  <si>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</si>
  <si>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</si>
  <si>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</si>
  <si>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</si>
  <si>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</si>
  <si>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</si>
  <si>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</si>
  <si>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</si>
  <si>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</si>
  <si>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</si>
  <si>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</si>
  <si>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</si>
  <si>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</si>
  <si>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</si>
  <si>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</si>
  <si>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</si>
  <si>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</si>
  <si>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</si>
  <si>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</si>
  <si>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</si>
  <si>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</si>
  <si>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</si>
  <si>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</si>
  <si>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</si>
  <si>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</si>
  <si>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</si>
  <si>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</si>
  <si>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</si>
  <si>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</si>
  <si>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</si>
  <si>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</si>
  <si>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</si>
  <si>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</si>
  <si>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</si>
  <si>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</si>
  <si>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</si>
  <si>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</si>
  <si>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</si>
  <si>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</si>
  <si>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</si>
  <si>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</si>
  <si>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</si>
  <si>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</si>
  <si>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</si>
  <si>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</si>
  <si>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</si>
  <si>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</si>
  <si>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</si>
  <si>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</si>
  <si>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</si>
  <si>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</si>
  <si>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</si>
  <si>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</si>
  <si>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</si>
  <si>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</si>
  <si>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</si>
  <si>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</si>
  <si>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</si>
  <si>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</si>
  <si>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</si>
  <si>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</si>
  <si>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</si>
  <si>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</si>
  <si>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</si>
  <si>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</si>
  <si>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</si>
  <si>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</si>
  <si>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</si>
  <si>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</si>
  <si>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</si>
  <si>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</si>
  <si>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</si>
  <si>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</si>
  <si>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</si>
  <si>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</si>
  <si>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</si>
  <si>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</si>
  <si>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</si>
  <si>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</si>
  <si>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</si>
  <si>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</si>
  <si>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</si>
  <si>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</si>
  <si>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</si>
  <si>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</si>
  <si>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</si>
  <si>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</si>
  <si>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</si>
  <si>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</si>
  <si>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</si>
  <si>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</si>
  <si>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</si>
  <si>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</si>
  <si>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</si>
  <si>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</si>
  <si>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</si>
  <si>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</si>
  <si>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</si>
  <si>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</si>
  <si>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</si>
  <si>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</si>
  <si>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</si>
  <si>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</si>
  <si>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</si>
  <si>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</si>
  <si>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</si>
  <si>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</si>
  <si>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</si>
  <si>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</si>
  <si>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</si>
  <si>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</si>
  <si>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</si>
  <si>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</si>
  <si>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</si>
  <si>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</si>
  <si>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</si>
  <si>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</si>
  <si>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</si>
  <si>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</si>
  <si>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</si>
  <si>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</si>
  <si>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</si>
  <si>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</si>
  <si>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</si>
  <si>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</si>
  <si>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</si>
  <si>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</si>
  <si>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</si>
  <si>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</si>
  <si>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</si>
  <si>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</si>
  <si>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</si>
  <si>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</si>
  <si>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</si>
  <si>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</si>
  <si>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</si>
  <si>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</si>
  <si>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</si>
  <si>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</si>
  <si>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</si>
  <si>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</si>
  <si>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</si>
  <si>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</si>
  <si>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</si>
  <si>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</si>
  <si>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</si>
  <si>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</si>
  <si>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</si>
  <si>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</si>
  <si>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</si>
  <si>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</si>
  <si>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</si>
  <si>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</si>
  <si>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</si>
  <si>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</si>
  <si>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</si>
  <si>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</si>
  <si>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</si>
  <si>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</si>
  <si>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</si>
  <si>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</si>
  <si>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</si>
  <si>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</si>
  <si>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</si>
  <si>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</si>
  <si>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</si>
  <si>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</si>
  <si>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</si>
  <si>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</si>
  <si>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</si>
  <si>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</si>
  <si>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</si>
  <si>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</si>
  <si>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</si>
  <si>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</si>
  <si>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</si>
  <si>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</si>
  <si>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</si>
  <si>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</si>
  <si>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</si>
  <si>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</si>
  <si>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</si>
  <si>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</si>
  <si>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</si>
  <si>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</si>
  <si>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</si>
  <si>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</si>
  <si>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</si>
  <si>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</si>
  <si>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</si>
  <si>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</si>
  <si>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</si>
  <si>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</si>
  <si>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</si>
  <si>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</si>
  <si>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</si>
  <si>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</si>
  <si>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</si>
  <si>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</si>
  <si>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</si>
  <si>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</si>
  <si>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</si>
  <si>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</si>
  <si>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</si>
  <si>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</si>
  <si>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</si>
  <si>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</si>
  <si>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</si>
  <si>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</si>
  <si>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</si>
  <si>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</si>
  <si>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</si>
  <si>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</si>
  <si>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</si>
  <si>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</si>
  <si>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</si>
  <si>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</si>
  <si>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</si>
  <si>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</si>
  <si>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</si>
  <si>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</si>
  <si>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</si>
  <si>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</si>
  <si>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</si>
  <si>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</si>
  <si>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</si>
  <si>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</si>
  <si>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</si>
  <si>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</si>
  <si>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</si>
  <si>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</si>
  <si>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</si>
  <si>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</si>
  <si>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</si>
  <si>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</si>
  <si>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</si>
  <si>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</si>
  <si>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</si>
  <si>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</si>
  <si>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</si>
  <si>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</si>
  <si>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</si>
  <si>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</si>
  <si>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</si>
  <si>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</si>
  <si>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</si>
  <si>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</si>
  <si>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</si>
  <si>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</si>
  <si>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</si>
  <si>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</si>
  <si>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</si>
  <si>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</si>
  <si>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</si>
  <si>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</si>
  <si>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</si>
  <si>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</si>
  <si>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</si>
  <si>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</si>
  <si>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</si>
  <si>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</si>
  <si>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</si>
  <si>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</si>
  <si>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</si>
  <si>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</si>
  <si>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</si>
  <si>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</si>
  <si>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</si>
  <si>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</si>
  <si>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</si>
  <si>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</si>
  <si>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</si>
  <si>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</si>
  <si>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</si>
  <si>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</si>
  <si>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</si>
  <si>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</si>
  <si>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</si>
  <si>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</si>
  <si>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</si>
  <si>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</si>
  <si>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</si>
  <si>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</si>
  <si>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</si>
  <si>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</si>
  <si>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</si>
  <si>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</si>
  <si>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</si>
  <si>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</si>
  <si>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</si>
  <si>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</si>
  <si>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</si>
  <si>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</si>
  <si>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</si>
  <si>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</si>
  <si>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</si>
  <si>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</si>
  <si>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</si>
  <si>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</si>
  <si>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</si>
  <si>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</si>
  <si>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</si>
  <si>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</si>
  <si>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</si>
  <si>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</si>
  <si>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</si>
  <si>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</si>
  <si>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</si>
  <si>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</si>
  <si>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</si>
  <si>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</si>
  <si>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</si>
  <si>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</si>
  <si>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</si>
  <si>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</si>
  <si>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</si>
  <si>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</si>
  <si>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</si>
  <si>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</si>
  <si>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</si>
  <si>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</si>
  <si>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</si>
  <si>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</si>
  <si>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</si>
  <si>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</si>
  <si>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</si>
  <si>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</si>
  <si>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</si>
  <si>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</si>
  <si>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</si>
  <si>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</si>
  <si>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</si>
  <si>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</si>
  <si>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</si>
  <si>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</si>
  <si>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</si>
  <si>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</si>
  <si>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</si>
  <si>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</si>
  <si>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</si>
  <si>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</si>
  <si>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</si>
  <si>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</si>
  <si>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</si>
  <si>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</si>
  <si>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</si>
  <si>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</si>
  <si>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</si>
  <si>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</si>
  <si>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</si>
  <si>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</si>
  <si>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</si>
  <si>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</si>
  <si>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</si>
  <si>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</si>
  <si>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</si>
  <si>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</si>
  <si>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</si>
  <si>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</si>
  <si>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</si>
  <si>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</si>
  <si>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</si>
  <si>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</si>
  <si>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</si>
  <si>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</si>
  <si>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</si>
  <si>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</si>
  <si>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</si>
  <si>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</si>
  <si>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</si>
  <si>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</si>
  <si>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</si>
  <si>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</si>
  <si>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</si>
  <si>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</si>
  <si>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</si>
  <si>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</si>
  <si>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</si>
  <si>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</si>
  <si>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</si>
  <si>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</si>
  <si>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</si>
  <si>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</si>
  <si>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</si>
  <si>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</si>
  <si>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</si>
  <si>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</si>
  <si>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</si>
  <si>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</si>
  <si>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</si>
  <si>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</si>
  <si>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</si>
  <si>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</si>
  <si>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</si>
  <si>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</si>
  <si>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</si>
  <si>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</si>
  <si>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</si>
  <si>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</si>
  <si>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</si>
  <si>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</si>
  <si>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</si>
  <si>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</si>
  <si>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</si>
  <si>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</si>
  <si>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</si>
  <si>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</si>
  <si>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</si>
  <si>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</si>
  <si>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</si>
  <si>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</si>
  <si>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</si>
  <si>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</si>
  <si>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</si>
  <si>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</si>
  <si>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</si>
  <si>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</si>
  <si>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</si>
  <si>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</si>
  <si>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</si>
  <si>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</si>
  <si>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</si>
  <si>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</si>
  <si>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</si>
  <si>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</si>
  <si>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</si>
  <si>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</si>
  <si>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</si>
  <si>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</si>
  <si>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</si>
  <si>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</si>
  <si>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</si>
  <si>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</si>
  <si>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</si>
  <si>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</si>
  <si>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</si>
  <si>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</si>
  <si>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</si>
  <si>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</si>
  <si>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</si>
  <si>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</si>
  <si>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</si>
  <si>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</si>
  <si>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</si>
  <si>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</si>
  <si>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</si>
  <si>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</si>
  <si>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</si>
  <si>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</si>
  <si>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</si>
  <si>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</si>
  <si>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</si>
  <si>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</si>
  <si>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</si>
  <si>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</si>
  <si>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</si>
  <si>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</si>
  <si>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</si>
  <si>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</si>
  <si>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</si>
  <si>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</si>
  <si>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</si>
  <si>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</si>
  <si>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</si>
  <si>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</si>
  <si>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</si>
  <si>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</si>
  <si>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</si>
  <si>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</si>
  <si>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</si>
  <si>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</si>
  <si>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</si>
  <si>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</si>
  <si>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</si>
  <si>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</si>
  <si>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</si>
  <si>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</si>
  <si>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</si>
  <si>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</si>
  <si>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</si>
  <si>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</si>
  <si>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</si>
  <si>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</si>
  <si>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</si>
  <si>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</si>
  <si>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</si>
  <si>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</si>
  <si>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</si>
  <si>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</si>
  <si>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</si>
  <si>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</si>
  <si>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</si>
  <si>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</si>
  <si>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</si>
  <si>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</si>
  <si>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</si>
  <si>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</si>
  <si>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</si>
  <si>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</si>
  <si>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</si>
  <si>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</si>
  <si>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</si>
  <si>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</si>
  <si>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</si>
  <si>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</si>
  <si>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</si>
  <si>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</si>
  <si>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</si>
  <si>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</si>
  <si>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</si>
  <si>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</si>
  <si>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</si>
  <si>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</si>
  <si>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</si>
  <si>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</si>
  <si>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</si>
  <si>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</si>
  <si>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</si>
  <si>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</si>
  <si>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</si>
  <si>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</si>
  <si>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</si>
  <si>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</si>
  <si>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</si>
  <si>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</si>
  <si>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</si>
  <si>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</si>
  <si>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</si>
  <si>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</si>
  <si>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</si>
  <si>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</si>
  <si>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</si>
  <si>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</si>
  <si>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</si>
  <si>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</si>
  <si>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</si>
  <si>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</si>
  <si>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</si>
  <si>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</si>
  <si>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</si>
  <si>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</si>
  <si>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</si>
  <si>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</si>
  <si>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</si>
  <si>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</si>
  <si>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</si>
  <si>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</si>
  <si>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</si>
  <si>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</si>
  <si>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</si>
  <si>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</si>
  <si>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</si>
  <si>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</si>
  <si>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</si>
  <si>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</si>
  <si>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</si>
  <si>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</si>
  <si>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</si>
  <si>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</si>
  <si>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</si>
  <si>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</si>
  <si>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</si>
  <si>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</si>
  <si>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</si>
  <si>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</si>
  <si>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</si>
  <si>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</si>
  <si>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</si>
  <si>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</si>
  <si>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</si>
  <si>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</si>
  <si>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</si>
  <si>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</si>
  <si>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</si>
  <si>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</si>
  <si>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</si>
  <si>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</si>
  <si>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</si>
  <si>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</si>
  <si>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</si>
  <si>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</si>
  <si>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</si>
  <si>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</si>
  <si>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</si>
  <si>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</si>
  <si>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</si>
  <si>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</si>
  <si>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</si>
  <si>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</si>
  <si>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</si>
  <si>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</si>
  <si>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</si>
  <si>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</si>
  <si>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</si>
  <si>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</si>
  <si>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</si>
  <si>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</si>
  <si>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</si>
  <si>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</si>
  <si>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</si>
  <si>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</si>
  <si>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</si>
  <si>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</si>
  <si>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</si>
  <si>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</si>
  <si>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</si>
  <si>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</si>
  <si>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</si>
  <si>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</si>
  <si>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</si>
  <si>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</si>
  <si>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</si>
  <si>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</si>
  <si>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</si>
  <si>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</si>
  <si>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</si>
  <si>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</si>
  <si>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</si>
  <si>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</si>
  <si>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</si>
  <si>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</si>
  <si>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</si>
  <si>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</si>
  <si>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</si>
  <si>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</si>
  <si>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</si>
  <si>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</si>
  <si>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</si>
  <si>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</si>
  <si>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</si>
  <si>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</si>
  <si>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</si>
  <si>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</si>
  <si>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</si>
  <si>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</si>
  <si>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</si>
  <si>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</si>
  <si>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</si>
  <si>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</si>
  <si>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</si>
  <si>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</si>
  <si>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Calle Joaquin Homekey</t>
  </si>
  <si>
    <t>1433 Calle Joaquin</t>
  </si>
  <si>
    <t>053-151-026</t>
  </si>
  <si>
    <t>Veronica Z. Garcia</t>
  </si>
  <si>
    <t>Chief Real Estate Development Officer</t>
  </si>
  <si>
    <t>June</t>
  </si>
  <si>
    <t>40%/60%</t>
  </si>
  <si>
    <t xml:space="preserve">1060 Kendall Road </t>
  </si>
  <si>
    <t>CA</t>
  </si>
  <si>
    <t>805-651-3592</t>
  </si>
  <si>
    <t xml:space="preserve">veronicag@pshhc.org </t>
  </si>
  <si>
    <t>People's Self-Help Housing Corp</t>
  </si>
  <si>
    <t>Managing GP</t>
  </si>
  <si>
    <t>Calle Joaquin LP</t>
  </si>
  <si>
    <t>Calle Joaquin Homekey LLC</t>
  </si>
  <si>
    <t xml:space="preserve">People's Self-Help Housing Corporation </t>
  </si>
  <si>
    <t>(805) 651-3592</t>
  </si>
  <si>
    <t xml:space="preserve">People's Self-Help Housing </t>
  </si>
  <si>
    <t>San Luis Obispo, CA, 93401</t>
  </si>
  <si>
    <t>veronicag@pshhc.org</t>
  </si>
  <si>
    <t xml:space="preserve">Gubb &amp; Barshay LLP </t>
  </si>
  <si>
    <t>235 Montgomery Street, Suite 1110</t>
  </si>
  <si>
    <t>San Francisco, CA  94104</t>
  </si>
  <si>
    <t xml:space="preserve">Erica Williams Orcharton </t>
  </si>
  <si>
    <t>415.992.3675</t>
  </si>
  <si>
    <t>ewilliams@gubbandbarshay.com</t>
  </si>
  <si>
    <t>Jane Renahan</t>
  </si>
  <si>
    <t>805-548-2349</t>
  </si>
  <si>
    <t>City of San Luis Obispo</t>
  </si>
  <si>
    <t>Diana Downton</t>
  </si>
  <si>
    <t>diana@communityeconomics.org</t>
  </si>
  <si>
    <t>538 9th street</t>
  </si>
  <si>
    <t>Oakland, CA 94607</t>
  </si>
  <si>
    <t>Other (Specify below)</t>
  </si>
  <si>
    <t>919 Palm</t>
  </si>
  <si>
    <t>93401-3218</t>
  </si>
  <si>
    <t>Whitney McDonald</t>
  </si>
  <si>
    <t>wmcdonald@slocity.org</t>
  </si>
  <si>
    <t>Commercial/Residential</t>
  </si>
  <si>
    <t>County of San Luis Obispo</t>
  </si>
  <si>
    <t>HCD-Homekey</t>
  </si>
  <si>
    <t>Fixed</t>
  </si>
  <si>
    <t>Fire Equipment Contract/Maintenance/Repair</t>
  </si>
  <si>
    <t>Housing Authority of San Luis Obispo</t>
  </si>
  <si>
    <t>Construction Loan</t>
  </si>
  <si>
    <t>Variable</t>
  </si>
  <si>
    <t>GP Equity</t>
  </si>
  <si>
    <t>LP Equity</t>
  </si>
  <si>
    <t>(City and County)</t>
  </si>
  <si>
    <t>Section 8</t>
  </si>
  <si>
    <t>Project-based vouchers (PBVs)</t>
  </si>
  <si>
    <t>Other: (Legal)</t>
  </si>
  <si>
    <t>Other: (Sponsor Legal)</t>
  </si>
  <si>
    <t>Other: (Supplemental Operating Reserve)</t>
  </si>
  <si>
    <t>Other: (Relocation Consultant)</t>
  </si>
  <si>
    <t>Studio</t>
  </si>
  <si>
    <t>Operating Subsidy (HomeKey COSR)</t>
  </si>
  <si>
    <t>Karishma Chandi Hospitality, Inc.</t>
  </si>
  <si>
    <t>Ashishkumar Patel</t>
  </si>
  <si>
    <t>Ashiskumar Patel</t>
  </si>
  <si>
    <t>Owner</t>
  </si>
  <si>
    <t>1433 Calle Joaquin San Luis Obispo, CA 93405</t>
  </si>
  <si>
    <t>Thomas Tomaszweski</t>
  </si>
  <si>
    <t>9811 Tilden Drive</t>
  </si>
  <si>
    <t>El Dorado Hills, CA 95762</t>
  </si>
  <si>
    <t>(916) 804-5376</t>
  </si>
  <si>
    <t>(916) 939-8215</t>
  </si>
  <si>
    <t xml:space="preserve">tomcpa@directcon.net </t>
  </si>
  <si>
    <t>TBD</t>
  </si>
  <si>
    <t xml:space="preserve">Laurin Associates </t>
  </si>
  <si>
    <t>1501 Sports Drive, Suite A</t>
  </si>
  <si>
    <t>Sacramento, CA 95834</t>
  </si>
  <si>
    <t xml:space="preserve">Stefanie Williams </t>
  </si>
  <si>
    <t>(916) 372-6100</t>
  </si>
  <si>
    <t>(916) 419-6108</t>
  </si>
  <si>
    <t>swilliams@laurinassociates.com</t>
  </si>
  <si>
    <t>997 Monterey Street, 3rd Floor</t>
  </si>
  <si>
    <t>San Luis Obispo, CA 93401</t>
  </si>
  <si>
    <t>Nathan Roddick</t>
  </si>
  <si>
    <t xml:space="preserve">Vince Catania </t>
  </si>
  <si>
    <t>Arris Studio Architects</t>
  </si>
  <si>
    <t xml:space="preserve">(805) 547-2240 </t>
  </si>
  <si>
    <t>1327 Archer Street, Suite 220</t>
  </si>
  <si>
    <t>vince@arris-studio.com</t>
  </si>
  <si>
    <t>Transit</t>
  </si>
  <si>
    <t>Los Osos Valley Rd &amp; Calle Joaquin</t>
  </si>
  <si>
    <t>San Luis Obispo, CA 93405</t>
  </si>
  <si>
    <t>Matt Horn</t>
  </si>
  <si>
    <t>805-781-7191</t>
  </si>
  <si>
    <t>https://www.slocity.org/government/department-directory/public-works/slo-transit</t>
  </si>
  <si>
    <t>0.12 Miles</t>
  </si>
  <si>
    <t>Grocery Store</t>
  </si>
  <si>
    <t>1531 Froom Ranch Way</t>
  </si>
  <si>
    <t>Miguel Thomas - Store Manager</t>
  </si>
  <si>
    <t>805-785-0194</t>
  </si>
  <si>
    <t>http://www.wholefoodsmarket.com/</t>
  </si>
  <si>
    <t>0.38 miles</t>
  </si>
  <si>
    <t>Prado Homeless Services Center</t>
  </si>
  <si>
    <t>40 Prado Homeless Services Center</t>
  </si>
  <si>
    <t>San Luis Obispo, 93401</t>
  </si>
  <si>
    <t>Lawren Ramos - CAPSLO Community Services Program Director</t>
  </si>
  <si>
    <t>(805) 929-0016</t>
  </si>
  <si>
    <t>https://capslo.org/40-prado/</t>
  </si>
  <si>
    <t xml:space="preserve">Medical Clinic </t>
  </si>
  <si>
    <t>40 Prado Rd</t>
  </si>
  <si>
    <t>Ron Castle, CEO</t>
  </si>
  <si>
    <t>(805) 929-3211</t>
  </si>
  <si>
    <t>https://www.communityhealthcenters.org/</t>
  </si>
  <si>
    <t>0.73 miles</t>
  </si>
  <si>
    <t xml:space="preserve">Veronica Z. Garcia </t>
  </si>
  <si>
    <t>People's Self-Help Housing Corporation</t>
  </si>
  <si>
    <t>Katherin Aguilar</t>
  </si>
  <si>
    <t>(818) 849-8613</t>
  </si>
  <si>
    <t>katherinea@pshhc.prg</t>
  </si>
  <si>
    <t>LP, General Partner, Developer</t>
  </si>
  <si>
    <t>annam@pshhc.org</t>
  </si>
  <si>
    <t>Motel Conversion to Permanent Supportive Homeless Housing</t>
  </si>
  <si>
    <t>C-S (Commercial Service), 24 units per acre (studios=.5 unit)</t>
  </si>
  <si>
    <t>35 feet maximum</t>
  </si>
  <si>
    <t>76 (1 space/unit)</t>
  </si>
  <si>
    <t>Sponsor Loan - Balay Ko Grant</t>
  </si>
  <si>
    <t>Sponsor Loan - Well Fargo</t>
  </si>
  <si>
    <t>805-548-8210</t>
  </si>
  <si>
    <t>Construction Loan - Banc of CA</t>
  </si>
  <si>
    <t>George Solis</t>
  </si>
  <si>
    <t>805-788-9488</t>
  </si>
  <si>
    <t>Loan, residual receipts</t>
  </si>
  <si>
    <t>2020 W. El Camino Ave., Suite 650</t>
  </si>
  <si>
    <t>Marissa Ness</t>
  </si>
  <si>
    <t>916-776-7558</t>
  </si>
  <si>
    <t>919 Palm Street</t>
  </si>
  <si>
    <t>Daisy Wiberg</t>
  </si>
  <si>
    <t>805-781-7025</t>
  </si>
  <si>
    <t xml:space="preserve">LP Equity </t>
  </si>
  <si>
    <t>Costs Deferred to Conversion</t>
  </si>
  <si>
    <t xml:space="preserve">Deferred costs </t>
  </si>
  <si>
    <t>Sponsor Loan - PSHHC - Balayko</t>
  </si>
  <si>
    <t>Sponsor Loan - PSHHC - Wells Fargo</t>
  </si>
  <si>
    <t>1055 Monterey Street</t>
  </si>
  <si>
    <t>PSHHC Sponsor Loan - Balay Ko Grant</t>
  </si>
  <si>
    <t>PSHHC Sponsor Loan - Wells Fargo Homekey Accelerator</t>
  </si>
  <si>
    <t>Software Licenses&amp;Permits, Supplies, Phone, Computer Expense</t>
  </si>
  <si>
    <t>Cleaning supplies,Janitorial, equipment</t>
  </si>
  <si>
    <t>The Duncan Group DBA People's Self-Help Housing</t>
  </si>
  <si>
    <t>CVS Pharmacy – At Target</t>
  </si>
  <si>
    <t>11990 Los Osos Valley Rd</t>
  </si>
  <si>
    <t>Martin Gonzales, Store Manager</t>
  </si>
  <si>
    <t>(805)858-9903</t>
  </si>
  <si>
    <t>https://www.cvs.com/store-locator/san-luis-obispo-ca-pharmacies/11990-los-osos-valley-rd-san-luis-obispo-ca-93405/storeid=17619</t>
  </si>
  <si>
    <t>San Luis Coastal Adult School-At C.L. Smith Elementary</t>
  </si>
  <si>
    <t>1375 Balboa Street</t>
  </si>
  <si>
    <t>Leslie O'Connor, Director</t>
  </si>
  <si>
    <t>(805) 549-1222</t>
  </si>
  <si>
    <t>https://ae.slcusd.org/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</si>
</sst>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3" fillId="7" borderId="5"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PSHH%20-%20Calle%20Joaquin\Calle%20Joaquin%206-26-24%20TCAC%20App.xlsx" TargetMode="External"/><Relationship Id="rId1" Type="http://schemas.openxmlformats.org/officeDocument/2006/relationships/externalLinkPath" Target="file:///C:\Users\Diana%20Downton\Box\Diana%20Downton\Diana%20Downton\PSHH%20-%20Calle%20Joaquin\Calle%20Joaquin%206-26-24%20TCAC%20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s>
    <sheetDataSet>
      <sheetData sheetId="0"/>
      <sheetData sheetId="1">
        <row r="7">
          <cell r="AN7">
            <v>6.0686763372620127E-2</v>
          </cell>
        </row>
        <row r="8">
          <cell r="H8">
            <v>400000</v>
          </cell>
          <cell r="Y8">
            <v>287</v>
          </cell>
          <cell r="AB8">
            <v>0</v>
          </cell>
          <cell r="AC8">
            <v>669</v>
          </cell>
        </row>
        <row r="9">
          <cell r="H9">
            <v>800000</v>
          </cell>
        </row>
        <row r="10">
          <cell r="H10">
            <v>150000</v>
          </cell>
        </row>
        <row r="11">
          <cell r="H11">
            <v>2600000</v>
          </cell>
        </row>
        <row r="12">
          <cell r="H12">
            <v>17414328</v>
          </cell>
        </row>
        <row r="13">
          <cell r="Y13">
            <v>369</v>
          </cell>
        </row>
        <row r="16">
          <cell r="H16">
            <v>1000</v>
          </cell>
        </row>
        <row r="17">
          <cell r="H17">
            <v>19984191.53376168</v>
          </cell>
          <cell r="L17">
            <v>1998419.1533761681</v>
          </cell>
        </row>
        <row r="22">
          <cell r="H22">
            <v>15106036.971548483</v>
          </cell>
          <cell r="I22">
            <v>7.7499999999999999E-2</v>
          </cell>
        </row>
        <row r="25">
          <cell r="AA25">
            <v>1500</v>
          </cell>
        </row>
        <row r="29">
          <cell r="H29">
            <v>14000000</v>
          </cell>
        </row>
        <row r="31">
          <cell r="X31">
            <v>1600</v>
          </cell>
        </row>
        <row r="32">
          <cell r="I32">
            <v>15000</v>
          </cell>
        </row>
        <row r="39">
          <cell r="I39">
            <v>350000</v>
          </cell>
        </row>
        <row r="40">
          <cell r="I40">
            <v>9600000</v>
          </cell>
        </row>
        <row r="41">
          <cell r="I41">
            <v>2400000</v>
          </cell>
        </row>
        <row r="43">
          <cell r="I43">
            <v>2000000</v>
          </cell>
        </row>
        <row r="44">
          <cell r="I44">
            <v>50000</v>
          </cell>
        </row>
        <row r="45">
          <cell r="I45">
            <v>32991</v>
          </cell>
        </row>
        <row r="46">
          <cell r="I46">
            <v>543594</v>
          </cell>
        </row>
        <row r="49">
          <cell r="I49">
            <v>400000</v>
          </cell>
        </row>
        <row r="52">
          <cell r="I52">
            <v>0</v>
          </cell>
        </row>
        <row r="54">
          <cell r="I54">
            <v>1229253.7585597578</v>
          </cell>
          <cell r="K54">
            <v>643894.82591225405</v>
          </cell>
        </row>
        <row r="56">
          <cell r="I56">
            <v>148295.27728661362</v>
          </cell>
        </row>
        <row r="58">
          <cell r="I58">
            <v>8000</v>
          </cell>
        </row>
        <row r="59">
          <cell r="I59">
            <v>350000</v>
          </cell>
        </row>
        <row r="60">
          <cell r="I60">
            <v>40000</v>
          </cell>
        </row>
        <row r="65">
          <cell r="I65">
            <v>20000</v>
          </cell>
        </row>
        <row r="66">
          <cell r="I66">
            <v>10000</v>
          </cell>
        </row>
        <row r="70">
          <cell r="I70">
            <v>50000</v>
          </cell>
        </row>
        <row r="72">
          <cell r="I72">
            <v>25000</v>
          </cell>
        </row>
        <row r="75">
          <cell r="H75">
            <v>307802</v>
          </cell>
        </row>
        <row r="77">
          <cell r="H77">
            <v>76000</v>
          </cell>
        </row>
        <row r="78">
          <cell r="H78">
            <v>90000</v>
          </cell>
        </row>
        <row r="81">
          <cell r="H81">
            <v>7975</v>
          </cell>
        </row>
        <row r="82">
          <cell r="H82">
            <v>3744146.25</v>
          </cell>
        </row>
        <row r="84">
          <cell r="H84">
            <v>122566.59116297383</v>
          </cell>
        </row>
        <row r="85">
          <cell r="I85">
            <v>75000</v>
          </cell>
        </row>
        <row r="86">
          <cell r="H86">
            <v>1283938</v>
          </cell>
        </row>
        <row r="87">
          <cell r="H87">
            <v>100000</v>
          </cell>
        </row>
        <row r="88">
          <cell r="H88">
            <v>10000</v>
          </cell>
        </row>
        <row r="89">
          <cell r="H89">
            <v>75000</v>
          </cell>
        </row>
        <row r="90">
          <cell r="H90">
            <v>9200</v>
          </cell>
        </row>
        <row r="91">
          <cell r="H91">
            <v>30000</v>
          </cell>
        </row>
        <row r="93">
          <cell r="H93">
            <v>5000</v>
          </cell>
        </row>
        <row r="94">
          <cell r="H94">
            <v>1165757.6567523363</v>
          </cell>
        </row>
        <row r="98">
          <cell r="H98">
            <v>2785000</v>
          </cell>
        </row>
        <row r="99">
          <cell r="H99">
            <v>15000</v>
          </cell>
        </row>
        <row r="113">
          <cell r="H113">
            <v>175000</v>
          </cell>
        </row>
        <row r="123">
          <cell r="I123">
            <v>6671213</v>
          </cell>
        </row>
        <row r="126">
          <cell r="H126">
            <v>2245414.7790743457</v>
          </cell>
        </row>
        <row r="129">
          <cell r="H129">
            <v>19984191.53376168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2314</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R99" sqref="R99"/>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8" t="s">
        <v>1862</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2119</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2226</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2205</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2120</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1801</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1802</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1695</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9" t="s">
        <v>1608</v>
      </c>
      <c r="C29" s="1959"/>
      <c r="D29" s="1959"/>
      <c r="E29" s="1959"/>
      <c r="F29" s="1959"/>
      <c r="G29" s="1959"/>
      <c r="H29" s="376"/>
      <c r="I29" s="376"/>
      <c r="J29" s="376"/>
      <c r="K29" s="376"/>
      <c r="L29" s="376"/>
      <c r="M29" s="376"/>
      <c r="N29" s="376"/>
      <c r="O29" s="1957" t="s">
        <v>1617</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139</v>
      </c>
      <c r="J32" s="1927" t="s">
        <v>992</v>
      </c>
      <c r="K32" s="1961">
        <v>1</v>
      </c>
      <c r="M32" s="509"/>
      <c r="O32" s="1958"/>
      <c r="P32" s="1927" t="s">
        <v>1940</v>
      </c>
    </row>
    <row r="33" spans="1:21" ht="15" customHeight="1">
      <c r="B33" s="1962" t="s">
        <v>1612</v>
      </c>
      <c r="C33" s="1962"/>
      <c r="D33" s="1962"/>
      <c r="E33" s="1962"/>
      <c r="F33" s="1962"/>
      <c r="G33" s="1962"/>
      <c r="I33" s="1926"/>
      <c r="J33" s="1927"/>
      <c r="K33" s="1961"/>
      <c r="M33" s="510"/>
      <c r="O33" s="1962"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1602</v>
      </c>
      <c r="C37" s="1949"/>
      <c r="D37" s="1949"/>
      <c r="E37" s="1949"/>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12269036.573884055</v>
      </c>
      <c r="H38" s="384"/>
      <c r="I38" s="519"/>
      <c r="J38" s="384"/>
      <c r="K38" s="1945" t="s">
        <v>2223</v>
      </c>
      <c r="L38" s="1945"/>
      <c r="M38" s="1945"/>
      <c r="N38" s="1945"/>
      <c r="O38" s="1945"/>
      <c r="P38" s="1945"/>
      <c r="Q38" s="1945"/>
      <c r="R38" s="1945"/>
      <c r="S38" s="1945"/>
    </row>
    <row r="39" spans="1:21" ht="15" customHeight="1">
      <c r="B39" s="1944" t="s">
        <v>1283</v>
      </c>
      <c r="C39" s="1944"/>
      <c r="D39" s="1944"/>
      <c r="E39" s="1944"/>
      <c r="F39" s="650"/>
      <c r="G39" s="632"/>
      <c r="H39" s="384"/>
      <c r="I39" s="519"/>
      <c r="J39" s="384"/>
      <c r="K39" s="1945"/>
      <c r="L39" s="1945"/>
      <c r="M39" s="1945"/>
      <c r="N39" s="1945"/>
      <c r="O39" s="1945"/>
      <c r="P39" s="1945"/>
      <c r="Q39" s="1945"/>
      <c r="R39" s="1945"/>
      <c r="S39" s="1945"/>
    </row>
    <row r="40" spans="1:21" ht="15" customHeight="1">
      <c r="B40" s="1944" t="s">
        <v>1284</v>
      </c>
      <c r="C40" s="1944"/>
      <c r="D40" s="1944"/>
      <c r="E40" s="1944"/>
      <c r="F40" s="650"/>
      <c r="G40" s="632"/>
      <c r="H40" s="384"/>
      <c r="I40" s="519"/>
      <c r="J40" s="384"/>
      <c r="K40" s="1945"/>
      <c r="L40" s="1945"/>
      <c r="M40" s="1945"/>
      <c r="N40" s="1945"/>
      <c r="O40" s="1945"/>
      <c r="P40" s="1945"/>
      <c r="Q40" s="1945"/>
      <c r="R40" s="1945"/>
      <c r="S40" s="1945"/>
    </row>
    <row r="41" spans="1:21" ht="15" customHeight="1">
      <c r="B41" s="1954" t="s">
        <v>1613</v>
      </c>
      <c r="C41" s="1954"/>
      <c r="D41" s="1954"/>
      <c r="E41" s="1954"/>
      <c r="F41" s="650"/>
      <c r="G41" s="384"/>
      <c r="H41" s="384"/>
      <c r="I41" s="519"/>
      <c r="J41" s="384"/>
      <c r="K41" s="1938" t="s">
        <v>124</v>
      </c>
      <c r="L41" s="1938"/>
      <c r="M41" s="1938"/>
      <c r="N41" s="1938"/>
      <c r="O41" s="1938"/>
      <c r="P41" s="1938"/>
      <c r="Q41" s="1938"/>
      <c r="R41" s="1938"/>
      <c r="S41" s="1938"/>
    </row>
    <row r="42" spans="1:21" ht="15" customHeight="1">
      <c r="B42" s="634" t="s">
        <v>2275</v>
      </c>
      <c r="C42" s="634"/>
      <c r="D42" s="628"/>
      <c r="E42" s="652">
        <f>[1]EVERYTHING!$H$12</f>
        <v>17414328</v>
      </c>
      <c r="F42" s="650"/>
      <c r="G42" s="384"/>
      <c r="H42" s="384"/>
      <c r="I42" s="519"/>
      <c r="J42" s="384"/>
      <c r="K42" s="1943"/>
      <c r="L42" s="1943"/>
      <c r="M42" s="1943"/>
      <c r="N42" s="1943"/>
      <c r="O42" s="1943"/>
      <c r="Q42" s="1923"/>
      <c r="R42" s="1923"/>
      <c r="U42" s="754" t="s">
        <v>124</v>
      </c>
    </row>
    <row r="43" spans="1:21" ht="15" customHeight="1">
      <c r="B43" s="634" t="s">
        <v>2359</v>
      </c>
      <c r="C43" s="634"/>
      <c r="D43" s="504"/>
      <c r="E43" s="652">
        <f>[1]EVERYTHING!$H$11</f>
        <v>2600000</v>
      </c>
      <c r="F43" s="650"/>
      <c r="G43" s="384"/>
      <c r="H43" s="384"/>
      <c r="I43" s="519"/>
      <c r="J43" s="384"/>
      <c r="L43" s="384"/>
      <c r="M43" s="376"/>
      <c r="N43" s="376"/>
      <c r="O43" s="376"/>
      <c r="Q43" s="520"/>
      <c r="R43" s="520"/>
      <c r="U43" s="754" t="s">
        <v>2222</v>
      </c>
    </row>
    <row r="44" spans="1:21" ht="15" customHeight="1">
      <c r="B44" s="634" t="s">
        <v>2348</v>
      </c>
      <c r="C44" s="634"/>
      <c r="D44" s="504"/>
      <c r="E44" s="652">
        <f>[1]EVERYTHING!$H$8</f>
        <v>400000</v>
      </c>
      <c r="F44" s="650"/>
      <c r="G44" s="384"/>
      <c r="H44" s="384"/>
      <c r="I44" s="519"/>
      <c r="K44" s="383" t="s">
        <v>1853</v>
      </c>
      <c r="Q44" s="1923"/>
      <c r="R44" s="1923"/>
    </row>
    <row r="45" spans="1:21" ht="15" customHeight="1">
      <c r="B45" s="634" t="s">
        <v>2459</v>
      </c>
      <c r="C45" s="634"/>
      <c r="D45" s="504"/>
      <c r="E45" s="652">
        <f>[1]EVERYTHING!$H$9</f>
        <v>800000</v>
      </c>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0" t="s">
        <v>1849</v>
      </c>
      <c r="L46" s="1920"/>
      <c r="M46" s="1920"/>
      <c r="N46" s="1920"/>
      <c r="O46" s="1920"/>
      <c r="Q46" s="1918"/>
      <c r="R46" s="1918"/>
    </row>
    <row r="47" spans="1:21" ht="15" customHeight="1">
      <c r="B47" s="634"/>
      <c r="C47" s="634"/>
      <c r="D47" s="504"/>
      <c r="E47" s="652"/>
      <c r="F47" s="650"/>
      <c r="G47" s="384"/>
      <c r="H47" s="384"/>
      <c r="I47" s="519"/>
      <c r="J47" s="384"/>
      <c r="K47" s="1919" t="s">
        <v>1850</v>
      </c>
      <c r="L47" s="1919"/>
      <c r="M47" s="1919"/>
      <c r="N47" s="1919"/>
      <c r="O47" s="1919"/>
      <c r="Q47" s="1956"/>
      <c r="R47" s="1956"/>
    </row>
    <row r="48" spans="1:21" ht="15" customHeight="1">
      <c r="B48" s="634"/>
      <c r="C48" s="634"/>
      <c r="D48" s="504"/>
      <c r="E48" s="652"/>
      <c r="F48" s="650"/>
      <c r="G48" s="384"/>
      <c r="H48" s="384"/>
      <c r="I48" s="519"/>
      <c r="J48" s="384"/>
      <c r="K48" s="1955" t="s">
        <v>1851</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6" t="s">
        <v>1609</v>
      </c>
      <c r="C52" s="1936"/>
      <c r="D52" s="1936"/>
      <c r="E52" s="1936"/>
      <c r="F52" s="650"/>
      <c r="G52" s="518">
        <f>SUM(E42:E49)-ABS(E50)-ABS(E51)</f>
        <v>21214328</v>
      </c>
      <c r="H52" s="384"/>
      <c r="I52" s="519"/>
      <c r="J52" s="384"/>
    </row>
    <row r="53" spans="1:29" ht="15" customHeight="1">
      <c r="C53" s="523"/>
      <c r="D53" s="523" t="s">
        <v>875</v>
      </c>
      <c r="E53" s="523"/>
      <c r="F53" s="523"/>
      <c r="G53" s="524">
        <f>SUM(G38:G40)+G52</f>
        <v>33483364.573884055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5" t="s">
        <v>1264</v>
      </c>
      <c r="C56" s="1935"/>
      <c r="D56" s="650"/>
      <c r="E56" s="650"/>
      <c r="F56" s="650"/>
      <c r="G56" s="650"/>
      <c r="H56" s="650"/>
      <c r="I56" s="650"/>
      <c r="J56" s="650"/>
      <c r="K56" s="650"/>
      <c r="L56" s="650"/>
      <c r="M56" s="650"/>
      <c r="N56" s="650"/>
      <c r="O56" s="650"/>
      <c r="P56" s="650"/>
      <c r="U56" s="952" t="s">
        <v>1796</v>
      </c>
      <c r="AC56" s="953">
        <v>0.2</v>
      </c>
    </row>
    <row r="57" spans="1:29" ht="15" customHeight="1">
      <c r="A57" s="521"/>
      <c r="B57" s="1934" t="s">
        <v>1604</v>
      </c>
      <c r="C57" s="1934"/>
      <c r="D57" s="1934"/>
      <c r="E57" s="1934"/>
      <c r="F57" s="1934"/>
      <c r="G57" s="1934"/>
      <c r="H57" s="1934"/>
      <c r="I57" s="1934"/>
      <c r="J57" s="1934"/>
      <c r="K57" s="1934"/>
      <c r="L57" s="1934"/>
      <c r="M57" s="1934"/>
      <c r="N57" s="1934"/>
      <c r="O57" s="1934"/>
      <c r="P57" s="650"/>
      <c r="U57" s="952" t="s">
        <v>1797</v>
      </c>
      <c r="AC57" s="953">
        <v>0.1</v>
      </c>
    </row>
    <row r="58" spans="1:29" ht="15" customHeight="1">
      <c r="B58" s="1949" t="s">
        <v>2221</v>
      </c>
      <c r="C58" s="1950"/>
      <c r="D58" s="1950"/>
      <c r="E58" s="1950"/>
      <c r="F58" s="526"/>
      <c r="G58" s="526"/>
      <c r="H58" s="516"/>
      <c r="I58" s="516"/>
      <c r="J58" s="1951">
        <f>('Sources and Uses Budget'!D104+Q47)/('Sources and Uses Budget'!B104+Q48)</f>
        <v>0</v>
      </c>
      <c r="K58" s="1952"/>
      <c r="L58" s="1952"/>
      <c r="M58" s="1952"/>
      <c r="N58" s="1953"/>
      <c r="O58" s="516"/>
      <c r="P58" s="516"/>
      <c r="U58" s="952" t="s">
        <v>1798</v>
      </c>
      <c r="AC58" s="953">
        <v>0.1</v>
      </c>
    </row>
    <row r="59" spans="1:29" ht="15" customHeight="1">
      <c r="B59" s="1933" t="s">
        <v>2121</v>
      </c>
      <c r="C59" s="1933"/>
      <c r="D59" s="1933"/>
      <c r="E59" s="1933"/>
      <c r="F59" s="1933"/>
      <c r="G59" s="1933"/>
      <c r="H59" s="1933"/>
      <c r="I59" s="1933"/>
      <c r="J59" s="1933"/>
      <c r="K59" s="1933"/>
      <c r="L59" s="1933"/>
      <c r="M59" s="1933"/>
      <c r="N59" s="1933"/>
      <c r="O59" s="1933"/>
      <c r="P59" s="516"/>
      <c r="U59" s="952" t="s">
        <v>1799</v>
      </c>
      <c r="AC59" s="953">
        <v>0.05</v>
      </c>
    </row>
    <row r="60" spans="1:29" ht="15" customHeight="1">
      <c r="B60" s="1933"/>
      <c r="C60" s="1933"/>
      <c r="D60" s="1933"/>
      <c r="E60" s="1933"/>
      <c r="F60" s="1933"/>
      <c r="G60" s="1933"/>
      <c r="H60" s="1933"/>
      <c r="I60" s="1933"/>
      <c r="J60" s="1933"/>
      <c r="K60" s="1933"/>
      <c r="L60" s="1933"/>
      <c r="M60" s="1933"/>
      <c r="N60" s="1933"/>
      <c r="O60" s="1933"/>
      <c r="P60" s="516"/>
      <c r="AC60" s="954"/>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2224</v>
      </c>
      <c r="K63" s="1940"/>
      <c r="L63" s="1940"/>
      <c r="M63" s="1940"/>
      <c r="N63" s="1940"/>
      <c r="O63" s="1940"/>
      <c r="P63" s="1940"/>
      <c r="Q63" s="1940"/>
      <c r="R63" s="1940"/>
    </row>
    <row r="64" spans="1:29" ht="15" customHeight="1" thickBot="1">
      <c r="B64" s="1935" t="s">
        <v>1614</v>
      </c>
      <c r="C64" s="1935"/>
      <c r="D64" s="376"/>
      <c r="F64" s="376"/>
      <c r="G64" s="523" t="s">
        <v>1852</v>
      </c>
      <c r="H64" s="376"/>
      <c r="I64" s="758"/>
      <c r="J64" s="1941"/>
      <c r="K64" s="1942"/>
      <c r="L64" s="1942"/>
      <c r="M64" s="1942"/>
      <c r="N64" s="1942"/>
      <c r="O64" s="1942"/>
      <c r="P64" s="1942"/>
      <c r="Q64" s="1942"/>
      <c r="R64" s="194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1"/>
      <c r="K65" s="1942"/>
      <c r="L65" s="1942"/>
      <c r="M65" s="1942"/>
      <c r="N65" s="1942"/>
      <c r="O65" s="1942"/>
      <c r="P65" s="1942"/>
      <c r="Q65" s="1942"/>
      <c r="R65" s="1942"/>
      <c r="U65" s="951">
        <f>IF(J67="Non-rural project, Census Tract is Highest Resource (20 percentage points)",AC56,0)</f>
        <v>0</v>
      </c>
    </row>
    <row r="66" spans="1:22" ht="15" customHeight="1" thickBot="1">
      <c r="B66" s="528" t="s">
        <v>1683</v>
      </c>
      <c r="C66" s="638">
        <f>Application!AG430-Application!AG431</f>
        <v>76</v>
      </c>
      <c r="D66" s="788"/>
      <c r="E66" s="528" t="s">
        <v>1855</v>
      </c>
      <c r="F66" s="788"/>
      <c r="G66" s="655"/>
      <c r="H66" s="529"/>
      <c r="I66" s="759"/>
      <c r="J66" s="1941"/>
      <c r="K66" s="1942"/>
      <c r="L66" s="1942"/>
      <c r="M66" s="1942"/>
      <c r="N66" s="1942"/>
      <c r="O66" s="1942"/>
      <c r="P66" s="1942"/>
      <c r="Q66" s="1942"/>
      <c r="R66" s="1942"/>
      <c r="U66" s="951">
        <f>IF(J67="Non-rural project, Census Tract is High Resource (10 percentage points)",AC57,0)</f>
        <v>0</v>
      </c>
    </row>
    <row r="67" spans="1:22" ht="15" customHeight="1" thickBot="1">
      <c r="B67" s="528" t="s">
        <v>1603</v>
      </c>
      <c r="C67" s="639">
        <f>MIN(IF(AND(C65="Yes",G67&gt;=50),(0.75+(G67/200)),1),1.5)</f>
        <v>1.1299999999999999</v>
      </c>
      <c r="D67" s="529"/>
      <c r="E67" s="528" t="s">
        <v>1684</v>
      </c>
      <c r="G67" s="638">
        <f>C66+G66</f>
        <v>76</v>
      </c>
      <c r="H67" s="529"/>
      <c r="I67" s="759"/>
      <c r="J67" s="1937" t="s">
        <v>124</v>
      </c>
      <c r="K67" s="1938"/>
      <c r="L67" s="1938"/>
      <c r="M67" s="1938"/>
      <c r="N67" s="1938"/>
      <c r="O67" s="1938"/>
      <c r="P67" s="1938"/>
      <c r="Q67" s="1938"/>
      <c r="R67" s="193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6">
        <f>SUM(U62:U68)</f>
        <v>0</v>
      </c>
    </row>
    <row r="70" spans="1:22" ht="15" customHeight="1" thickBot="1">
      <c r="B70" s="508" t="s">
        <v>1611</v>
      </c>
      <c r="C70" s="508"/>
      <c r="D70" s="508"/>
      <c r="E70" s="508"/>
      <c r="F70" s="508"/>
      <c r="G70" s="508"/>
      <c r="U70" s="1947"/>
      <c r="V70" s="373" t="s">
        <v>1800</v>
      </c>
    </row>
    <row r="71" spans="1:22" ht="15" customHeight="1">
      <c r="B71" s="1936" t="s">
        <v>1615</v>
      </c>
      <c r="C71" s="1936"/>
      <c r="D71" s="1936"/>
      <c r="E71" s="508"/>
      <c r="F71" s="508"/>
      <c r="G71" s="518">
        <f>G53*(1-J58)</f>
        <v>33483364.573884055</v>
      </c>
      <c r="J71" s="530"/>
      <c r="K71" s="687" t="s">
        <v>1617</v>
      </c>
      <c r="L71" s="687"/>
      <c r="M71" s="687"/>
      <c r="N71" s="687"/>
      <c r="O71" s="687"/>
      <c r="Q71" s="1920">
        <f>'Basis &amp; Credits'!T23+'Basis &amp; Credits'!Y23+'Basis &amp; Credits'!AD23+'Basis &amp; Credits'!AI23</f>
        <v>19191579.009951204</v>
      </c>
      <c r="R71" s="1920"/>
    </row>
    <row r="72" spans="1:22" ht="15" customHeight="1">
      <c r="B72" s="1922" t="s">
        <v>1616</v>
      </c>
      <c r="C72" s="1922"/>
      <c r="D72" s="1922"/>
      <c r="E72" s="508"/>
      <c r="F72" s="508"/>
      <c r="G72" s="518">
        <f>G71*C67</f>
        <v>37836201.968488976</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37836201.968488976</v>
      </c>
      <c r="C75" s="1925"/>
      <c r="D75" s="1925"/>
      <c r="E75" s="1925"/>
      <c r="F75" s="1925"/>
      <c r="G75" s="1925"/>
      <c r="H75" s="531"/>
      <c r="I75" s="1926" t="s">
        <v>139</v>
      </c>
      <c r="J75" s="1927" t="s">
        <v>992</v>
      </c>
      <c r="K75" s="1926">
        <v>1</v>
      </c>
      <c r="M75" s="395"/>
      <c r="N75" s="510"/>
      <c r="O75" s="657">
        <f>$Q$71</f>
        <v>19191579.009951204</v>
      </c>
      <c r="P75" s="1927" t="s">
        <v>1940</v>
      </c>
      <c r="Q75" s="1928" t="s">
        <v>138</v>
      </c>
      <c r="R75" s="1931">
        <f>((B75/B76)+((1-(O75/O76))/2))+U69</f>
        <v>1.1858710868588815</v>
      </c>
    </row>
    <row r="76" spans="1:22" ht="15" customHeight="1" thickBot="1">
      <c r="B76" s="1929">
        <f>'Sources and Uses Budget'!$C$104+$Q$46-($E$50+$E$51)*(1-$J$58)</f>
        <v>41174519.53376168</v>
      </c>
      <c r="C76" s="1930"/>
      <c r="D76" s="1930"/>
      <c r="E76" s="1930"/>
      <c r="F76" s="1930"/>
      <c r="G76" s="1929"/>
      <c r="I76" s="1926"/>
      <c r="J76" s="1927"/>
      <c r="K76" s="1926"/>
      <c r="M76" s="648"/>
      <c r="O76" s="656">
        <f>B76</f>
        <v>41174519.53376168</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8"/>
      <c r="R84" s="1918"/>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8">
        <v>1943942</v>
      </c>
      <c r="R89" s="1918"/>
    </row>
    <row r="90" spans="2:18" ht="15" customHeight="1">
      <c r="B90" s="497" t="s">
        <v>2375</v>
      </c>
      <c r="C90" s="498">
        <v>60</v>
      </c>
      <c r="D90" s="499">
        <f>[1]EVERYTHING!$AC$8-[1]EVERYTHING!$AB$8</f>
        <v>669</v>
      </c>
      <c r="E90" s="499">
        <f>[1]EVERYTHING!$X$31-[1]EVERYTHING!$AB$8</f>
        <v>1600</v>
      </c>
      <c r="F90" s="540"/>
      <c r="G90" s="384">
        <f>MAX(($E90-$D90)*$C90*12,0)</f>
        <v>670320</v>
      </c>
      <c r="I90" s="519"/>
      <c r="K90" s="756" t="s">
        <v>1626</v>
      </c>
      <c r="L90" s="684"/>
      <c r="M90" s="684"/>
      <c r="N90" s="684"/>
      <c r="O90" s="684"/>
      <c r="P90" s="684"/>
      <c r="Q90" s="1921">
        <v>3</v>
      </c>
      <c r="R90" s="1921"/>
    </row>
    <row r="91" spans="2:18" ht="15" customHeight="1">
      <c r="B91" s="497" t="s">
        <v>615</v>
      </c>
      <c r="C91" s="498"/>
      <c r="D91" s="499"/>
      <c r="E91" s="499"/>
      <c r="F91" s="540"/>
      <c r="G91" s="384">
        <f t="shared" ref="G91:G97" si="0">MAX(($E91-$D91)*$C91*12,0)</f>
        <v>0</v>
      </c>
      <c r="I91" s="519"/>
      <c r="K91" s="756" t="s">
        <v>1629</v>
      </c>
      <c r="L91" s="684"/>
      <c r="M91" s="684"/>
      <c r="N91" s="684"/>
      <c r="O91" s="684"/>
      <c r="P91" s="684"/>
      <c r="Q91" s="1919">
        <f>IFERROR(Q89/Q90,0)</f>
        <v>647980.66666666663</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647980.66666666663</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670320</v>
      </c>
      <c r="I98" s="519"/>
    </row>
    <row r="99" spans="2:9" ht="15" customHeight="1">
      <c r="I99" s="519"/>
    </row>
    <row r="100" spans="2:9" ht="15" customHeight="1">
      <c r="B100" s="376" t="s">
        <v>1627</v>
      </c>
      <c r="D100" s="520">
        <f>G98+Q93</f>
        <v>1318300.6666666665</v>
      </c>
      <c r="I100" s="519"/>
    </row>
    <row r="101" spans="2:9" ht="15" customHeight="1">
      <c r="B101" s="376" t="s">
        <v>988</v>
      </c>
      <c r="D101" s="536">
        <v>0.05</v>
      </c>
      <c r="I101" s="519"/>
    </row>
    <row r="102" spans="2:9" ht="15" customHeight="1">
      <c r="B102" s="376" t="s">
        <v>1017</v>
      </c>
      <c r="D102" s="520">
        <f>D100-(D100*D101)</f>
        <v>1252385.6333333333</v>
      </c>
    </row>
    <row r="103" spans="2:9" ht="15" customHeight="1">
      <c r="B103" s="376" t="s">
        <v>1619</v>
      </c>
      <c r="D103" s="537"/>
    </row>
    <row r="104" spans="2:9" ht="15" customHeight="1">
      <c r="B104" s="376" t="s">
        <v>1628</v>
      </c>
      <c r="D104" s="520">
        <f>D102/D108</f>
        <v>1089030.9855072463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12269036.573884055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40" sqref="A4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263220</v>
      </c>
      <c r="F4" s="384"/>
      <c r="G4" s="384">
        <f>E4*$C$4</f>
        <v>269800.5</v>
      </c>
      <c r="H4" s="384"/>
      <c r="I4" s="384">
        <f>G4*$C$4</f>
        <v>276545.51249999995</v>
      </c>
      <c r="J4" s="384"/>
      <c r="K4" s="384">
        <f>I4*$C$4</f>
        <v>283459.1503124999</v>
      </c>
      <c r="L4" s="384"/>
      <c r="M4" s="384">
        <f>K4*$C$4</f>
        <v>290545.62907031237</v>
      </c>
      <c r="N4" s="384"/>
      <c r="O4" s="384">
        <f>M4*$C$4</f>
        <v>297809.26979707013</v>
      </c>
      <c r="P4" s="384"/>
      <c r="Q4" s="384">
        <f>O4*$C$4</f>
        <v>305254.50154199684</v>
      </c>
      <c r="R4" s="384"/>
      <c r="S4" s="384">
        <f>Q4*$C$4</f>
        <v>312885.86408054671</v>
      </c>
      <c r="T4" s="384"/>
      <c r="U4" s="384">
        <f>S4*$C$4</f>
        <v>320708.01068256033</v>
      </c>
      <c r="V4" s="384"/>
      <c r="W4" s="384">
        <f>U4*$C$4</f>
        <v>328725.71094962431</v>
      </c>
      <c r="X4" s="384"/>
      <c r="Y4" s="384">
        <f>W4*$C$4</f>
        <v>336943.85372336488</v>
      </c>
      <c r="Z4" s="384"/>
      <c r="AA4" s="384">
        <f>Y4*$C$4</f>
        <v>345367.45006644895</v>
      </c>
      <c r="AB4" s="384"/>
      <c r="AC4" s="384">
        <f>AA4*$C$4</f>
        <v>354001.63631811016</v>
      </c>
      <c r="AD4" s="384"/>
      <c r="AE4" s="384">
        <f>AC4*$C$4</f>
        <v>362851.67722606286</v>
      </c>
      <c r="AF4" s="384"/>
      <c r="AG4" s="384">
        <f>AE4*$C$4</f>
        <v>371922.96915671439</v>
      </c>
      <c r="AH4" s="384"/>
    </row>
    <row r="5" spans="1:34" ht="13.8">
      <c r="A5" s="376"/>
      <c r="B5" s="376" t="s">
        <v>988</v>
      </c>
      <c r="C5" s="408">
        <f>[1]EVERYTHING!$AN$7</f>
        <v>6.0686763372620127E-2</v>
      </c>
      <c r="D5" s="376"/>
      <c r="E5" s="386">
        <f>-E4*$C$5</f>
        <v>-15973.96985494107</v>
      </c>
      <c r="F5" s="386"/>
      <c r="G5" s="386">
        <f>-G4*$C$5</f>
        <v>-16373.319101314597</v>
      </c>
      <c r="H5" s="386"/>
      <c r="I5" s="386">
        <f>-I4*$C$5</f>
        <v>-16782.652078847459</v>
      </c>
      <c r="J5" s="386"/>
      <c r="K5" s="386">
        <f>-K4*$C$5</f>
        <v>-17202.218380818642</v>
      </c>
      <c r="L5" s="386"/>
      <c r="M5" s="386">
        <f>-M4*$C$5</f>
        <v>-17632.273840339105</v>
      </c>
      <c r="N5" s="386"/>
      <c r="O5" s="386">
        <f>-O4*$C$5</f>
        <v>-18073.080686347581</v>
      </c>
      <c r="P5" s="386"/>
      <c r="Q5" s="386">
        <f>-Q4*$C$5</f>
        <v>-18524.907703506269</v>
      </c>
      <c r="R5" s="386"/>
      <c r="S5" s="386">
        <f>-S4*$C$5</f>
        <v>-18988.03039609392</v>
      </c>
      <c r="T5" s="386"/>
      <c r="U5" s="386">
        <f>-U4*$C$5</f>
        <v>-19462.731155996265</v>
      </c>
      <c r="V5" s="386"/>
      <c r="W5" s="386">
        <f>-W4*$C$5</f>
        <v>-19949.299434896173</v>
      </c>
      <c r="X5" s="386"/>
      <c r="Y5" s="386">
        <f>-Y4*$C$5</f>
        <v>-20448.031920768575</v>
      </c>
      <c r="Z5" s="386"/>
      <c r="AA5" s="386">
        <f>-AA4*$C$5</f>
        <v>-20959.232718787785</v>
      </c>
      <c r="AB5" s="386"/>
      <c r="AC5" s="386">
        <f>-AC4*$C$5</f>
        <v>-21483.213536757477</v>
      </c>
      <c r="AD5" s="386"/>
      <c r="AE5" s="386">
        <f>-AE4*$C$5</f>
        <v>-22020.293875176412</v>
      </c>
      <c r="AF5" s="386"/>
      <c r="AG5" s="386">
        <f>-AG4*$C$5</f>
        <v>-22570.801222055819</v>
      </c>
      <c r="AH5" s="376"/>
    </row>
    <row r="6" spans="1:34" ht="13.8">
      <c r="A6" s="376" t="s">
        <v>1074</v>
      </c>
      <c r="B6" s="376"/>
      <c r="C6" s="407">
        <v>1.0249999999999999</v>
      </c>
      <c r="D6" s="376"/>
      <c r="E6" s="387">
        <f>Application!Z788*0</f>
        <v>0</v>
      </c>
      <c r="F6" s="387"/>
      <c r="G6" s="387">
        <f>E6*$C$6</f>
        <v>0</v>
      </c>
      <c r="H6" s="387"/>
      <c r="I6" s="387">
        <f>Application!Z788*(1.05)</f>
        <v>992628</v>
      </c>
      <c r="J6" s="387"/>
      <c r="K6" s="387">
        <f>I6*$C$6</f>
        <v>1017443.7</v>
      </c>
      <c r="L6" s="387"/>
      <c r="M6" s="387">
        <f>K6*$C$6</f>
        <v>1042879.7924999999</v>
      </c>
      <c r="N6" s="387"/>
      <c r="O6" s="387">
        <f>M6*$C$6</f>
        <v>1068951.7873124997</v>
      </c>
      <c r="P6" s="387"/>
      <c r="Q6" s="387">
        <f>O6*$C$6</f>
        <v>1095675.5819953121</v>
      </c>
      <c r="R6" s="387"/>
      <c r="S6" s="387">
        <f>Q6*$C$6</f>
        <v>1123067.4715451947</v>
      </c>
      <c r="T6" s="387"/>
      <c r="U6" s="387">
        <f>S6*$C$6</f>
        <v>1151144.1583338245</v>
      </c>
      <c r="V6" s="387"/>
      <c r="W6" s="387">
        <f>U6*$C$6</f>
        <v>1179922.76229217</v>
      </c>
      <c r="X6" s="387"/>
      <c r="Y6" s="387">
        <f>W6*$C$6</f>
        <v>1209420.8313494741</v>
      </c>
      <c r="Z6" s="387"/>
      <c r="AA6" s="387">
        <f>Y6*$C$6</f>
        <v>1239656.352133211</v>
      </c>
      <c r="AB6" s="387"/>
      <c r="AC6" s="387">
        <f>AA6*$C$6</f>
        <v>1270647.7609365412</v>
      </c>
      <c r="AD6" s="387"/>
      <c r="AE6" s="387">
        <f>AC6*$C$6</f>
        <v>1302413.9549599546</v>
      </c>
      <c r="AF6" s="387"/>
      <c r="AG6" s="387">
        <f>AE6*$C$6</f>
        <v>1334974.3038339533</v>
      </c>
      <c r="AH6" s="376"/>
    </row>
    <row r="7" spans="1:34" ht="13.8">
      <c r="A7" s="376"/>
      <c r="B7" s="376" t="s">
        <v>988</v>
      </c>
      <c r="C7" s="408">
        <f>C5</f>
        <v>6.0686763372620127E-2</v>
      </c>
      <c r="D7" s="376"/>
      <c r="E7" s="386">
        <f>-E6*$C$7</f>
        <v>0</v>
      </c>
      <c r="F7" s="386"/>
      <c r="G7" s="386">
        <f>-G6*$C$7</f>
        <v>0</v>
      </c>
      <c r="H7" s="386"/>
      <c r="I7" s="386">
        <f>-I6*$C$7</f>
        <v>-60239.380553037168</v>
      </c>
      <c r="J7" s="386"/>
      <c r="K7" s="386">
        <f>-K6*$C$7</f>
        <v>-61745.365066863094</v>
      </c>
      <c r="L7" s="386"/>
      <c r="M7" s="386">
        <f>-M6*$C$7</f>
        <v>-63288.99919353467</v>
      </c>
      <c r="N7" s="386"/>
      <c r="O7" s="386">
        <f>-O6*$C$7</f>
        <v>-64871.224173373026</v>
      </c>
      <c r="P7" s="386"/>
      <c r="Q7" s="386">
        <f>-Q6*$C$7</f>
        <v>-66493.004777707349</v>
      </c>
      <c r="R7" s="386"/>
      <c r="S7" s="386">
        <f>-S6*$C$7</f>
        <v>-68155.329897150019</v>
      </c>
      <c r="T7" s="386"/>
      <c r="U7" s="386">
        <f>-U6*$C$7</f>
        <v>-69859.213144578767</v>
      </c>
      <c r="V7" s="386"/>
      <c r="W7" s="386">
        <f>-W6*$C$7</f>
        <v>-71605.693473193227</v>
      </c>
      <c r="X7" s="386"/>
      <c r="Y7" s="386">
        <f>-Y6*$C$7</f>
        <v>-73395.835810023054</v>
      </c>
      <c r="Z7" s="386"/>
      <c r="AA7" s="386">
        <f>-AA6*$C$7</f>
        <v>-75230.731705273633</v>
      </c>
      <c r="AB7" s="386"/>
      <c r="AC7" s="386">
        <f>-AC6*$C$7</f>
        <v>-77111.49999790547</v>
      </c>
      <c r="AD7" s="386"/>
      <c r="AE7" s="386">
        <f>-AE6*$C$7</f>
        <v>-79039.287497853089</v>
      </c>
      <c r="AF7" s="386"/>
      <c r="AG7" s="386">
        <f>-AG6*$C$7</f>
        <v>-81015.269685299412</v>
      </c>
      <c r="AH7" s="376"/>
    </row>
    <row r="8" spans="1:34" ht="13.8">
      <c r="A8" s="376" t="s">
        <v>261</v>
      </c>
      <c r="B8" s="376"/>
      <c r="C8" s="407">
        <v>1.0249999999999999</v>
      </c>
      <c r="D8" s="376"/>
      <c r="E8" s="387">
        <f>Application!Z796</f>
        <v>1500</v>
      </c>
      <c r="F8" s="387"/>
      <c r="G8" s="387">
        <f>E8*$C$8</f>
        <v>1537.4999999999998</v>
      </c>
      <c r="H8" s="387"/>
      <c r="I8" s="387">
        <f>G8*$C$8</f>
        <v>1575.9374999999995</v>
      </c>
      <c r="J8" s="387"/>
      <c r="K8" s="387">
        <f>I8*$C$8</f>
        <v>1615.3359374999993</v>
      </c>
      <c r="L8" s="387"/>
      <c r="M8" s="387">
        <f>K8*$C$8</f>
        <v>1655.7193359374992</v>
      </c>
      <c r="N8" s="387"/>
      <c r="O8" s="387">
        <f>M8*$C$8</f>
        <v>1697.1123193359365</v>
      </c>
      <c r="P8" s="387"/>
      <c r="Q8" s="387">
        <f>O8*$C$8</f>
        <v>1739.5401273193347</v>
      </c>
      <c r="R8" s="387"/>
      <c r="S8" s="387">
        <f>Q8*$C$8</f>
        <v>1783.028630502318</v>
      </c>
      <c r="T8" s="387"/>
      <c r="U8" s="387">
        <f>S8*$C$8</f>
        <v>1827.6043462648759</v>
      </c>
      <c r="V8" s="387"/>
      <c r="W8" s="387">
        <f>U8*$C$8</f>
        <v>1873.2944549214976</v>
      </c>
      <c r="X8" s="387"/>
      <c r="Y8" s="387">
        <f>W8*$C$8</f>
        <v>1920.1268162945348</v>
      </c>
      <c r="Z8" s="387"/>
      <c r="AA8" s="387">
        <f>Y8*$C$8</f>
        <v>1968.1299867018979</v>
      </c>
      <c r="AB8" s="387"/>
      <c r="AC8" s="387">
        <f>AA8*$C$8</f>
        <v>2017.3332363694451</v>
      </c>
      <c r="AD8" s="387"/>
      <c r="AE8" s="387">
        <f>AC8*$C$8</f>
        <v>2067.7665672786811</v>
      </c>
      <c r="AF8" s="387"/>
      <c r="AG8" s="387">
        <f>AE8*$C$8</f>
        <v>2119.4607314606478</v>
      </c>
      <c r="AH8" s="376"/>
    </row>
    <row r="9" spans="1:34" ht="13.8">
      <c r="A9" s="376"/>
      <c r="B9" s="376" t="s">
        <v>988</v>
      </c>
      <c r="C9" s="408">
        <f>C5</f>
        <v>6.0686763372620127E-2</v>
      </c>
      <c r="D9" s="376"/>
      <c r="E9" s="386">
        <f>-E8*$C$9</f>
        <v>-91.030145058930188</v>
      </c>
      <c r="F9" s="386"/>
      <c r="G9" s="386">
        <f>-G8*$C$9</f>
        <v>-93.305898685403434</v>
      </c>
      <c r="H9" s="386"/>
      <c r="I9" s="386">
        <f>-I8*$C$9</f>
        <v>-95.63854615253851</v>
      </c>
      <c r="J9" s="386"/>
      <c r="K9" s="386">
        <f>-K8*$C$9</f>
        <v>-98.029509806351953</v>
      </c>
      <c r="L9" s="386"/>
      <c r="M9" s="386">
        <f>-M8*$C$9</f>
        <v>-100.48024755151074</v>
      </c>
      <c r="N9" s="386"/>
      <c r="O9" s="386">
        <f>-O8*$C$9</f>
        <v>-102.99225374029851</v>
      </c>
      <c r="P9" s="386"/>
      <c r="Q9" s="386">
        <f>-Q8*$C$9</f>
        <v>-105.56706008380596</v>
      </c>
      <c r="R9" s="386"/>
      <c r="S9" s="386">
        <f>-S8*$C$9</f>
        <v>-108.2062365859011</v>
      </c>
      <c r="T9" s="386"/>
      <c r="U9" s="386">
        <f>-U8*$C$9</f>
        <v>-110.91139250054862</v>
      </c>
      <c r="V9" s="386"/>
      <c r="W9" s="386">
        <f>-W8*$C$9</f>
        <v>-113.68417731306232</v>
      </c>
      <c r="X9" s="386"/>
      <c r="Y9" s="386">
        <f>-Y8*$C$9</f>
        <v>-116.52628174588887</v>
      </c>
      <c r="Z9" s="386"/>
      <c r="AA9" s="386">
        <f>-AA8*$C$9</f>
        <v>-119.43943878953607</v>
      </c>
      <c r="AB9" s="386"/>
      <c r="AC9" s="386">
        <f>-AC8*$C$9</f>
        <v>-122.42542475927446</v>
      </c>
      <c r="AD9" s="386"/>
      <c r="AE9" s="386">
        <f>-AE8*$C$9</f>
        <v>-125.48606037825631</v>
      </c>
      <c r="AF9" s="386"/>
      <c r="AG9" s="386">
        <f>-AG8*$C$9</f>
        <v>-128.6232118877127</v>
      </c>
      <c r="AH9" s="376"/>
    </row>
    <row r="10" spans="1:34" ht="13.8">
      <c r="A10" s="935" t="s">
        <v>2376</v>
      </c>
      <c r="B10" s="935"/>
      <c r="C10" s="408"/>
      <c r="D10" s="376"/>
      <c r="E10" s="936">
        <f>-(SUM(E4:E9)-E35)</f>
        <v>743289</v>
      </c>
      <c r="F10" s="386"/>
      <c r="G10" s="936">
        <f>-(SUM(G4:G9)-G35)</f>
        <v>770460.66500000004</v>
      </c>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991944</v>
      </c>
      <c r="F11" s="388"/>
      <c r="G11" s="388">
        <f>SUM(G4:G10)</f>
        <v>1025332.04</v>
      </c>
      <c r="H11" s="388"/>
      <c r="I11" s="388">
        <f>SUM(I4:I10)</f>
        <v>1193631.7788219629</v>
      </c>
      <c r="J11" s="388"/>
      <c r="K11" s="388">
        <f>SUM(K4:K10)</f>
        <v>1223472.5732925117</v>
      </c>
      <c r="L11" s="388"/>
      <c r="M11" s="388">
        <f>SUM(M4:M10)</f>
        <v>1254059.3876248242</v>
      </c>
      <c r="N11" s="388"/>
      <c r="O11" s="388">
        <f>SUM(O4:O10)</f>
        <v>1285410.872315445</v>
      </c>
      <c r="P11" s="388"/>
      <c r="Q11" s="388">
        <f>SUM(Q4:Q10)</f>
        <v>1317546.1441233307</v>
      </c>
      <c r="R11" s="388"/>
      <c r="S11" s="388">
        <f>SUM(S4:S10)</f>
        <v>1350484.7977264139</v>
      </c>
      <c r="T11" s="388"/>
      <c r="U11" s="388">
        <f>SUM(U4:U10)</f>
        <v>1384246.917669574</v>
      </c>
      <c r="V11" s="388"/>
      <c r="W11" s="388">
        <f>SUM(W4:W10)</f>
        <v>1418853.0906113132</v>
      </c>
      <c r="X11" s="388"/>
      <c r="Y11" s="388">
        <f>SUM(Y4:Y10)</f>
        <v>1454324.4178765961</v>
      </c>
      <c r="Z11" s="388"/>
      <c r="AA11" s="388">
        <f>SUM(AA4:AA10)</f>
        <v>1490682.5283235109</v>
      </c>
      <c r="AB11" s="388"/>
      <c r="AC11" s="388">
        <f>SUM(AC4:AC10)</f>
        <v>1527949.5915315987</v>
      </c>
      <c r="AD11" s="388"/>
      <c r="AE11" s="388">
        <f>SUM(AE4:AE10)</f>
        <v>1566148.3313198884</v>
      </c>
      <c r="AF11" s="388"/>
      <c r="AG11" s="388">
        <f>SUM(AG4:AG10)</f>
        <v>1605302.0396028857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119156</v>
      </c>
      <c r="F15" s="384"/>
      <c r="G15" s="384">
        <f t="shared" ref="G15:G21" si="0">E15*$C$14</f>
        <v>123326.45999999999</v>
      </c>
      <c r="H15" s="384"/>
      <c r="I15" s="384">
        <f t="shared" ref="I15:I21" si="1">G15*$C$14</f>
        <v>127642.88609999999</v>
      </c>
      <c r="J15" s="384"/>
      <c r="K15" s="384">
        <f t="shared" ref="K15:K21" si="2">I15*$C$14</f>
        <v>132110.38711349998</v>
      </c>
      <c r="L15" s="384"/>
      <c r="M15" s="384">
        <f t="shared" ref="M15:M21" si="3">K15*$C$14</f>
        <v>136734.25066247248</v>
      </c>
      <c r="N15" s="384"/>
      <c r="O15" s="384">
        <f t="shared" ref="O15:O21" si="4">M15*$C$14</f>
        <v>141519.94943565901</v>
      </c>
      <c r="P15" s="384"/>
      <c r="Q15" s="384">
        <f t="shared" ref="Q15:Q21" si="5">O15*$C$14</f>
        <v>146473.14766590708</v>
      </c>
      <c r="R15" s="384"/>
      <c r="S15" s="384">
        <f t="shared" ref="S15:S21" si="6">Q15*$C$14</f>
        <v>151599.7078342138</v>
      </c>
      <c r="T15" s="384"/>
      <c r="U15" s="384">
        <f t="shared" ref="U15:U21" si="7">S15*$C$14</f>
        <v>156905.69760841125</v>
      </c>
      <c r="V15" s="384"/>
      <c r="W15" s="384">
        <f t="shared" ref="W15:W21" si="8">U15*$C$14</f>
        <v>162397.39702470563</v>
      </c>
      <c r="X15" s="384"/>
      <c r="Y15" s="384">
        <f t="shared" ref="Y15:Y21" si="9">W15*$C$14</f>
        <v>168081.3059205703</v>
      </c>
      <c r="Z15" s="384"/>
      <c r="AA15" s="384">
        <f t="shared" ref="AA15:AA21" si="10">Y15*$C$14</f>
        <v>173964.15162779024</v>
      </c>
      <c r="AB15" s="384"/>
      <c r="AC15" s="384">
        <f t="shared" ref="AC15:AC21" si="11">AA15*$C$14</f>
        <v>180052.89693476289</v>
      </c>
      <c r="AD15" s="384"/>
      <c r="AE15" s="384">
        <f t="shared" ref="AE15:AE21" si="12">AC15*$C$14</f>
        <v>186354.74832747958</v>
      </c>
      <c r="AF15" s="384"/>
      <c r="AG15" s="384">
        <f t="shared" ref="AG15:AG21" si="13">AE15*$C$14</f>
        <v>192877.16451894134</v>
      </c>
      <c r="AH15" s="384"/>
    </row>
    <row r="16" spans="1:34" ht="13.8">
      <c r="A16" s="376" t="s">
        <v>468</v>
      </c>
      <c r="B16" s="376"/>
      <c r="C16" s="398"/>
      <c r="D16" s="376"/>
      <c r="E16" s="387">
        <f>Application!W828</f>
        <v>73872</v>
      </c>
      <c r="F16" s="387"/>
      <c r="G16" s="387">
        <f t="shared" si="0"/>
        <v>76457.51999999999</v>
      </c>
      <c r="H16" s="387"/>
      <c r="I16" s="387">
        <f t="shared" si="1"/>
        <v>79133.533199999976</v>
      </c>
      <c r="J16" s="387"/>
      <c r="K16" s="387">
        <f t="shared" si="2"/>
        <v>81903.206861999963</v>
      </c>
      <c r="L16" s="387"/>
      <c r="M16" s="387">
        <f t="shared" si="3"/>
        <v>84769.81910216996</v>
      </c>
      <c r="N16" s="387"/>
      <c r="O16" s="387">
        <f t="shared" si="4"/>
        <v>87736.762770745903</v>
      </c>
      <c r="P16" s="387"/>
      <c r="Q16" s="387">
        <f t="shared" si="5"/>
        <v>90807.549467721998</v>
      </c>
      <c r="R16" s="387"/>
      <c r="S16" s="387">
        <f t="shared" si="6"/>
        <v>93985.813699092265</v>
      </c>
      <c r="T16" s="387"/>
      <c r="U16" s="387">
        <f t="shared" si="7"/>
        <v>97275.317178560494</v>
      </c>
      <c r="V16" s="387"/>
      <c r="W16" s="387">
        <f t="shared" si="8"/>
        <v>100679.9532798101</v>
      </c>
      <c r="X16" s="387"/>
      <c r="Y16" s="387">
        <f t="shared" si="9"/>
        <v>104203.75164460344</v>
      </c>
      <c r="Z16" s="387"/>
      <c r="AA16" s="387">
        <f t="shared" si="10"/>
        <v>107850.88295216455</v>
      </c>
      <c r="AB16" s="387"/>
      <c r="AC16" s="387">
        <f t="shared" si="11"/>
        <v>111625.6638554903</v>
      </c>
      <c r="AD16" s="387"/>
      <c r="AE16" s="387">
        <f t="shared" si="12"/>
        <v>115532.56209043246</v>
      </c>
      <c r="AF16" s="387"/>
      <c r="AG16" s="387">
        <f t="shared" si="13"/>
        <v>119576.20176359759</v>
      </c>
      <c r="AH16" s="376"/>
    </row>
    <row r="17" spans="1:34" ht="13.8">
      <c r="A17" s="376" t="s">
        <v>734</v>
      </c>
      <c r="B17" s="376"/>
      <c r="C17" s="398"/>
      <c r="D17" s="376"/>
      <c r="E17" s="387">
        <f>Application!W834</f>
        <v>125000</v>
      </c>
      <c r="F17" s="387"/>
      <c r="G17" s="387">
        <f t="shared" si="0"/>
        <v>129374.99999999999</v>
      </c>
      <c r="H17" s="387"/>
      <c r="I17" s="387">
        <f t="shared" si="1"/>
        <v>133903.12499999997</v>
      </c>
      <c r="J17" s="387"/>
      <c r="K17" s="387">
        <f t="shared" si="2"/>
        <v>138589.73437499997</v>
      </c>
      <c r="L17" s="387"/>
      <c r="M17" s="387">
        <f t="shared" si="3"/>
        <v>143440.37507812495</v>
      </c>
      <c r="N17" s="387"/>
      <c r="O17" s="387">
        <f t="shared" si="4"/>
        <v>148460.78820585931</v>
      </c>
      <c r="P17" s="387"/>
      <c r="Q17" s="387">
        <f t="shared" si="5"/>
        <v>153656.91579306437</v>
      </c>
      <c r="R17" s="387"/>
      <c r="S17" s="387">
        <f t="shared" si="6"/>
        <v>159034.90784582161</v>
      </c>
      <c r="T17" s="387"/>
      <c r="U17" s="387">
        <f t="shared" si="7"/>
        <v>164601.12962042534</v>
      </c>
      <c r="V17" s="387"/>
      <c r="W17" s="387">
        <f t="shared" si="8"/>
        <v>170362.16915714022</v>
      </c>
      <c r="X17" s="387"/>
      <c r="Y17" s="387">
        <f t="shared" si="9"/>
        <v>176324.84507764012</v>
      </c>
      <c r="Z17" s="387"/>
      <c r="AA17" s="387">
        <f t="shared" si="10"/>
        <v>182496.2146553575</v>
      </c>
      <c r="AB17" s="387"/>
      <c r="AC17" s="387">
        <f t="shared" si="11"/>
        <v>188883.58216829499</v>
      </c>
      <c r="AD17" s="387"/>
      <c r="AE17" s="387">
        <f t="shared" si="12"/>
        <v>195494.5075441853</v>
      </c>
      <c r="AF17" s="387"/>
      <c r="AG17" s="387">
        <f t="shared" si="13"/>
        <v>202336.81530823177</v>
      </c>
      <c r="AH17" s="376"/>
    </row>
    <row r="18" spans="1:34" ht="13.8">
      <c r="A18" s="376" t="s">
        <v>1079</v>
      </c>
      <c r="B18" s="376"/>
      <c r="C18" s="398"/>
      <c r="D18" s="376"/>
      <c r="E18" s="387">
        <f>Application!W841</f>
        <v>221240</v>
      </c>
      <c r="F18" s="387"/>
      <c r="G18" s="387">
        <f t="shared" si="0"/>
        <v>228983.4</v>
      </c>
      <c r="H18" s="387"/>
      <c r="I18" s="387">
        <f t="shared" si="1"/>
        <v>236997.81899999999</v>
      </c>
      <c r="J18" s="387"/>
      <c r="K18" s="387">
        <f t="shared" si="2"/>
        <v>245292.74266499997</v>
      </c>
      <c r="L18" s="387"/>
      <c r="M18" s="387">
        <f t="shared" si="3"/>
        <v>253877.98865827496</v>
      </c>
      <c r="N18" s="387"/>
      <c r="O18" s="387">
        <f t="shared" si="4"/>
        <v>262763.71826131456</v>
      </c>
      <c r="P18" s="387"/>
      <c r="Q18" s="387">
        <f t="shared" si="5"/>
        <v>271960.44840046053</v>
      </c>
      <c r="R18" s="387"/>
      <c r="S18" s="387">
        <f t="shared" si="6"/>
        <v>281479.06409447663</v>
      </c>
      <c r="T18" s="387"/>
      <c r="U18" s="387">
        <f t="shared" si="7"/>
        <v>291330.83133778331</v>
      </c>
      <c r="V18" s="387"/>
      <c r="W18" s="387">
        <f t="shared" si="8"/>
        <v>301527.41043460573</v>
      </c>
      <c r="X18" s="387"/>
      <c r="Y18" s="387">
        <f t="shared" si="9"/>
        <v>312080.86979981692</v>
      </c>
      <c r="Z18" s="387"/>
      <c r="AA18" s="387">
        <f t="shared" si="10"/>
        <v>323003.70024281048</v>
      </c>
      <c r="AB18" s="387"/>
      <c r="AC18" s="387">
        <f t="shared" si="11"/>
        <v>334308.82975130883</v>
      </c>
      <c r="AD18" s="387"/>
      <c r="AE18" s="387">
        <f t="shared" si="12"/>
        <v>346009.63879260462</v>
      </c>
      <c r="AF18" s="387"/>
      <c r="AG18" s="387">
        <f t="shared" si="13"/>
        <v>358119.97615034576</v>
      </c>
    </row>
    <row r="19" spans="1:34" ht="13.8">
      <c r="A19" s="376" t="s">
        <v>931</v>
      </c>
      <c r="B19" s="376"/>
      <c r="C19" s="398"/>
      <c r="D19" s="376"/>
      <c r="E19" s="387">
        <f>Application!W842</f>
        <v>90000</v>
      </c>
      <c r="F19" s="387"/>
      <c r="G19" s="387">
        <f t="shared" si="0"/>
        <v>93150</v>
      </c>
      <c r="H19" s="387"/>
      <c r="I19" s="387">
        <f t="shared" si="1"/>
        <v>96410.249999999985</v>
      </c>
      <c r="J19" s="387"/>
      <c r="K19" s="387">
        <f t="shared" si="2"/>
        <v>99784.60874999997</v>
      </c>
      <c r="L19" s="387"/>
      <c r="M19" s="387">
        <f t="shared" si="3"/>
        <v>103277.07005624996</v>
      </c>
      <c r="N19" s="387"/>
      <c r="O19" s="387">
        <f t="shared" si="4"/>
        <v>106891.76750821869</v>
      </c>
      <c r="P19" s="387"/>
      <c r="Q19" s="387">
        <f t="shared" si="5"/>
        <v>110632.97937100634</v>
      </c>
      <c r="R19" s="387"/>
      <c r="S19" s="387">
        <f t="shared" si="6"/>
        <v>114505.13364899156</v>
      </c>
      <c r="T19" s="387"/>
      <c r="U19" s="387">
        <f t="shared" si="7"/>
        <v>118512.81332670625</v>
      </c>
      <c r="V19" s="387"/>
      <c r="W19" s="387">
        <f t="shared" si="8"/>
        <v>122660.76179314096</v>
      </c>
      <c r="X19" s="387"/>
      <c r="Y19" s="387">
        <f t="shared" si="9"/>
        <v>126953.88845590089</v>
      </c>
      <c r="Z19" s="387"/>
      <c r="AA19" s="387">
        <f t="shared" si="10"/>
        <v>131397.27455185741</v>
      </c>
      <c r="AB19" s="387"/>
      <c r="AC19" s="387">
        <f t="shared" si="11"/>
        <v>135996.17916117242</v>
      </c>
      <c r="AD19" s="387"/>
      <c r="AE19" s="387">
        <f t="shared" si="12"/>
        <v>140756.04543181343</v>
      </c>
      <c r="AF19" s="387"/>
      <c r="AG19" s="387">
        <f t="shared" si="13"/>
        <v>145682.5070219269</v>
      </c>
    </row>
    <row r="20" spans="1:34" ht="13.8">
      <c r="A20" s="376" t="s">
        <v>55</v>
      </c>
      <c r="B20" s="376"/>
      <c r="C20" s="398"/>
      <c r="D20" s="376"/>
      <c r="E20" s="387">
        <f>Application!W851</f>
        <v>177000</v>
      </c>
      <c r="F20" s="387"/>
      <c r="G20" s="387">
        <f t="shared" si="0"/>
        <v>183195</v>
      </c>
      <c r="H20" s="387"/>
      <c r="I20" s="387">
        <f t="shared" si="1"/>
        <v>189606.82499999998</v>
      </c>
      <c r="J20" s="387"/>
      <c r="K20" s="387">
        <f t="shared" si="2"/>
        <v>196243.06387499996</v>
      </c>
      <c r="L20" s="387"/>
      <c r="M20" s="387">
        <f t="shared" si="3"/>
        <v>203111.57111062494</v>
      </c>
      <c r="N20" s="387"/>
      <c r="O20" s="387">
        <f t="shared" si="4"/>
        <v>210220.47609949679</v>
      </c>
      <c r="P20" s="387"/>
      <c r="Q20" s="387">
        <f t="shared" si="5"/>
        <v>217578.19276297916</v>
      </c>
      <c r="R20" s="387"/>
      <c r="S20" s="387">
        <f t="shared" si="6"/>
        <v>225193.42950968342</v>
      </c>
      <c r="T20" s="387"/>
      <c r="U20" s="387">
        <f t="shared" si="7"/>
        <v>233075.19954252231</v>
      </c>
      <c r="V20" s="387"/>
      <c r="W20" s="387">
        <f t="shared" si="8"/>
        <v>241232.83152651056</v>
      </c>
      <c r="X20" s="387"/>
      <c r="Y20" s="387">
        <f t="shared" si="9"/>
        <v>249675.98062993842</v>
      </c>
      <c r="Z20" s="387"/>
      <c r="AA20" s="387">
        <f t="shared" si="10"/>
        <v>258414.63995198626</v>
      </c>
      <c r="AB20" s="387"/>
      <c r="AC20" s="387">
        <f t="shared" si="11"/>
        <v>267459.15235030575</v>
      </c>
      <c r="AD20" s="387"/>
      <c r="AE20" s="387">
        <f t="shared" si="12"/>
        <v>276820.22268256644</v>
      </c>
      <c r="AF20" s="387"/>
      <c r="AG20" s="387">
        <f t="shared" si="13"/>
        <v>286508.93047645624</v>
      </c>
    </row>
    <row r="21" spans="1:34" ht="13.8">
      <c r="A21" s="599" t="s">
        <v>1219</v>
      </c>
      <c r="B21" s="599"/>
      <c r="C21" s="398"/>
      <c r="D21" s="376"/>
      <c r="E21" s="397">
        <f>Application!W858</f>
        <v>60000</v>
      </c>
      <c r="F21" s="387"/>
      <c r="G21" s="397">
        <f t="shared" si="0"/>
        <v>62099.999999999993</v>
      </c>
      <c r="H21" s="387"/>
      <c r="I21" s="397">
        <f t="shared" si="1"/>
        <v>64273.499999999985</v>
      </c>
      <c r="J21" s="387"/>
      <c r="K21" s="397">
        <f t="shared" si="2"/>
        <v>66523.07249999998</v>
      </c>
      <c r="L21" s="387"/>
      <c r="M21" s="397">
        <f t="shared" si="3"/>
        <v>68851.38003749997</v>
      </c>
      <c r="N21" s="387"/>
      <c r="O21" s="397">
        <f t="shared" si="4"/>
        <v>71261.17833881246</v>
      </c>
      <c r="P21" s="387"/>
      <c r="Q21" s="397">
        <f t="shared" si="5"/>
        <v>73755.319580670897</v>
      </c>
      <c r="R21" s="387"/>
      <c r="S21" s="397">
        <f t="shared" si="6"/>
        <v>76336.75576599437</v>
      </c>
      <c r="T21" s="387"/>
      <c r="U21" s="397">
        <f t="shared" si="7"/>
        <v>79008.542217804163</v>
      </c>
      <c r="V21" s="387"/>
      <c r="W21" s="397">
        <f t="shared" si="8"/>
        <v>81773.841195427303</v>
      </c>
      <c r="X21" s="387"/>
      <c r="Y21" s="397">
        <f t="shared" si="9"/>
        <v>84635.925637267253</v>
      </c>
      <c r="Z21" s="387"/>
      <c r="AA21" s="397">
        <f t="shared" si="10"/>
        <v>87598.183034571601</v>
      </c>
      <c r="AB21" s="387"/>
      <c r="AC21" s="397">
        <f t="shared" si="11"/>
        <v>90664.119440781593</v>
      </c>
      <c r="AD21" s="387"/>
      <c r="AE21" s="397">
        <f t="shared" si="12"/>
        <v>93837.363621208948</v>
      </c>
      <c r="AF21" s="387"/>
      <c r="AG21" s="397">
        <f t="shared" si="13"/>
        <v>97121.671347951255</v>
      </c>
    </row>
    <row r="22" spans="1:34" ht="13.8">
      <c r="A22" s="388" t="s">
        <v>1080</v>
      </c>
      <c r="B22" s="388"/>
      <c r="C22" s="398"/>
      <c r="D22" s="388"/>
      <c r="E22" s="388">
        <f>SUM(E15:E21)</f>
        <v>866268</v>
      </c>
      <c r="F22" s="388"/>
      <c r="G22" s="388">
        <f>SUM(G15:G21)</f>
        <v>896587.38</v>
      </c>
      <c r="H22" s="388"/>
      <c r="I22" s="388">
        <f>SUM(I15:I21)</f>
        <v>927967.93829999992</v>
      </c>
      <c r="J22" s="388"/>
      <c r="K22" s="388">
        <f>SUM(K15:K21)</f>
        <v>960446.8161404999</v>
      </c>
      <c r="L22" s="388"/>
      <c r="M22" s="388">
        <f>SUM(M15:M21)</f>
        <v>994062.45470541727</v>
      </c>
      <c r="N22" s="388"/>
      <c r="O22" s="388">
        <f>SUM(O15:O21)</f>
        <v>1028854.6406201067</v>
      </c>
      <c r="P22" s="388"/>
      <c r="Q22" s="388">
        <f>SUM(Q15:Q21)</f>
        <v>1064864.5530418104</v>
      </c>
      <c r="R22" s="388"/>
      <c r="S22" s="388">
        <f>SUM(S15:S21)</f>
        <v>1102134.8123982737</v>
      </c>
      <c r="T22" s="388"/>
      <c r="U22" s="388">
        <f>SUM(U15:U21)</f>
        <v>1140709.5308322131</v>
      </c>
      <c r="V22" s="388"/>
      <c r="W22" s="388">
        <f>SUM(W15:W21)</f>
        <v>1180634.3644113408</v>
      </c>
      <c r="X22" s="388"/>
      <c r="Y22" s="388">
        <f>SUM(Y15:Y21)</f>
        <v>1221956.5671657373</v>
      </c>
      <c r="Z22" s="388"/>
      <c r="AA22" s="388">
        <f>SUM(AA15:AA21)</f>
        <v>1264725.047016538</v>
      </c>
      <c r="AB22" s="388"/>
      <c r="AC22" s="388">
        <f>SUM(AC15:AC21)</f>
        <v>1308990.423662117</v>
      </c>
      <c r="AD22" s="388"/>
      <c r="AE22" s="388">
        <f>SUM(AE15:AE21)</f>
        <v>1354805.0884902908</v>
      </c>
      <c r="AF22" s="388"/>
      <c r="AG22" s="388">
        <f>SUM(AG15:AG21)</f>
        <v>1402223.2665874509</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87676</v>
      </c>
      <c r="F27" s="387"/>
      <c r="G27" s="387">
        <f>E27*$C$27</f>
        <v>90744.659999999989</v>
      </c>
      <c r="H27" s="387"/>
      <c r="I27" s="387">
        <f>G27*$C$27</f>
        <v>93920.723099999988</v>
      </c>
      <c r="J27" s="387"/>
      <c r="K27" s="387">
        <f>I27*$C$27</f>
        <v>97207.948408499986</v>
      </c>
      <c r="L27" s="387"/>
      <c r="M27" s="387">
        <f>K27*$C$27</f>
        <v>100610.22660279748</v>
      </c>
      <c r="N27" s="387"/>
      <c r="O27" s="387">
        <f>M27*$C$27</f>
        <v>104131.58453389538</v>
      </c>
      <c r="P27" s="387"/>
      <c r="Q27" s="387">
        <f>O27*$C$27</f>
        <v>107776.18999258171</v>
      </c>
      <c r="R27" s="387"/>
      <c r="S27" s="387">
        <f>Q27*$C$27</f>
        <v>111548.35664232206</v>
      </c>
      <c r="T27" s="387"/>
      <c r="U27" s="387">
        <f>S27*$C$27</f>
        <v>115452.54912480332</v>
      </c>
      <c r="V27" s="387"/>
      <c r="W27" s="387">
        <f>U27*$C$27</f>
        <v>119493.38834417143</v>
      </c>
      <c r="X27" s="387"/>
      <c r="Y27" s="387">
        <f>W27*$C$27</f>
        <v>123675.65693621742</v>
      </c>
      <c r="Z27" s="387"/>
      <c r="AA27" s="387">
        <f>Y27*$C$27</f>
        <v>128004.30492898502</v>
      </c>
      <c r="AB27" s="387"/>
      <c r="AC27" s="387">
        <f>AA27*$C$27</f>
        <v>132484.45560149947</v>
      </c>
      <c r="AD27" s="387"/>
      <c r="AE27" s="387">
        <f>AC27*$C$27</f>
        <v>137121.41154755195</v>
      </c>
      <c r="AF27" s="387"/>
      <c r="AG27" s="387">
        <f>AE27*$C$27</f>
        <v>141920.66095171624</v>
      </c>
    </row>
    <row r="28" spans="1:34" ht="13.8">
      <c r="A28" s="599" t="s">
        <v>1082</v>
      </c>
      <c r="B28" s="376"/>
      <c r="C28" s="407"/>
      <c r="D28" s="376"/>
      <c r="E28" s="387">
        <f>Application!AC868</f>
        <v>38000</v>
      </c>
      <c r="F28" s="387"/>
      <c r="G28" s="387">
        <f>$E$28</f>
        <v>38000</v>
      </c>
      <c r="H28" s="387"/>
      <c r="I28" s="387">
        <f>$E$28</f>
        <v>38000</v>
      </c>
      <c r="J28" s="387"/>
      <c r="K28" s="387">
        <f>$E$28</f>
        <v>38000</v>
      </c>
      <c r="L28" s="387"/>
      <c r="M28" s="387">
        <f>$E$28</f>
        <v>38000</v>
      </c>
      <c r="N28" s="387"/>
      <c r="O28" s="387">
        <f>$E$28</f>
        <v>38000</v>
      </c>
      <c r="P28" s="387"/>
      <c r="Q28" s="387">
        <f>$E$28</f>
        <v>38000</v>
      </c>
      <c r="R28" s="387"/>
      <c r="S28" s="387">
        <f>$E$28</f>
        <v>38000</v>
      </c>
      <c r="T28" s="387"/>
      <c r="U28" s="387">
        <f>$E$28</f>
        <v>38000</v>
      </c>
      <c r="V28" s="387"/>
      <c r="W28" s="387">
        <f>$E$28</f>
        <v>38000</v>
      </c>
      <c r="X28" s="387"/>
      <c r="Y28" s="387">
        <f>$E$28</f>
        <v>38000</v>
      </c>
      <c r="Z28" s="387"/>
      <c r="AA28" s="387">
        <f>$E$28</f>
        <v>38000</v>
      </c>
      <c r="AB28" s="387"/>
      <c r="AC28" s="387">
        <f>$E$28</f>
        <v>38000</v>
      </c>
      <c r="AD28" s="387"/>
      <c r="AE28" s="387">
        <f>$E$28</f>
        <v>38000</v>
      </c>
      <c r="AF28" s="387"/>
      <c r="AG28" s="387">
        <f>$E$28</f>
        <v>38000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991944</v>
      </c>
      <c r="F35" s="388"/>
      <c r="G35" s="388">
        <f>SUM(G22:G33)</f>
        <v>1025332.04</v>
      </c>
      <c r="H35" s="388"/>
      <c r="I35" s="388">
        <f>SUM(I22:I33)</f>
        <v>1059888.6613999999</v>
      </c>
      <c r="J35" s="388"/>
      <c r="K35" s="388">
        <f>SUM(K22:K33)</f>
        <v>1095654.764549</v>
      </c>
      <c r="L35" s="388"/>
      <c r="M35" s="388">
        <f>SUM(M22:M33)</f>
        <v>1132672.6813082148</v>
      </c>
      <c r="N35" s="388"/>
      <c r="O35" s="388">
        <f>SUM(O22:O33)</f>
        <v>1170986.2251540022</v>
      </c>
      <c r="P35" s="388"/>
      <c r="Q35" s="388">
        <f>SUM(Q22:Q33)</f>
        <v>1210640.7430343921</v>
      </c>
      <c r="R35" s="388"/>
      <c r="S35" s="388">
        <f>SUM(S22:S33)</f>
        <v>1251683.1690405959</v>
      </c>
      <c r="T35" s="388"/>
      <c r="U35" s="388">
        <f>SUM(U22:U33)</f>
        <v>1294162.0799570165</v>
      </c>
      <c r="V35" s="388"/>
      <c r="W35" s="388">
        <f>SUM(W22:W33)</f>
        <v>1338127.7527555123</v>
      </c>
      <c r="X35" s="388"/>
      <c r="Y35" s="388">
        <f>SUM(Y22:Y33)</f>
        <v>1383632.2241019546</v>
      </c>
      <c r="Z35" s="388"/>
      <c r="AA35" s="388">
        <f>SUM(AA22:AA33)</f>
        <v>1430729.3519455229</v>
      </c>
      <c r="AB35" s="388"/>
      <c r="AC35" s="388">
        <f>SUM(AC22:AC33)</f>
        <v>1479474.8792636164</v>
      </c>
      <c r="AD35" s="388"/>
      <c r="AE35" s="388">
        <f>SUM(AE22:AE33)</f>
        <v>1529926.5000378427</v>
      </c>
      <c r="AF35" s="388"/>
      <c r="AG35" s="388">
        <f>SUM(AG22:AG33)</f>
        <v>1582143.927539167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0</v>
      </c>
      <c r="F37" s="388"/>
      <c r="G37" s="388">
        <f>G11-G35</f>
        <v>0</v>
      </c>
      <c r="H37" s="388"/>
      <c r="I37" s="388">
        <f>I11-I35</f>
        <v>133743.11742196302</v>
      </c>
      <c r="J37" s="388"/>
      <c r="K37" s="388">
        <f>K11-K35</f>
        <v>127817.80874351179</v>
      </c>
      <c r="L37" s="388"/>
      <c r="M37" s="388">
        <f>M11-M35</f>
        <v>121386.7063166094</v>
      </c>
      <c r="N37" s="388"/>
      <c r="O37" s="388">
        <f>O11-O35</f>
        <v>114424.64716144279</v>
      </c>
      <c r="P37" s="388"/>
      <c r="Q37" s="388">
        <f>Q11-Q35</f>
        <v>106905.40108893858</v>
      </c>
      <c r="R37" s="388"/>
      <c r="S37" s="388">
        <f>S11-S35</f>
        <v>98801.628685818054</v>
      </c>
      <c r="T37" s="388"/>
      <c r="U37" s="388">
        <f>U11-U35</f>
        <v>90084.837712557521</v>
      </c>
      <c r="V37" s="388"/>
      <c r="W37" s="388">
        <f>W11-W35</f>
        <v>80725.337855800986</v>
      </c>
      <c r="X37" s="388"/>
      <c r="Y37" s="388">
        <f>Y11-Y35</f>
        <v>70692.193774641491</v>
      </c>
      <c r="Z37" s="388"/>
      <c r="AA37" s="388">
        <f>AA11-AA35</f>
        <v>59953.176377987955</v>
      </c>
      <c r="AB37" s="388"/>
      <c r="AC37" s="388">
        <f>AC11-AC35</f>
        <v>48474.712267982308</v>
      </c>
      <c r="AD37" s="388"/>
      <c r="AE37" s="388">
        <f>AE11-AE35</f>
        <v>36221.831282045692</v>
      </c>
      <c r="AF37" s="388"/>
      <c r="AG37" s="388">
        <f>AG11-AG35</f>
        <v>23158.112063718727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0</v>
      </c>
      <c r="F45" s="388"/>
      <c r="G45" s="388">
        <f>G37-G43</f>
        <v>0</v>
      </c>
      <c r="H45" s="388"/>
      <c r="I45" s="388">
        <f>I37-I43</f>
        <v>133743.11742196302</v>
      </c>
      <c r="J45" s="388"/>
      <c r="K45" s="388">
        <f>K37-K43</f>
        <v>127817.80874351179</v>
      </c>
      <c r="L45" s="388"/>
      <c r="M45" s="388">
        <f>M37-M43</f>
        <v>121386.7063166094</v>
      </c>
      <c r="N45" s="388"/>
      <c r="O45" s="388">
        <f>O37-O43</f>
        <v>114424.64716144279</v>
      </c>
      <c r="P45" s="388"/>
      <c r="Q45" s="388">
        <f>Q37-Q43</f>
        <v>106905.40108893858</v>
      </c>
      <c r="R45" s="388"/>
      <c r="S45" s="388">
        <f>S37-S43</f>
        <v>98801.628685818054</v>
      </c>
      <c r="T45" s="388"/>
      <c r="U45" s="388">
        <f>U37-U43</f>
        <v>90084.837712557521</v>
      </c>
      <c r="V45" s="388"/>
      <c r="W45" s="388">
        <f>W37-W43</f>
        <v>80725.337855800986</v>
      </c>
      <c r="X45" s="388"/>
      <c r="Y45" s="388">
        <f>Y37-Y43</f>
        <v>70692.193774641491</v>
      </c>
      <c r="Z45" s="388"/>
      <c r="AA45" s="388">
        <f>AA37-AA43</f>
        <v>59953.176377987955</v>
      </c>
      <c r="AB45" s="388"/>
      <c r="AC45" s="388">
        <f>AC37-AC43</f>
        <v>48474.712267982308</v>
      </c>
      <c r="AD45" s="388"/>
      <c r="AE45" s="388">
        <f>AE37-AE43</f>
        <v>36221.831282045692</v>
      </c>
      <c r="AF45" s="388"/>
      <c r="AG45" s="388">
        <f>AG37-AG43</f>
        <v>23158.112063718727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0</v>
      </c>
      <c r="F47" s="392"/>
      <c r="G47" s="392">
        <f>G45/(G4+G6+G8)</f>
        <v>0</v>
      </c>
      <c r="H47" s="392"/>
      <c r="I47" s="392">
        <f>I45/(I4+I6+I8)</f>
        <v>0.10524743286094912</v>
      </c>
      <c r="J47" s="392"/>
      <c r="K47" s="392">
        <f>K45/(K4+K6+K8)</f>
        <v>9.8131304493723967E-2</v>
      </c>
      <c r="L47" s="392"/>
      <c r="M47" s="392">
        <f>M45/(M4+M6+M8)</f>
        <v>9.0920845630560271E-2</v>
      </c>
      <c r="N47" s="392"/>
      <c r="O47" s="392">
        <f>O45/(O4+O6+O8)</f>
        <v>8.3615743409384033E-2</v>
      </c>
      <c r="P47" s="392"/>
      <c r="Q47" s="392">
        <f>Q45/(Q4+Q6+Q8)</f>
        <v>7.6215667100308693E-2</v>
      </c>
      <c r="R47" s="392"/>
      <c r="S47" s="392">
        <f>S45/(S4+S6+S8)</f>
        <v>6.8720268292670736E-2</v>
      </c>
      <c r="T47" s="392"/>
      <c r="U47" s="392">
        <f>U45/(U4+U6+U8)</f>
        <v>6.112918107507271E-2</v>
      </c>
      <c r="V47" s="392"/>
      <c r="W47" s="392">
        <f>W45/(W4+W6+W8)</f>
        <v>5.3442022208586341E-2</v>
      </c>
      <c r="X47" s="392"/>
      <c r="Y47" s="392">
        <f>Y45/(Y4+Y6+Y8)</f>
        <v>4.5658391293257397E-2</v>
      </c>
      <c r="Z47" s="392"/>
      <c r="AA47" s="392">
        <f>AA45/(AA4+AA6+AA8)</f>
        <v>3.7777870928046783E-2</v>
      </c>
      <c r="AB47" s="392"/>
      <c r="AC47" s="392">
        <f>AC45/(AC4+AC6+AC8)</f>
        <v>2.9800026864353381E-2</v>
      </c>
      <c r="AD47" s="392"/>
      <c r="AE47" s="392">
        <f>AE45/(AE4+AE6+AE8)</f>
        <v>2.1724408153240136E-2</v>
      </c>
      <c r="AF47" s="392"/>
      <c r="AG47" s="392">
        <f>AG45/(AG4+AG6+AG8)</f>
        <v>1.3550547286498389E-2</v>
      </c>
      <c r="AH47" s="392"/>
      <c r="AI47" s="392"/>
    </row>
    <row r="48" spans="1:35" ht="13.8">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3.8">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0</v>
      </c>
      <c r="F60" s="374"/>
      <c r="G60" s="374">
        <f>G45-G58</f>
        <v>0</v>
      </c>
      <c r="H60" s="374"/>
      <c r="I60" s="374">
        <f>I45-I58</f>
        <v>133743.11742196302</v>
      </c>
      <c r="J60" s="374"/>
      <c r="K60" s="374">
        <f>K45-K58</f>
        <v>127817.80874351179</v>
      </c>
      <c r="L60" s="374"/>
      <c r="M60" s="374">
        <f>M45-M58</f>
        <v>121386.7063166094</v>
      </c>
      <c r="N60" s="374"/>
      <c r="O60" s="374">
        <f>O45-O58</f>
        <v>114424.64716144279</v>
      </c>
      <c r="P60" s="374"/>
      <c r="Q60" s="374">
        <f>Q45-Q58</f>
        <v>106905.40108893858</v>
      </c>
      <c r="R60" s="374"/>
      <c r="S60" s="374">
        <f>S45-S58</f>
        <v>98801.628685818054</v>
      </c>
      <c r="T60" s="374"/>
      <c r="U60" s="374">
        <f>U45-U58</f>
        <v>90084.837712557521</v>
      </c>
      <c r="V60" s="374"/>
      <c r="W60" s="374">
        <f>W45-W58</f>
        <v>80725.337855800986</v>
      </c>
      <c r="X60" s="374"/>
      <c r="Y60" s="374">
        <f>Y45-Y58</f>
        <v>70692.193774641491</v>
      </c>
      <c r="Z60" s="374"/>
      <c r="AA60" s="374">
        <f>AA45-AA58</f>
        <v>59953.176377987955</v>
      </c>
      <c r="AB60" s="374"/>
      <c r="AC60" s="374">
        <f>AC45-AC58</f>
        <v>48474.712267982308</v>
      </c>
      <c r="AD60" s="374"/>
      <c r="AE60" s="374">
        <f>AE45-AE58</f>
        <v>36221.831282045692</v>
      </c>
      <c r="AF60" s="374"/>
      <c r="AG60" s="374">
        <f>AG45-AG58</f>
        <v>23158.112063718727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133743.11742196302</v>
      </c>
      <c r="J72" s="380"/>
      <c r="K72" s="374">
        <f>K60-K62-K70</f>
        <v>127817.80874351179</v>
      </c>
      <c r="L72" s="380"/>
      <c r="M72" s="374">
        <f>M60-M62-M70</f>
        <v>121386.7063166094</v>
      </c>
      <c r="N72" s="380"/>
      <c r="O72" s="374">
        <f>O60-O62-O70</f>
        <v>114424.64716144279</v>
      </c>
      <c r="P72" s="380"/>
      <c r="Q72" s="374">
        <f>Q60-Q62-Q70</f>
        <v>106905.40108893858</v>
      </c>
      <c r="R72" s="380"/>
      <c r="S72" s="374">
        <f>S60-S62-S70</f>
        <v>98801.628685818054</v>
      </c>
      <c r="T72" s="380"/>
      <c r="U72" s="374">
        <f>U60-U62-U70</f>
        <v>90084.837712557521</v>
      </c>
      <c r="V72" s="380"/>
      <c r="W72" s="374">
        <f>W60-W62-W70</f>
        <v>80725.337855800986</v>
      </c>
      <c r="X72" s="380"/>
      <c r="Y72" s="374">
        <f>Y60-Y62-Y70</f>
        <v>70692.193774641491</v>
      </c>
      <c r="Z72" s="380"/>
      <c r="AA72" s="374">
        <f>AA60-AA62-AA70</f>
        <v>59953.176377987955</v>
      </c>
      <c r="AB72" s="380"/>
      <c r="AC72" s="374">
        <f>AC60-AC62-AC70</f>
        <v>48474.712267982308</v>
      </c>
      <c r="AD72" s="380"/>
      <c r="AE72" s="374">
        <f>AE60-AE62-AE70</f>
        <v>36221.831282045692</v>
      </c>
      <c r="AF72" s="380"/>
      <c r="AG72" s="374">
        <f>AG60-AG62-AG70</f>
        <v>23158.112063718727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1099</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5" sqref="E5"/>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4" t="s">
        <v>1170</v>
      </c>
      <c r="B1" s="1964"/>
      <c r="C1" s="1964"/>
      <c r="D1" s="1964"/>
      <c r="E1" s="1964"/>
      <c r="F1" s="1964"/>
      <c r="G1" s="1964"/>
      <c r="H1" s="1964"/>
      <c r="I1" s="196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60</v>
      </c>
      <c r="C4" s="602">
        <f>Application!$O695</f>
        <v>287</v>
      </c>
      <c r="D4" s="603"/>
      <c r="E4" s="942">
        <f>1600-[1]EVERYTHING!$AB$8</f>
        <v>1600</v>
      </c>
      <c r="F4" s="602">
        <f>$E4*$B4</f>
        <v>96000</v>
      </c>
      <c r="G4" s="603"/>
      <c r="H4" s="602">
        <f>IF($E4=0,0,MAX($E4-$C4,0))</f>
        <v>1313</v>
      </c>
      <c r="I4" s="602">
        <f>IF($H4=0,0,($H4*$B4))</f>
        <v>78780</v>
      </c>
    </row>
    <row r="5" spans="1:9">
      <c r="A5" s="602" t="str">
        <f>Application!$B696</f>
        <v>1 Bedroom</v>
      </c>
      <c r="B5" s="943">
        <f>Application!$G696</f>
        <v>5</v>
      </c>
      <c r="C5" s="602">
        <f>Application!$O696</f>
        <v>369</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10</v>
      </c>
      <c r="C6" s="602">
        <f>Application!$O697</f>
        <v>287</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263220</v>
      </c>
      <c r="D40" s="603"/>
      <c r="E40" s="603"/>
      <c r="F40" s="606">
        <f>SUM(F4:F38)*12</f>
        <v>1152000</v>
      </c>
      <c r="G40" s="607"/>
      <c r="H40" s="605"/>
      <c r="I40" s="606">
        <f>SUM(I4:I38)*12</f>
        <v>945360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4" t="s">
        <v>1100</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1606</v>
      </c>
      <c r="U7" s="1602"/>
      <c r="V7" s="1602"/>
      <c r="W7" s="1602"/>
      <c r="X7" s="1602"/>
      <c r="Y7" s="1602" t="s">
        <v>1748</v>
      </c>
      <c r="Z7" s="1602"/>
      <c r="AA7" s="1602"/>
      <c r="AB7" s="1602"/>
      <c r="AC7" s="1602"/>
      <c r="AD7" s="1602" t="s">
        <v>1360</v>
      </c>
      <c r="AE7" s="1602"/>
      <c r="AF7" s="1602"/>
      <c r="AG7" s="1602"/>
      <c r="AH7" s="1602"/>
      <c r="AI7" s="1602" t="s">
        <v>1749</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508</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25862792.009951204</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13925000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1712</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8" t="s">
        <v>1364</v>
      </c>
      <c r="D18" s="1629"/>
      <c r="E18" s="1629"/>
      <c r="F18" s="1629"/>
      <c r="G18" s="1629"/>
      <c r="H18" s="1629"/>
      <c r="I18" s="1629"/>
      <c r="J18" s="1629"/>
      <c r="K18" s="1629"/>
      <c r="L18" s="1629"/>
      <c r="M18" s="1629"/>
      <c r="N18" s="1629"/>
      <c r="O18" s="1629"/>
      <c r="P18" s="1629"/>
      <c r="Q18" s="1629"/>
      <c r="R18" s="1629"/>
      <c r="S18" s="1630"/>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6" t="s">
        <v>771</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1711</v>
      </c>
      <c r="C21" s="1107"/>
      <c r="D21" s="1107"/>
      <c r="E21" s="1107"/>
      <c r="F21" s="1107"/>
      <c r="G21" s="1107"/>
      <c r="H21" s="1107"/>
      <c r="I21" s="1107"/>
      <c r="J21" s="1107"/>
      <c r="K21" s="1107"/>
      <c r="L21" s="1107"/>
      <c r="M21" s="1107"/>
      <c r="N21" s="1107"/>
      <c r="O21" s="1107"/>
      <c r="P21" s="1107"/>
      <c r="Q21" s="1107"/>
      <c r="R21" s="1107"/>
      <c r="S21" s="1109"/>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6671213</v>
      </c>
      <c r="AJ21" s="1186"/>
      <c r="AK21" s="1186"/>
      <c r="AL21" s="1186"/>
      <c r="AM21" s="1186"/>
    </row>
    <row r="22" spans="1:39" ht="12.9" customHeight="1">
      <c r="B22" s="1106" t="s">
        <v>772</v>
      </c>
      <c r="C22" s="1107"/>
      <c r="D22" s="1107"/>
      <c r="E22" s="1107"/>
      <c r="F22" s="1107"/>
      <c r="G22" s="1107"/>
      <c r="H22" s="1107"/>
      <c r="I22" s="1107"/>
      <c r="J22" s="1107"/>
      <c r="K22" s="1107"/>
      <c r="L22" s="1107"/>
      <c r="M22" s="1107"/>
      <c r="N22" s="1107"/>
      <c r="O22" s="1107"/>
      <c r="P22" s="1107"/>
      <c r="Q22" s="1107"/>
      <c r="R22" s="1107"/>
      <c r="S22" s="1109"/>
      <c r="T22" s="1633">
        <f>(T20+T21)*-1</f>
        <v>0</v>
      </c>
      <c r="U22" s="1634"/>
      <c r="V22" s="1634"/>
      <c r="W22" s="1634"/>
      <c r="X22" s="1634"/>
      <c r="Y22" s="1633">
        <f>(Y20+Y21)*-1</f>
        <v>0</v>
      </c>
      <c r="Z22" s="1634"/>
      <c r="AA22" s="1634"/>
      <c r="AB22" s="1634"/>
      <c r="AC22" s="1634"/>
      <c r="AD22" s="1633">
        <f>(AD20+AD21)*-1</f>
        <v>0</v>
      </c>
      <c r="AE22" s="1634"/>
      <c r="AF22" s="1634"/>
      <c r="AG22" s="1634"/>
      <c r="AH22" s="1634"/>
      <c r="AI22" s="1633">
        <f>(AI20+AI21)*-1</f>
        <v>-6671213</v>
      </c>
      <c r="AJ22" s="1634"/>
      <c r="AK22" s="1634"/>
      <c r="AL22" s="1634"/>
      <c r="AM22" s="1634"/>
    </row>
    <row r="23" spans="1:39" ht="12.9" customHeight="1">
      <c r="B23" s="1106" t="s">
        <v>773</v>
      </c>
      <c r="C23" s="1107"/>
      <c r="D23" s="1107"/>
      <c r="E23" s="1107"/>
      <c r="F23" s="1107"/>
      <c r="G23" s="1107"/>
      <c r="H23" s="1107"/>
      <c r="I23" s="1107"/>
      <c r="J23" s="1107"/>
      <c r="K23" s="1107"/>
      <c r="L23" s="1107"/>
      <c r="M23" s="1107"/>
      <c r="N23" s="1107"/>
      <c r="O23" s="1107"/>
      <c r="P23" s="1107"/>
      <c r="Q23" s="1107"/>
      <c r="R23" s="1107"/>
      <c r="S23" s="1109"/>
      <c r="T23" s="1599">
        <f>T11+T22</f>
        <v>25862792.009951204</v>
      </c>
      <c r="U23" s="1299"/>
      <c r="V23" s="1299"/>
      <c r="W23" s="1299"/>
      <c r="X23" s="1299"/>
      <c r="Y23" s="1599">
        <f>Y11+Y22</f>
        <v>0</v>
      </c>
      <c r="Z23" s="1299"/>
      <c r="AA23" s="1299"/>
      <c r="AB23" s="1299"/>
      <c r="AC23" s="1299"/>
      <c r="AD23" s="1599">
        <f>AD11+AD22</f>
        <v>13925000</v>
      </c>
      <c r="AE23" s="1299"/>
      <c r="AF23" s="1299"/>
      <c r="AG23" s="1299"/>
      <c r="AH23" s="1299"/>
      <c r="AI23" s="1599">
        <f>AI11+AI22</f>
        <v>-6671213</v>
      </c>
      <c r="AJ23" s="1299"/>
      <c r="AK23" s="1299"/>
      <c r="AL23" s="1299"/>
      <c r="AM23" s="1299"/>
    </row>
    <row r="24" spans="1:39" ht="12.9" customHeight="1">
      <c r="B24" s="1106" t="s">
        <v>1218</v>
      </c>
      <c r="C24" s="1107"/>
      <c r="D24" s="1107"/>
      <c r="E24" s="1107"/>
      <c r="F24" s="1107"/>
      <c r="G24" s="1107"/>
      <c r="H24" s="1107"/>
      <c r="I24" s="1107"/>
      <c r="J24" s="1107"/>
      <c r="K24" s="1107"/>
      <c r="L24" s="1107"/>
      <c r="M24" s="1107"/>
      <c r="N24" s="1107"/>
      <c r="O24" s="1107"/>
      <c r="P24" s="1107"/>
      <c r="Q24" s="1107"/>
      <c r="R24" s="1107"/>
      <c r="S24" s="1109"/>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1747</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9"/>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774</v>
      </c>
      <c r="C26" s="1107"/>
      <c r="D26" s="1107"/>
      <c r="E26" s="1107"/>
      <c r="F26" s="1107"/>
      <c r="G26" s="1107"/>
      <c r="H26" s="1107"/>
      <c r="I26" s="1107"/>
      <c r="J26" s="1107"/>
      <c r="K26" s="1107"/>
      <c r="L26" s="1107"/>
      <c r="M26" s="1107"/>
      <c r="N26" s="1107"/>
      <c r="O26" s="1107"/>
      <c r="P26" s="1107"/>
      <c r="Q26" s="1107"/>
      <c r="R26" s="1107"/>
      <c r="S26" s="1109"/>
      <c r="T26" s="1094">
        <f>T23*T25</f>
        <v>25862792.009951204</v>
      </c>
      <c r="U26" s="1611"/>
      <c r="V26" s="1611"/>
      <c r="W26" s="1611"/>
      <c r="X26" s="1611"/>
      <c r="Y26" s="1094">
        <f>Y23*Y25</f>
        <v>0</v>
      </c>
      <c r="Z26" s="1611"/>
      <c r="AA26" s="1611"/>
      <c r="AB26" s="1611"/>
      <c r="AC26" s="1611"/>
      <c r="AD26" s="1094">
        <f>AD23*AD25</f>
        <v>13925000</v>
      </c>
      <c r="AE26" s="1611"/>
      <c r="AF26" s="1611"/>
      <c r="AG26" s="1611"/>
      <c r="AH26" s="1611"/>
      <c r="AI26" s="1094">
        <f>AI23*AI25</f>
        <v>-6671213</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4">
        <f>IF(ISERROR((T26*T27)),0,(T26*T27))</f>
        <v>25862792.009951204</v>
      </c>
      <c r="U28" s="1611"/>
      <c r="V28" s="1611"/>
      <c r="W28" s="1611"/>
      <c r="X28" s="1611"/>
      <c r="Y28" s="1094">
        <f>IF(ISERROR((Y26*Y27)),0,(Y26*Y27))</f>
        <v>0</v>
      </c>
      <c r="Z28" s="1611"/>
      <c r="AA28" s="1611"/>
      <c r="AB28" s="1611"/>
      <c r="AC28" s="1611"/>
      <c r="AD28" s="1094">
        <f>IF(ISERROR((AD26*AD27)),0,(AD26*AD27))</f>
        <v>13925000</v>
      </c>
      <c r="AE28" s="1611"/>
      <c r="AF28" s="1611"/>
      <c r="AG28" s="1611"/>
      <c r="AH28" s="1611"/>
      <c r="AI28" s="1094">
        <f>IF(ISERROR((AI26*AI27)),0,(AI26*AI27))</f>
        <v>-6671213</v>
      </c>
      <c r="AJ28" s="1611"/>
      <c r="AK28" s="1611"/>
      <c r="AL28" s="1611"/>
      <c r="AM28" s="1611"/>
    </row>
    <row r="29" spans="1:39" ht="12.9" customHeight="1">
      <c r="B29" s="1106" t="s">
        <v>623</v>
      </c>
      <c r="C29" s="1107"/>
      <c r="D29" s="1107"/>
      <c r="E29" s="1107"/>
      <c r="F29" s="1107"/>
      <c r="G29" s="1107"/>
      <c r="H29" s="1107"/>
      <c r="I29" s="1107"/>
      <c r="J29" s="1107"/>
      <c r="K29" s="1107"/>
      <c r="L29" s="1107"/>
      <c r="M29" s="1107"/>
      <c r="N29" s="1107"/>
      <c r="O29" s="1107"/>
      <c r="P29" s="1107"/>
      <c r="Q29" s="1107"/>
      <c r="R29" s="1107"/>
      <c r="S29" s="1109"/>
      <c r="T29" s="1600">
        <f>T28+Y28+AD28+AI28</f>
        <v>33116579.009951204</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31" t="s">
        <v>41</v>
      </c>
      <c r="AE35" s="1231"/>
      <c r="AF35" s="1231"/>
      <c r="AG35" s="1231"/>
      <c r="AH35" s="1231"/>
    </row>
    <row r="36" spans="1:40" ht="12.9" customHeight="1">
      <c r="B36" s="204"/>
      <c r="X36" s="71"/>
      <c r="Y36" s="1602"/>
      <c r="Z36" s="1602"/>
      <c r="AA36" s="1602"/>
      <c r="AB36" s="1602"/>
      <c r="AC36" s="1602"/>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1"/>
      <c r="AE37" s="1231"/>
      <c r="AF37" s="1231"/>
      <c r="AG37" s="1231"/>
      <c r="AH37" s="1231"/>
    </row>
    <row r="38" spans="1:40" ht="12.9"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0</v>
      </c>
      <c r="Z38" s="1299"/>
      <c r="AA38" s="1299"/>
      <c r="AB38" s="1299"/>
      <c r="AC38" s="1299"/>
      <c r="AD38" s="1299">
        <f>IF(T24&gt;=(T23+Y23+AD23+AI23),AD28+AI28,0)</f>
        <v>0</v>
      </c>
      <c r="AE38" s="1299"/>
      <c r="AF38" s="1299"/>
      <c r="AG38" s="1299"/>
      <c r="AH38" s="1299"/>
    </row>
    <row r="39" spans="1:40" ht="12.9" customHeight="1">
      <c r="B39" s="1106" t="s">
        <v>765</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6">
        <v>0.09</v>
      </c>
      <c r="Z39" s="1966"/>
      <c r="AA39" s="1966"/>
      <c r="AB39" s="1966"/>
      <c r="AC39" s="1966"/>
      <c r="AD39" s="1598">
        <v>0.04</v>
      </c>
      <c r="AE39" s="1598"/>
      <c r="AF39" s="1598"/>
      <c r="AG39" s="1598"/>
      <c r="AH39" s="1598"/>
    </row>
    <row r="40" spans="1:40"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0</v>
      </c>
      <c r="Z40" s="1299"/>
      <c r="AA40" s="1299"/>
      <c r="AB40" s="1299"/>
      <c r="AC40" s="1299"/>
      <c r="AD40" s="1599">
        <f>ROUND(AD38*AD39,0)</f>
        <v>0</v>
      </c>
      <c r="AE40" s="1299"/>
      <c r="AF40" s="1299"/>
      <c r="AG40" s="1299"/>
      <c r="AH40" s="1299"/>
    </row>
    <row r="41" spans="1:40" ht="12.9"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IF((Y40+AD40)&gt;2500000,2500000,Y40+AD40)</f>
        <v>0</v>
      </c>
      <c r="Z41" s="1601"/>
      <c r="AA41" s="1601"/>
      <c r="AB41" s="1601"/>
      <c r="AC41" s="1601"/>
      <c r="AD41" s="1601"/>
      <c r="AE41" s="1601"/>
      <c r="AF41" s="1601"/>
      <c r="AG41" s="1601"/>
      <c r="AH41" s="1599"/>
    </row>
    <row r="42" spans="1:40" ht="12.9"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41174519.53376168</v>
      </c>
      <c r="AC46" s="1233"/>
      <c r="AD46" s="1233"/>
      <c r="AE46" s="1233"/>
      <c r="AF46" s="1234"/>
    </row>
    <row r="47" spans="1:40" ht="12.9" customHeight="1">
      <c r="D47" s="3" t="s">
        <v>837</v>
      </c>
      <c r="AB47" s="1232">
        <f>Application!AG633-MIN('Sources and Uses Budget'!B15,Application!AG385)</f>
        <v>0</v>
      </c>
      <c r="AC47" s="1233"/>
      <c r="AD47" s="1233"/>
      <c r="AE47" s="1233"/>
      <c r="AF47" s="1234"/>
    </row>
    <row r="48" spans="1:40" ht="12.9" customHeight="1">
      <c r="D48" s="3" t="s">
        <v>378</v>
      </c>
      <c r="AB48" s="1232">
        <f>AB46-AB47</f>
        <v>41174519.53376168</v>
      </c>
      <c r="AC48" s="1233"/>
      <c r="AD48" s="1233"/>
      <c r="AE48" s="1233"/>
      <c r="AF48" s="1234"/>
    </row>
    <row r="49" spans="1:40" ht="12.9" customHeight="1">
      <c r="D49" s="3" t="s">
        <v>872</v>
      </c>
      <c r="AA49" s="34"/>
      <c r="AB49" s="1605"/>
      <c r="AC49" s="1606"/>
      <c r="AD49" s="1606"/>
      <c r="AE49" s="1606"/>
      <c r="AF49" s="1607"/>
    </row>
    <row r="50" spans="1:40" s="323" customFormat="1" ht="12.9"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561</v>
      </c>
      <c r="AB54" s="1232">
        <f>(AB53/10)</f>
        <v>0</v>
      </c>
      <c r="AC54" s="1233"/>
      <c r="AD54" s="1233"/>
      <c r="AE54" s="1233"/>
      <c r="AF54" s="1234"/>
    </row>
    <row r="55" spans="1:40" ht="12.9" customHeight="1">
      <c r="D55" s="3" t="s">
        <v>341</v>
      </c>
      <c r="AB55" s="1232">
        <f>(IF((Y41&lt;AB54),Y41,AB54))</f>
        <v>0</v>
      </c>
      <c r="AC55" s="1233"/>
      <c r="AD55" s="1233"/>
      <c r="AE55" s="1233"/>
      <c r="AF55" s="1234"/>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41174519.53376168</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9" t="s">
        <v>298</v>
      </c>
      <c r="Z62" s="1549"/>
      <c r="AA62" s="1549"/>
      <c r="AB62" s="1549"/>
      <c r="AC62" s="1549"/>
      <c r="AD62" s="1549" t="s">
        <v>41</v>
      </c>
      <c r="AE62" s="1549"/>
      <c r="AF62" s="1549"/>
      <c r="AG62" s="1549"/>
      <c r="AH62" s="154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9">
        <f>Y28</f>
        <v>0</v>
      </c>
      <c r="Z63" s="1608"/>
      <c r="AA63" s="1608"/>
      <c r="AB63" s="1608"/>
      <c r="AC63" s="1608"/>
      <c r="AD63" s="1299">
        <f>AI28</f>
        <v>-6671213</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2.2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941</v>
      </c>
      <c r="Y67" s="1299">
        <f>ROUND(Y63*Y66,0)</f>
        <v>0</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5"/>
      <c r="AC70" s="1606"/>
      <c r="AD70" s="1606"/>
      <c r="AE70" s="1606"/>
      <c r="AF70" s="1607"/>
    </row>
    <row r="71" spans="1:34" ht="12.9" customHeight="1">
      <c r="A71" s="3"/>
      <c r="C71" s="3"/>
      <c r="D71" s="3"/>
      <c r="E71" s="1609" t="s">
        <v>1745</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303">
        <f>AB48-(AB56+AB77)</f>
        <v>41174519.53376168</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4" t="s">
        <v>1354</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1606</v>
      </c>
      <c r="U7" s="1602"/>
      <c r="V7" s="1602"/>
      <c r="W7" s="1602"/>
      <c r="X7" s="1602"/>
      <c r="Y7" s="1602" t="s">
        <v>1748</v>
      </c>
      <c r="Z7" s="1602"/>
      <c r="AA7" s="1602"/>
      <c r="AB7" s="1602"/>
      <c r="AC7" s="1602"/>
      <c r="AD7" s="1602" t="s">
        <v>1360</v>
      </c>
      <c r="AE7" s="1602"/>
      <c r="AF7" s="1602"/>
      <c r="AG7" s="1602"/>
      <c r="AH7" s="1602"/>
      <c r="AI7" s="1602" t="s">
        <v>1749</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40.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508</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25862792.009951204</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13925000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1712</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8" t="s">
        <v>1364</v>
      </c>
      <c r="D18" s="1629"/>
      <c r="E18" s="1629"/>
      <c r="F18" s="1629"/>
      <c r="G18" s="1629"/>
      <c r="H18" s="1629"/>
      <c r="I18" s="1629"/>
      <c r="J18" s="1629"/>
      <c r="K18" s="1629"/>
      <c r="L18" s="1629"/>
      <c r="M18" s="1629"/>
      <c r="N18" s="1629"/>
      <c r="O18" s="1629"/>
      <c r="P18" s="1629"/>
      <c r="Q18" s="1629"/>
      <c r="R18" s="1629"/>
      <c r="S18" s="1630"/>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6" t="s">
        <v>771</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1711</v>
      </c>
      <c r="C21" s="1107"/>
      <c r="D21" s="1107"/>
      <c r="E21" s="1107"/>
      <c r="F21" s="1107"/>
      <c r="G21" s="1107"/>
      <c r="H21" s="1107"/>
      <c r="I21" s="1107"/>
      <c r="J21" s="1107"/>
      <c r="K21" s="1107"/>
      <c r="L21" s="1107"/>
      <c r="M21" s="1107"/>
      <c r="N21" s="1107"/>
      <c r="O21" s="1107"/>
      <c r="P21" s="1107"/>
      <c r="Q21" s="1107"/>
      <c r="R21" s="1107"/>
      <c r="S21" s="1109"/>
      <c r="T21" s="1170">
        <f>'Basis &amp; Credits'!T21</f>
        <v>6671213</v>
      </c>
      <c r="U21" s="1186"/>
      <c r="V21" s="1186"/>
      <c r="W21" s="1186"/>
      <c r="X21" s="1186"/>
      <c r="Y21" s="1170">
        <f>'Basis &amp; Credits'!Y21</f>
        <v>0</v>
      </c>
      <c r="Z21" s="1186"/>
      <c r="AA21" s="1186"/>
      <c r="AB21" s="1186"/>
      <c r="AC21" s="1186"/>
      <c r="AD21" s="1186">
        <f>'Basis &amp; Credits'!AD21</f>
        <v>13925000</v>
      </c>
      <c r="AE21" s="1186"/>
      <c r="AF21" s="1186"/>
      <c r="AG21" s="1186"/>
      <c r="AH21" s="1186"/>
      <c r="AI21" s="1186">
        <f>'Basis &amp; Credits'!AI21</f>
        <v>0</v>
      </c>
      <c r="AJ21" s="1186"/>
      <c r="AK21" s="1186"/>
      <c r="AL21" s="1186"/>
      <c r="AM21" s="1186"/>
    </row>
    <row r="22" spans="1:39" ht="12.9" customHeight="1">
      <c r="B22" s="1106" t="s">
        <v>772</v>
      </c>
      <c r="C22" s="1107"/>
      <c r="D22" s="1107"/>
      <c r="E22" s="1107"/>
      <c r="F22" s="1107"/>
      <c r="G22" s="1107"/>
      <c r="H22" s="1107"/>
      <c r="I22" s="1107"/>
      <c r="J22" s="1107"/>
      <c r="K22" s="1107"/>
      <c r="L22" s="1107"/>
      <c r="M22" s="1107"/>
      <c r="N22" s="1107"/>
      <c r="O22" s="1107"/>
      <c r="P22" s="1107"/>
      <c r="Q22" s="1107"/>
      <c r="R22" s="1107"/>
      <c r="S22" s="1109"/>
      <c r="T22" s="1633">
        <f>(T20+T21)*-1</f>
        <v>-6671213</v>
      </c>
      <c r="U22" s="1634"/>
      <c r="V22" s="1634"/>
      <c r="W22" s="1634"/>
      <c r="X22" s="1634"/>
      <c r="Y22" s="1633">
        <f>(Y20+Y21)*-1</f>
        <v>0</v>
      </c>
      <c r="Z22" s="1634"/>
      <c r="AA22" s="1634"/>
      <c r="AB22" s="1634"/>
      <c r="AC22" s="1634"/>
      <c r="AD22" s="1633">
        <f>(AD20+AD21)*-1</f>
        <v>-13925000</v>
      </c>
      <c r="AE22" s="1634"/>
      <c r="AF22" s="1634"/>
      <c r="AG22" s="1634"/>
      <c r="AH22" s="1634"/>
      <c r="AI22" s="1633">
        <f>(AI20+AI21)*-1</f>
        <v>0</v>
      </c>
      <c r="AJ22" s="1634"/>
      <c r="AK22" s="1634"/>
      <c r="AL22" s="1634"/>
      <c r="AM22" s="1634"/>
    </row>
    <row r="23" spans="1:39" ht="12.9" customHeight="1">
      <c r="B23" s="1106" t="s">
        <v>773</v>
      </c>
      <c r="C23" s="1107"/>
      <c r="D23" s="1107"/>
      <c r="E23" s="1107"/>
      <c r="F23" s="1107"/>
      <c r="G23" s="1107"/>
      <c r="H23" s="1107"/>
      <c r="I23" s="1107"/>
      <c r="J23" s="1107"/>
      <c r="K23" s="1107"/>
      <c r="L23" s="1107"/>
      <c r="M23" s="1107"/>
      <c r="N23" s="1107"/>
      <c r="O23" s="1107"/>
      <c r="P23" s="1107"/>
      <c r="Q23" s="1107"/>
      <c r="R23" s="1107"/>
      <c r="S23" s="1109"/>
      <c r="T23" s="1599">
        <f>T11+T22</f>
        <v>19191579.009951204</v>
      </c>
      <c r="U23" s="1299"/>
      <c r="V23" s="1299"/>
      <c r="W23" s="1299"/>
      <c r="X23" s="1299"/>
      <c r="Y23" s="1599">
        <f>Y11+Y22</f>
        <v>0</v>
      </c>
      <c r="Z23" s="1299"/>
      <c r="AA23" s="1299"/>
      <c r="AB23" s="1299"/>
      <c r="AC23" s="1299"/>
      <c r="AD23" s="1599">
        <f>AD11+AD22</f>
        <v>0</v>
      </c>
      <c r="AE23" s="1299"/>
      <c r="AF23" s="1299"/>
      <c r="AG23" s="1299"/>
      <c r="AH23" s="1299"/>
      <c r="AI23" s="1599">
        <f>AI11+AI22</f>
        <v>0</v>
      </c>
      <c r="AJ23" s="1299"/>
      <c r="AK23" s="1299"/>
      <c r="AL23" s="1299"/>
      <c r="AM23" s="1299"/>
    </row>
    <row r="24" spans="1:39" ht="12.9" customHeight="1">
      <c r="B24" s="1106" t="s">
        <v>1218</v>
      </c>
      <c r="C24" s="1107"/>
      <c r="D24" s="1107"/>
      <c r="E24" s="1107"/>
      <c r="F24" s="1107"/>
      <c r="G24" s="1107"/>
      <c r="H24" s="1107"/>
      <c r="I24" s="1107"/>
      <c r="J24" s="1107"/>
      <c r="K24" s="1107"/>
      <c r="L24" s="1107"/>
      <c r="M24" s="1107"/>
      <c r="N24" s="1107"/>
      <c r="O24" s="1107"/>
      <c r="P24" s="1107"/>
      <c r="Q24" s="1107"/>
      <c r="R24" s="1107"/>
      <c r="S24" s="1109"/>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1747</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774</v>
      </c>
      <c r="C26" s="1107"/>
      <c r="D26" s="1107"/>
      <c r="E26" s="1107"/>
      <c r="F26" s="1107"/>
      <c r="G26" s="1107"/>
      <c r="H26" s="1107"/>
      <c r="I26" s="1107"/>
      <c r="J26" s="1107"/>
      <c r="K26" s="1107"/>
      <c r="L26" s="1107"/>
      <c r="M26" s="1107"/>
      <c r="N26" s="1107"/>
      <c r="O26" s="1107"/>
      <c r="P26" s="1107"/>
      <c r="Q26" s="1107"/>
      <c r="R26" s="1107"/>
      <c r="S26" s="1109"/>
      <c r="T26" s="1094">
        <f>T23*T25</f>
        <v>19191579.009951204</v>
      </c>
      <c r="U26" s="1611"/>
      <c r="V26" s="1611"/>
      <c r="W26" s="1611"/>
      <c r="X26" s="1611"/>
      <c r="Y26" s="1094">
        <f>Y23*Y25</f>
        <v>0</v>
      </c>
      <c r="Z26" s="1611"/>
      <c r="AA26" s="1611"/>
      <c r="AB26" s="1611"/>
      <c r="AC26" s="1611"/>
      <c r="AD26" s="1094">
        <f>AD23*AD25</f>
        <v>0</v>
      </c>
      <c r="AE26" s="1611"/>
      <c r="AF26" s="1611"/>
      <c r="AG26" s="1611"/>
      <c r="AH26" s="1611"/>
      <c r="AI26" s="1094">
        <f>AI23*AI25</f>
        <v>0</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4">
        <f>IF(ISERROR((T26*T27)),0,(T26*T27))</f>
        <v>19191579.009951204</v>
      </c>
      <c r="U28" s="1611"/>
      <c r="V28" s="1611"/>
      <c r="W28" s="1611"/>
      <c r="X28" s="1611"/>
      <c r="Y28" s="1094">
        <f>IF(ISERROR((Y26*Y27)),0,(Y26*Y27))</f>
        <v>0</v>
      </c>
      <c r="Z28" s="1611"/>
      <c r="AA28" s="1611"/>
      <c r="AB28" s="1611"/>
      <c r="AC28" s="1611"/>
      <c r="AD28" s="1094">
        <f>IF(ISERROR((AD26*AD27)),0,(AD26*AD27))</f>
        <v>0</v>
      </c>
      <c r="AE28" s="1611"/>
      <c r="AF28" s="1611"/>
      <c r="AG28" s="1611"/>
      <c r="AH28" s="1611"/>
      <c r="AI28" s="1094">
        <f>IF(ISERROR((AI26*AI27)),0,(AI26*AI27))</f>
        <v>0</v>
      </c>
      <c r="AJ28" s="1611"/>
      <c r="AK28" s="1611"/>
      <c r="AL28" s="1611"/>
      <c r="AM28" s="1611"/>
    </row>
    <row r="29" spans="1:39" ht="12.9" customHeight="1">
      <c r="B29" s="1106" t="s">
        <v>623</v>
      </c>
      <c r="C29" s="1107"/>
      <c r="D29" s="1107"/>
      <c r="E29" s="1107"/>
      <c r="F29" s="1107"/>
      <c r="G29" s="1107"/>
      <c r="H29" s="1107"/>
      <c r="I29" s="1107"/>
      <c r="J29" s="1107"/>
      <c r="K29" s="1107"/>
      <c r="L29" s="1107"/>
      <c r="M29" s="1107"/>
      <c r="N29" s="1107"/>
      <c r="O29" s="1107"/>
      <c r="P29" s="1107"/>
      <c r="Q29" s="1107"/>
      <c r="R29" s="1107"/>
      <c r="S29" s="1109"/>
      <c r="T29" s="1600">
        <f>T28+Y28+AD28+AI28</f>
        <v>19191579.009951204</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31" t="s">
        <v>41</v>
      </c>
      <c r="AE35" s="1231"/>
      <c r="AF35" s="1231"/>
      <c r="AG35" s="1231"/>
      <c r="AH35" s="1231"/>
    </row>
    <row r="36" spans="1:40" ht="12.9" customHeight="1">
      <c r="B36" s="204"/>
      <c r="X36" s="71"/>
      <c r="Y36" s="1602"/>
      <c r="Z36" s="1602"/>
      <c r="AA36" s="1602"/>
      <c r="AB36" s="1602"/>
      <c r="AC36" s="1602"/>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1"/>
      <c r="AE37" s="1231"/>
      <c r="AF37" s="1231"/>
      <c r="AG37" s="1231"/>
      <c r="AH37" s="1231"/>
    </row>
    <row r="38" spans="1:40" ht="12.9"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0</v>
      </c>
      <c r="Z38" s="1299"/>
      <c r="AA38" s="1299"/>
      <c r="AB38" s="1299"/>
      <c r="AC38" s="1299"/>
      <c r="AD38" s="1299">
        <f>IF(T24&gt;=(T23+Y23+AD23+AI23),AD28+AI28,0)</f>
        <v>0</v>
      </c>
      <c r="AE38" s="1299"/>
      <c r="AF38" s="1299"/>
      <c r="AG38" s="1299"/>
      <c r="AH38" s="1299"/>
    </row>
    <row r="39" spans="1:40" ht="12.9" customHeight="1">
      <c r="B39" s="1106" t="s">
        <v>765</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6">
        <v>0.09</v>
      </c>
      <c r="Z39" s="1966"/>
      <c r="AA39" s="1966"/>
      <c r="AB39" s="1966"/>
      <c r="AC39" s="1966"/>
      <c r="AD39" s="1966">
        <f>'Basis &amp; Credits'!AD39:AH39</f>
        <v>0.04</v>
      </c>
      <c r="AE39" s="1966"/>
      <c r="AF39" s="1966"/>
      <c r="AG39" s="1966"/>
      <c r="AH39" s="1966"/>
    </row>
    <row r="40" spans="1:40"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0</v>
      </c>
      <c r="Z40" s="1299"/>
      <c r="AA40" s="1299"/>
      <c r="AB40" s="1299"/>
      <c r="AC40" s="1299"/>
      <c r="AD40" s="1599">
        <f>ROUND(AD38*AD39,0)</f>
        <v>0</v>
      </c>
      <c r="AE40" s="1299"/>
      <c r="AF40" s="1299"/>
      <c r="AG40" s="1299"/>
      <c r="AH40" s="1299"/>
    </row>
    <row r="41" spans="1:40" ht="12.9"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IF((Y40+AD40)&gt;2500000,2500000,Y40+AD40)</f>
        <v>0</v>
      </c>
      <c r="Z41" s="1601"/>
      <c r="AA41" s="1601"/>
      <c r="AB41" s="1601"/>
      <c r="AC41" s="1601"/>
      <c r="AD41" s="1601"/>
      <c r="AE41" s="1601"/>
      <c r="AF41" s="1601"/>
      <c r="AG41" s="1601"/>
      <c r="AH41" s="1599"/>
    </row>
    <row r="42" spans="1:40" ht="12.9"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41174519.53376168</v>
      </c>
      <c r="AC46" s="1233"/>
      <c r="AD46" s="1233"/>
      <c r="AE46" s="1233"/>
      <c r="AF46" s="1234"/>
    </row>
    <row r="47" spans="1:40" ht="12.9" customHeight="1">
      <c r="D47" s="3" t="s">
        <v>837</v>
      </c>
      <c r="AB47" s="1232">
        <f>Application!AG633-MIN('Sources and Uses Budget'!B15,Application!AG385)</f>
        <v>0</v>
      </c>
      <c r="AC47" s="1233"/>
      <c r="AD47" s="1233"/>
      <c r="AE47" s="1233"/>
      <c r="AF47" s="1234"/>
    </row>
    <row r="48" spans="1:40" ht="12.9" customHeight="1">
      <c r="D48" s="3" t="s">
        <v>378</v>
      </c>
      <c r="AB48" s="1232">
        <f>AB46-AB47</f>
        <v>41174519.53376168</v>
      </c>
      <c r="AC48" s="1233"/>
      <c r="AD48" s="1233"/>
      <c r="AE48" s="1233"/>
      <c r="AF48" s="1234"/>
    </row>
    <row r="49" spans="1:40" ht="12.9" customHeight="1">
      <c r="D49" s="3" t="s">
        <v>872</v>
      </c>
      <c r="AA49" s="34"/>
      <c r="AB49" s="1605"/>
      <c r="AC49" s="1606"/>
      <c r="AD49" s="1606"/>
      <c r="AE49" s="1606"/>
      <c r="AF49" s="1607"/>
    </row>
    <row r="50" spans="1:40" s="323" customFormat="1" ht="12.9"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561</v>
      </c>
      <c r="AB54" s="1232">
        <f>(AB53/10)</f>
        <v>0</v>
      </c>
      <c r="AC54" s="1233"/>
      <c r="AD54" s="1233"/>
      <c r="AE54" s="1233"/>
      <c r="AF54" s="1234"/>
    </row>
    <row r="55" spans="1:40" ht="12.9" customHeight="1">
      <c r="D55" s="3" t="s">
        <v>341</v>
      </c>
      <c r="AB55" s="1967">
        <f>(IF((Y41&lt;AB54),Y41,AB54))</f>
        <v>0</v>
      </c>
      <c r="AC55" s="1968"/>
      <c r="AD55" s="1968"/>
      <c r="AE55" s="1968"/>
      <c r="AF55" s="1969"/>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41174519.53376168</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9" t="s">
        <v>298</v>
      </c>
      <c r="Z62" s="1549"/>
      <c r="AA62" s="1549"/>
      <c r="AB62" s="1549"/>
      <c r="AC62" s="1549"/>
      <c r="AD62" s="1549" t="s">
        <v>41</v>
      </c>
      <c r="AE62" s="1549"/>
      <c r="AF62" s="1549"/>
      <c r="AG62" s="1549"/>
      <c r="AH62" s="154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9">
        <f>Y28</f>
        <v>0</v>
      </c>
      <c r="Z63" s="1608"/>
      <c r="AA63" s="1608"/>
      <c r="AB63" s="1608"/>
      <c r="AC63" s="1608"/>
      <c r="AD63" s="1299">
        <f>AI28</f>
        <v>0</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0.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941</v>
      </c>
      <c r="Y67" s="1299">
        <f>ROUND(Y63*Y66,0)</f>
        <v>0</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5"/>
      <c r="AC70" s="1606"/>
      <c r="AD70" s="1606"/>
      <c r="AE70" s="1606"/>
      <c r="AF70" s="1607"/>
    </row>
    <row r="71" spans="1:34" ht="12.9" customHeight="1">
      <c r="A71" s="3"/>
      <c r="C71" s="3"/>
      <c r="D71" s="3"/>
      <c r="E71" s="1609" t="s">
        <v>1745</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303">
        <f>AB48-(AB56+AB77)</f>
        <v>41174519.53376168</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0</v>
      </c>
      <c r="C5" s="329">
        <f>'Sources and Uses Budget'!C4</f>
        <v>0</v>
      </c>
      <c r="D5" s="329">
        <f>'Sources and Uses Budget'!C4</f>
        <v>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15000</v>
      </c>
      <c r="C7" s="329">
        <f>'Sources and Uses Budget'!C6</f>
        <v>15000</v>
      </c>
      <c r="D7" s="329">
        <f>'Sources and Uses Budget'!C6</f>
        <v>15000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15000</v>
      </c>
      <c r="C9" s="331">
        <f>SUM(C5:C8)</f>
        <v>15000</v>
      </c>
      <c r="D9" s="331">
        <f>SUM(D5:D8)</f>
        <v>15000</v>
      </c>
      <c r="E9" s="331">
        <f t="shared" si="0"/>
        <v>0</v>
      </c>
      <c r="F9" s="330"/>
      <c r="G9" s="330"/>
    </row>
    <row r="10" spans="1:7" s="568" customFormat="1" ht="13.2">
      <c r="A10" s="884" t="s">
        <v>585</v>
      </c>
      <c r="B10" s="329">
        <f>'Sources and Uses Budget'!C9</f>
        <v>13925000</v>
      </c>
      <c r="C10" s="329">
        <f>'Sources and Uses Budget'!C9</f>
        <v>13925000</v>
      </c>
      <c r="D10" s="329">
        <f>'Sources and Uses Budget'!C9</f>
        <v>13925000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13925000</v>
      </c>
      <c r="C12" s="331">
        <f>SUM(C10:C11)</f>
        <v>13925000</v>
      </c>
      <c r="D12" s="331">
        <f>SUM(D10:D11)</f>
        <v>13925000</v>
      </c>
      <c r="E12" s="331">
        <f t="shared" si="0"/>
        <v>0</v>
      </c>
      <c r="F12" s="330"/>
      <c r="G12" s="330"/>
    </row>
    <row r="13" spans="1:7" s="568" customFormat="1" ht="13.2">
      <c r="A13" s="885" t="s">
        <v>711</v>
      </c>
      <c r="B13" s="331">
        <f>SUM(B9+B12)</f>
        <v>13940000</v>
      </c>
      <c r="C13" s="331">
        <f>SUM(C9+C12)</f>
        <v>13940000</v>
      </c>
      <c r="D13" s="331">
        <f>SUM(D9+D12)</f>
        <v>13940000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350000</v>
      </c>
      <c r="C18" s="329">
        <f>'Sources and Uses Budget'!C17</f>
        <v>350000</v>
      </c>
      <c r="D18" s="329">
        <f>'Sources and Uses Budget'!C17</f>
        <v>350000</v>
      </c>
      <c r="E18" s="331">
        <f t="shared" si="0"/>
        <v>0</v>
      </c>
      <c r="F18" s="330"/>
      <c r="G18" s="330"/>
    </row>
    <row r="19" spans="1:7" s="568" customFormat="1" ht="13.2">
      <c r="A19" s="239" t="s">
        <v>911</v>
      </c>
      <c r="B19" s="329">
        <f>'Sources and Uses Budget'!C18</f>
        <v>11600000</v>
      </c>
      <c r="C19" s="329">
        <f>'Sources and Uses Budget'!C18</f>
        <v>11600000</v>
      </c>
      <c r="D19" s="329">
        <f>'Sources and Uses Budget'!C18</f>
        <v>11600000</v>
      </c>
      <c r="E19" s="331">
        <f t="shared" ref="E19:E26" si="1">C19-B19</f>
        <v>0</v>
      </c>
      <c r="F19" s="330"/>
      <c r="G19" s="330"/>
    </row>
    <row r="20" spans="1:7" s="568" customFormat="1" ht="13.2">
      <c r="A20" s="239" t="s">
        <v>912</v>
      </c>
      <c r="B20" s="329">
        <f>'Sources and Uses Budget'!C19</f>
        <v>50000</v>
      </c>
      <c r="C20" s="329">
        <f>'Sources and Uses Budget'!C19</f>
        <v>50000</v>
      </c>
      <c r="D20" s="329">
        <f>'Sources and Uses Budget'!C19</f>
        <v>50000</v>
      </c>
      <c r="E20" s="331">
        <f t="shared" si="1"/>
        <v>0</v>
      </c>
      <c r="F20" s="330"/>
      <c r="G20" s="330"/>
    </row>
    <row r="21" spans="1:7" s="568" customFormat="1" ht="13.2">
      <c r="A21" s="239" t="s">
        <v>913</v>
      </c>
      <c r="B21" s="329">
        <f>'Sources and Uses Budget'!C20</f>
        <v>271797</v>
      </c>
      <c r="C21" s="329">
        <f>'Sources and Uses Budget'!C20</f>
        <v>271797</v>
      </c>
      <c r="D21" s="329">
        <f>'Sources and Uses Budget'!C20</f>
        <v>271797</v>
      </c>
      <c r="E21" s="331">
        <f t="shared" si="1"/>
        <v>0</v>
      </c>
      <c r="F21" s="330"/>
      <c r="G21" s="330"/>
    </row>
    <row r="22" spans="1:7" s="568" customFormat="1" ht="13.2">
      <c r="A22" s="239" t="s">
        <v>914</v>
      </c>
      <c r="B22" s="329">
        <f>'Sources and Uses Budget'!C21</f>
        <v>271797</v>
      </c>
      <c r="C22" s="329">
        <f>'Sources and Uses Budget'!C21</f>
        <v>271797</v>
      </c>
      <c r="D22" s="329">
        <f>'Sources and Uses Budget'!C21</f>
        <v>271797</v>
      </c>
      <c r="E22" s="331">
        <f t="shared" si="1"/>
        <v>0</v>
      </c>
      <c r="F22" s="330"/>
      <c r="G22" s="330"/>
    </row>
    <row r="23" spans="1:7" s="568" customFormat="1" ht="13.2">
      <c r="A23" s="239" t="s">
        <v>915</v>
      </c>
      <c r="B23" s="329">
        <f>'Sources and Uses Budget'!C22</f>
        <v>2400000</v>
      </c>
      <c r="C23" s="329">
        <f>'Sources and Uses Budget'!C22</f>
        <v>2400000</v>
      </c>
      <c r="D23" s="329">
        <f>'Sources and Uses Budget'!C22</f>
        <v>2400000</v>
      </c>
      <c r="E23" s="331">
        <f t="shared" si="1"/>
        <v>0</v>
      </c>
      <c r="F23" s="330"/>
      <c r="G23" s="330"/>
    </row>
    <row r="24" spans="1:7" s="568" customFormat="1" ht="13.2">
      <c r="A24" s="239" t="s">
        <v>916</v>
      </c>
      <c r="B24" s="329">
        <f>'Sources and Uses Budget'!C23</f>
        <v>32991</v>
      </c>
      <c r="C24" s="329">
        <f>'Sources and Uses Budget'!C23</f>
        <v>32991</v>
      </c>
      <c r="D24" s="329">
        <f>'Sources and Uses Budget'!C23</f>
        <v>32991</v>
      </c>
      <c r="E24" s="331">
        <f t="shared" si="1"/>
        <v>0</v>
      </c>
      <c r="F24" s="330"/>
      <c r="G24" s="330"/>
    </row>
    <row r="25" spans="1:7" s="568" customFormat="1" ht="13.2">
      <c r="A25" s="250" t="s">
        <v>1952</v>
      </c>
      <c r="B25" s="329">
        <f>'Sources and Uses Budget'!C24</f>
        <v>75000</v>
      </c>
      <c r="C25" s="329">
        <f>'Sources and Uses Budget'!C24</f>
        <v>75000</v>
      </c>
      <c r="D25" s="329">
        <f>'Sources and Uses Budget'!C24</f>
        <v>75000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15051585</v>
      </c>
      <c r="C27" s="894">
        <f>'Sources and Uses Budget'!C26</f>
        <v>15051585</v>
      </c>
      <c r="D27" s="894">
        <f>'Sources and Uses Budget'!C26</f>
        <v>15051585</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0</v>
      </c>
      <c r="C31" s="329">
        <f>'Sources and Uses Budget'!C30</f>
        <v>0</v>
      </c>
      <c r="D31" s="329">
        <f>'Sources and Uses Budget'!C30</f>
        <v>0</v>
      </c>
      <c r="E31" s="331">
        <f t="shared" si="0"/>
        <v>0</v>
      </c>
      <c r="F31" s="330"/>
      <c r="G31" s="330"/>
    </row>
    <row r="32" spans="1:7" s="568" customFormat="1" ht="13.2">
      <c r="A32" s="239" t="s">
        <v>912</v>
      </c>
      <c r="B32" s="329">
        <f>'Sources and Uses Budget'!C31</f>
        <v>0</v>
      </c>
      <c r="C32" s="329">
        <f>'Sources and Uses Budget'!C31</f>
        <v>0</v>
      </c>
      <c r="D32" s="329">
        <f>'Sources and Uses Budget'!C31</f>
        <v>0</v>
      </c>
      <c r="E32" s="331">
        <f t="shared" si="0"/>
        <v>0</v>
      </c>
      <c r="F32" s="330"/>
      <c r="G32" s="330"/>
    </row>
    <row r="33" spans="1:7" s="568" customFormat="1" ht="13.2">
      <c r="A33" s="239" t="s">
        <v>913</v>
      </c>
      <c r="B33" s="329">
        <f>'Sources and Uses Budget'!C32</f>
        <v>0</v>
      </c>
      <c r="C33" s="329">
        <f>'Sources and Uses Budget'!C32</f>
        <v>0</v>
      </c>
      <c r="D33" s="329">
        <f>'Sources and Uses Budget'!C32</f>
        <v>0</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0</v>
      </c>
      <c r="C36" s="329">
        <f>'Sources and Uses Budget'!C35</f>
        <v>0</v>
      </c>
      <c r="D36" s="329">
        <f>'Sources and Uses Budget'!C35</f>
        <v>0</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0</v>
      </c>
      <c r="C39" s="894">
        <f>'Sources and Uses Budget'!C38</f>
        <v>0</v>
      </c>
      <c r="D39" s="894">
        <f>'Sources and Uses Budget'!C38</f>
        <v>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400000</v>
      </c>
      <c r="C41" s="329">
        <f>'Sources and Uses Budget'!C40</f>
        <v>400000</v>
      </c>
      <c r="D41" s="329">
        <f>'Sources and Uses Budget'!C40</f>
        <v>400000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400000</v>
      </c>
      <c r="C43" s="894">
        <f>'Sources and Uses Budget'!C42</f>
        <v>400000</v>
      </c>
      <c r="D43" s="894">
        <f>'Sources and Uses Budget'!C42</f>
        <v>400000</v>
      </c>
      <c r="E43" s="331">
        <f>C43-B43</f>
        <v>0</v>
      </c>
      <c r="F43" s="330"/>
      <c r="G43" s="330"/>
    </row>
    <row r="44" spans="1:7" s="568" customFormat="1" ht="13.2">
      <c r="A44" s="887" t="s">
        <v>924</v>
      </c>
      <c r="B44" s="329">
        <f>'Sources and Uses Budget'!C43</f>
        <v>0</v>
      </c>
      <c r="C44" s="329">
        <f>'Sources and Uses Budget'!C43</f>
        <v>0</v>
      </c>
      <c r="D44" s="329">
        <f>'Sources and Uses Budget'!C43</f>
        <v>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1229253.7585597578</v>
      </c>
      <c r="C46" s="329">
        <f>'Sources and Uses Budget'!C45</f>
        <v>1229253.7585597578</v>
      </c>
      <c r="D46" s="329">
        <f>'Sources and Uses Budget'!C45</f>
        <v>1229253.7585597578</v>
      </c>
      <c r="E46" s="331">
        <f t="shared" si="0"/>
        <v>0</v>
      </c>
      <c r="F46" s="330"/>
      <c r="G46" s="330"/>
    </row>
    <row r="47" spans="1:7" s="568" customFormat="1" ht="13.2">
      <c r="A47" s="239" t="s">
        <v>927</v>
      </c>
      <c r="B47" s="329">
        <f>'Sources and Uses Budget'!C46</f>
        <v>148295.27728661362</v>
      </c>
      <c r="C47" s="329">
        <f>'Sources and Uses Budget'!C46</f>
        <v>148295.27728661362</v>
      </c>
      <c r="D47" s="329">
        <f>'Sources and Uses Budget'!C46</f>
        <v>148295.27728661362</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8000</v>
      </c>
      <c r="C51" s="329">
        <f>'Sources and Uses Budget'!C50</f>
        <v>8000</v>
      </c>
      <c r="D51" s="329">
        <f>'Sources and Uses Budget'!C50</f>
        <v>8000</v>
      </c>
      <c r="E51" s="331">
        <f t="shared" si="0"/>
        <v>0</v>
      </c>
      <c r="F51" s="330"/>
      <c r="G51" s="330"/>
    </row>
    <row r="52" spans="1:7" s="569" customFormat="1" ht="13.2">
      <c r="A52" s="239" t="s">
        <v>931</v>
      </c>
      <c r="B52" s="329">
        <f>'Sources and Uses Budget'!C51</f>
        <v>350000</v>
      </c>
      <c r="C52" s="329">
        <f>'Sources and Uses Budget'!C51</f>
        <v>350000</v>
      </c>
      <c r="D52" s="329">
        <f>'Sources and Uses Budget'!C51</f>
        <v>350000</v>
      </c>
      <c r="E52" s="331">
        <f t="shared" si="0"/>
        <v>0</v>
      </c>
      <c r="F52" s="330"/>
      <c r="G52" s="330"/>
    </row>
    <row r="53" spans="1:7" s="568" customFormat="1" ht="13.2">
      <c r="A53" s="246" t="s">
        <v>533</v>
      </c>
      <c r="B53" s="329">
        <f>'Sources and Uses Budget'!C52</f>
        <v>0</v>
      </c>
      <c r="C53" s="329">
        <f>'Sources and Uses Budget'!C52</f>
        <v>0</v>
      </c>
      <c r="D53" s="329">
        <f>'Sources and Uses Budget'!C52</f>
        <v>0</v>
      </c>
      <c r="E53" s="331">
        <f t="shared" si="0"/>
        <v>0</v>
      </c>
      <c r="F53" s="330"/>
      <c r="G53" s="330"/>
    </row>
    <row r="54" spans="1:7" s="568" customFormat="1" ht="13.2">
      <c r="A54" s="243" t="s">
        <v>933</v>
      </c>
      <c r="B54" s="894">
        <f>'Sources and Uses Budget'!C53</f>
        <v>1775549.0358463714</v>
      </c>
      <c r="C54" s="894">
        <f>'Sources and Uses Budget'!C53</f>
        <v>1775549.0358463714</v>
      </c>
      <c r="D54" s="894">
        <f>'Sources and Uses Budget'!C53</f>
        <v>1775549.0358463714</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20000</v>
      </c>
      <c r="C58" s="329">
        <f>'Sources and Uses Budget'!C57</f>
        <v>20000</v>
      </c>
      <c r="D58" s="329">
        <f>'Sources and Uses Budget'!C57</f>
        <v>20000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10000</v>
      </c>
      <c r="C61" s="329">
        <f>'Sources and Uses Budget'!C60</f>
        <v>10000</v>
      </c>
      <c r="D61" s="329">
        <f>'Sources and Uses Budget'!C60</f>
        <v>10000</v>
      </c>
      <c r="E61" s="331">
        <f t="shared" si="0"/>
        <v>0</v>
      </c>
      <c r="F61" s="330"/>
      <c r="G61" s="330"/>
    </row>
    <row r="62" spans="1:7" s="568" customFormat="1" ht="13.2">
      <c r="A62" s="887" t="s">
        <v>500</v>
      </c>
      <c r="B62" s="894">
        <f>'Sources and Uses Budget'!C61</f>
        <v>30000</v>
      </c>
      <c r="C62" s="894">
        <f>'Sources and Uses Budget'!C61</f>
        <v>30000</v>
      </c>
      <c r="D62" s="894">
        <f>'Sources and Uses Budget'!C61</f>
        <v>30000</v>
      </c>
      <c r="E62" s="331">
        <f t="shared" si="0"/>
        <v>0</v>
      </c>
      <c r="F62" s="330"/>
      <c r="G62" s="330"/>
    </row>
    <row r="63" spans="1:7" s="568" customFormat="1" ht="13.2">
      <c r="A63" s="890" t="s">
        <v>501</v>
      </c>
      <c r="B63" s="894">
        <f>'Sources and Uses Budget'!C62</f>
        <v>31197134.035846371</v>
      </c>
      <c r="C63" s="894">
        <f>'Sources and Uses Budget'!C62</f>
        <v>31197134.035846371</v>
      </c>
      <c r="D63" s="894">
        <f>'Sources and Uses Budget'!C62</f>
        <v>31197134.035846371</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25000</v>
      </c>
      <c r="C69" s="329">
        <f>'Sources and Uses Budget'!C68</f>
        <v>25000</v>
      </c>
      <c r="D69" s="329">
        <f>'Sources and Uses Budget'!C68</f>
        <v>25000</v>
      </c>
      <c r="E69" s="331">
        <f t="shared" si="0"/>
        <v>0</v>
      </c>
      <c r="F69" s="330"/>
      <c r="G69" s="330"/>
    </row>
    <row r="70" spans="1:7" s="568" customFormat="1" ht="13.2">
      <c r="A70" s="243" t="s">
        <v>1957</v>
      </c>
      <c r="B70" s="894">
        <f>'Sources and Uses Budget'!C69</f>
        <v>75000</v>
      </c>
      <c r="C70" s="894">
        <f>'Sources and Uses Budget'!C69</f>
        <v>75000</v>
      </c>
      <c r="D70" s="894">
        <f>'Sources and Uses Budget'!C69</f>
        <v>75000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76000</v>
      </c>
      <c r="C74" s="329">
        <f>'Sources and Uses Budget'!C73</f>
        <v>76000</v>
      </c>
      <c r="D74" s="329">
        <f>'Sources and Uses Budget'!C73</f>
        <v>76000</v>
      </c>
      <c r="E74" s="331">
        <f>C74-B74</f>
        <v>0</v>
      </c>
      <c r="F74" s="330"/>
      <c r="G74" s="330"/>
    </row>
    <row r="75" spans="1:7" s="568" customFormat="1" ht="13.2">
      <c r="A75" s="888" t="s">
        <v>288</v>
      </c>
      <c r="B75" s="329">
        <f>'Sources and Uses Budget'!C74</f>
        <v>382802</v>
      </c>
      <c r="C75" s="329">
        <f>'Sources and Uses Budget'!C74</f>
        <v>382802</v>
      </c>
      <c r="D75" s="329">
        <f>'Sources and Uses Budget'!C74</f>
        <v>382802</v>
      </c>
      <c r="E75" s="331">
        <f>C75-B75</f>
        <v>0</v>
      </c>
      <c r="F75" s="330"/>
      <c r="G75" s="330"/>
    </row>
    <row r="76" spans="1:7" s="568" customFormat="1" ht="13.2">
      <c r="A76" s="892" t="s">
        <v>533</v>
      </c>
      <c r="B76" s="329">
        <f>'Sources and Uses Budget'!C75</f>
        <v>90000</v>
      </c>
      <c r="C76" s="329">
        <f>'Sources and Uses Budget'!C75</f>
        <v>90000</v>
      </c>
      <c r="D76" s="329">
        <f>'Sources and Uses Budget'!C75</f>
        <v>90000</v>
      </c>
      <c r="E76" s="331">
        <f>C76-B76</f>
        <v>0</v>
      </c>
      <c r="F76" s="330"/>
      <c r="G76" s="330"/>
    </row>
    <row r="77" spans="1:7" s="568" customFormat="1" ht="13.2">
      <c r="A77" s="887" t="s">
        <v>289</v>
      </c>
      <c r="B77" s="894">
        <f>'Sources and Uses Budget'!C76</f>
        <v>548802</v>
      </c>
      <c r="C77" s="894">
        <f>'Sources and Uses Budget'!C76</f>
        <v>548802</v>
      </c>
      <c r="D77" s="894">
        <f>'Sources and Uses Budget'!C76</f>
        <v>548802</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3744146.25</v>
      </c>
      <c r="C79" s="329">
        <f>'Sources and Uses Budget'!C78</f>
        <v>3744146.25</v>
      </c>
      <c r="D79" s="329">
        <f>'Sources and Uses Budget'!C78</f>
        <v>3744146.25</v>
      </c>
      <c r="E79" s="331">
        <f t="shared" ref="E79:E105" si="2">C79-B79</f>
        <v>0</v>
      </c>
      <c r="F79" s="330"/>
      <c r="G79" s="330"/>
    </row>
    <row r="80" spans="1:7" s="568" customFormat="1" ht="13.2">
      <c r="A80" s="888" t="s">
        <v>538</v>
      </c>
      <c r="B80" s="329">
        <f>'Sources and Uses Budget'!C79</f>
        <v>1165757.6567523363</v>
      </c>
      <c r="C80" s="329">
        <f>'Sources and Uses Budget'!C79</f>
        <v>1165757.6567523363</v>
      </c>
      <c r="D80" s="329">
        <f>'Sources and Uses Budget'!C79</f>
        <v>1165757.6567523363</v>
      </c>
      <c r="E80" s="331">
        <f t="shared" si="2"/>
        <v>0</v>
      </c>
      <c r="F80" s="330"/>
      <c r="G80" s="330"/>
    </row>
    <row r="81" spans="1:7" s="568" customFormat="1" ht="13.2">
      <c r="A81" s="887" t="s">
        <v>1742</v>
      </c>
      <c r="B81" s="894">
        <f>'Sources and Uses Budget'!C80</f>
        <v>4909903.9067523368</v>
      </c>
      <c r="C81" s="894">
        <f>'Sources and Uses Budget'!C80</f>
        <v>4909903.9067523368</v>
      </c>
      <c r="D81" s="894">
        <f>'Sources and Uses Budget'!C80</f>
        <v>4909903.9067523368</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122566.59116297383</v>
      </c>
      <c r="C83" s="329">
        <f>'Sources and Uses Budget'!C82</f>
        <v>122566.59116297383</v>
      </c>
      <c r="D83" s="329">
        <f>'Sources and Uses Budget'!C82</f>
        <v>122566.59116297383</v>
      </c>
      <c r="E83" s="331">
        <f t="shared" si="2"/>
        <v>0</v>
      </c>
      <c r="F83" s="330"/>
      <c r="G83" s="330"/>
    </row>
    <row r="84" spans="1:7" s="568" customFormat="1" ht="13.2">
      <c r="A84" s="239" t="s">
        <v>516</v>
      </c>
      <c r="B84" s="329">
        <f>'Sources and Uses Budget'!C83</f>
        <v>9200</v>
      </c>
      <c r="C84" s="329">
        <f>'Sources and Uses Budget'!C83</f>
        <v>9200</v>
      </c>
      <c r="D84" s="329">
        <f>'Sources and Uses Budget'!C83</f>
        <v>9200</v>
      </c>
      <c r="E84" s="331">
        <f t="shared" si="2"/>
        <v>0</v>
      </c>
      <c r="F84" s="330"/>
      <c r="G84" s="330"/>
    </row>
    <row r="85" spans="1:7" s="568" customFormat="1" ht="13.2">
      <c r="A85" s="239" t="s">
        <v>517</v>
      </c>
      <c r="B85" s="329">
        <f>'Sources and Uses Budget'!C84</f>
        <v>1283938</v>
      </c>
      <c r="C85" s="329">
        <f>'Sources and Uses Budget'!C84</f>
        <v>1283938</v>
      </c>
      <c r="D85" s="329">
        <f>'Sources and Uses Budget'!C84</f>
        <v>1283938</v>
      </c>
      <c r="E85" s="331">
        <f t="shared" si="2"/>
        <v>0</v>
      </c>
      <c r="F85" s="330"/>
      <c r="G85" s="330"/>
    </row>
    <row r="86" spans="1:7" s="568" customFormat="1" ht="13.2">
      <c r="A86" s="239" t="s">
        <v>518</v>
      </c>
      <c r="B86" s="329">
        <f>'Sources and Uses Budget'!C85</f>
        <v>100000</v>
      </c>
      <c r="C86" s="329">
        <f>'Sources and Uses Budget'!C85</f>
        <v>100000</v>
      </c>
      <c r="D86" s="329">
        <f>'Sources and Uses Budget'!C85</f>
        <v>100000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75000</v>
      </c>
      <c r="C88" s="329">
        <f>'Sources and Uses Budget'!C87</f>
        <v>75000</v>
      </c>
      <c r="D88" s="329">
        <f>'Sources and Uses Budget'!C87</f>
        <v>75000</v>
      </c>
      <c r="E88" s="331">
        <f t="shared" si="2"/>
        <v>0</v>
      </c>
      <c r="F88" s="330"/>
      <c r="G88" s="330"/>
    </row>
    <row r="89" spans="1:7" s="568" customFormat="1" ht="13.2">
      <c r="A89" s="239" t="s">
        <v>521</v>
      </c>
      <c r="B89" s="329">
        <f>'Sources and Uses Budget'!C88</f>
        <v>30000</v>
      </c>
      <c r="C89" s="329">
        <f>'Sources and Uses Budget'!C88</f>
        <v>30000</v>
      </c>
      <c r="D89" s="329">
        <f>'Sources and Uses Budget'!C88</f>
        <v>30000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0</v>
      </c>
      <c r="C91" s="329">
        <f>'Sources and Uses Budget'!C90</f>
        <v>0</v>
      </c>
      <c r="D91" s="329">
        <f>'Sources and Uses Budget'!C90</f>
        <v>0</v>
      </c>
      <c r="E91" s="331">
        <f t="shared" si="2"/>
        <v>0</v>
      </c>
      <c r="F91" s="330"/>
      <c r="G91" s="330"/>
    </row>
    <row r="92" spans="1:7" s="568" customFormat="1" ht="13.2">
      <c r="A92" s="250" t="s">
        <v>1740</v>
      </c>
      <c r="B92" s="329">
        <f>'Sources and Uses Budget'!C91</f>
        <v>7975</v>
      </c>
      <c r="C92" s="329">
        <f>'Sources and Uses Budget'!C91</f>
        <v>7975</v>
      </c>
      <c r="D92" s="329">
        <f>'Sources and Uses Budget'!C91</f>
        <v>7975</v>
      </c>
      <c r="E92" s="331">
        <f t="shared" si="2"/>
        <v>0</v>
      </c>
      <c r="F92" s="330"/>
      <c r="G92" s="330"/>
    </row>
    <row r="93" spans="1:7" s="568" customFormat="1" ht="13.2">
      <c r="A93" s="246" t="s">
        <v>533</v>
      </c>
      <c r="B93" s="329">
        <f>'Sources and Uses Budget'!C92</f>
        <v>5000</v>
      </c>
      <c r="C93" s="329">
        <f>'Sources and Uses Budget'!C92</f>
        <v>5000</v>
      </c>
      <c r="D93" s="329">
        <f>'Sources and Uses Budget'!C92</f>
        <v>5000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1643679.5911629738</v>
      </c>
      <c r="C96" s="894">
        <f>'Sources and Uses Budget'!C95</f>
        <v>1643679.5911629738</v>
      </c>
      <c r="D96" s="894">
        <f>'Sources and Uses Budget'!C95</f>
        <v>1643679.5911629738</v>
      </c>
      <c r="E96" s="331">
        <f t="shared" si="2"/>
        <v>0</v>
      </c>
      <c r="F96" s="330"/>
      <c r="G96" s="330"/>
    </row>
    <row r="97" spans="1:7" s="568" customFormat="1" ht="13.2">
      <c r="A97" s="243" t="s">
        <v>524</v>
      </c>
      <c r="B97" s="894">
        <f>'Sources and Uses Budget'!C96</f>
        <v>38374519.53376168</v>
      </c>
      <c r="C97" s="894">
        <f>'Sources and Uses Budget'!C96</f>
        <v>38374519.53376168</v>
      </c>
      <c r="D97" s="894">
        <f>'Sources and Uses Budget'!C96</f>
        <v>38374519.53376168</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2785000</v>
      </c>
      <c r="C99" s="329">
        <f>'Sources and Uses Budget'!C98</f>
        <v>2785000</v>
      </c>
      <c r="D99" s="329">
        <f>'Sources and Uses Budget'!C98</f>
        <v>2785000</v>
      </c>
      <c r="E99" s="331">
        <f t="shared" si="2"/>
        <v>0</v>
      </c>
      <c r="F99" s="330"/>
      <c r="G99" s="330"/>
    </row>
    <row r="100" spans="1:7" s="568" customFormat="1" ht="12" customHeight="1">
      <c r="A100" s="239" t="s">
        <v>2012</v>
      </c>
      <c r="B100" s="329">
        <f>'Sources and Uses Budget'!C99</f>
        <v>15000</v>
      </c>
      <c r="C100" s="329">
        <f>'Sources and Uses Budget'!C99</f>
        <v>15000</v>
      </c>
      <c r="D100" s="329">
        <f>'Sources and Uses Budget'!C99</f>
        <v>15000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529</v>
      </c>
      <c r="B105" s="894">
        <f>'Sources and Uses Budget'!C104</f>
        <v>41174519.53376168</v>
      </c>
      <c r="C105" s="894">
        <f>'Sources and Uses Budget'!C104</f>
        <v>41174519.53376168</v>
      </c>
      <c r="D105" s="894">
        <f>'Sources and Uses Budget'!C104</f>
        <v>41174519.53376168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8B4F-E06F-47F0-870E-5AE78F12A7C2}">
  <dimension ref="A1"/>
  <sheetViews>
    <sheetView workbookViewId="0"/>
  </sheetViews>
  <sheetFormatPr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9" workbookViewId="0">
      <selection activeCell="A10" sqref="A10:XFD14"/>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08" workbookViewId="0">
      <selection activeCell="D1241" sqref="D1241:F1245"/>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1376</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1376</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2135</v>
      </c>
      <c r="E34" s="978"/>
      <c r="F34" s="978"/>
    </row>
    <row r="35" spans="1:6" ht="14.4">
      <c r="A35" s="271"/>
      <c r="B35" s="271"/>
      <c r="D35" s="978"/>
      <c r="E35" s="978"/>
      <c r="F35" s="978"/>
    </row>
    <row r="36" spans="1:6" ht="14.4">
      <c r="A36" s="271"/>
      <c r="B36" s="271"/>
      <c r="D36" s="209"/>
      <c r="E36" s="209"/>
      <c r="F36" s="209"/>
    </row>
    <row r="37" spans="1:6" ht="14.4">
      <c r="A37" s="271"/>
      <c r="B37" s="609" t="s">
        <v>1376</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124</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124</v>
      </c>
      <c r="D77" s="978" t="s">
        <v>1444</v>
      </c>
      <c r="E77" s="978"/>
      <c r="F77" s="978"/>
    </row>
    <row r="78" spans="1:6" ht="13.2">
      <c r="D78" s="978"/>
      <c r="E78" s="978"/>
      <c r="F78" s="978"/>
    </row>
    <row r="79" spans="1:6" ht="13.2"/>
    <row r="80" spans="1:6" ht="14.4">
      <c r="A80" s="271" t="s">
        <v>229</v>
      </c>
      <c r="B80" s="609"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1376</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124</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1376</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1376</v>
      </c>
      <c r="D181" s="1001" t="s">
        <v>1733</v>
      </c>
      <c r="E181" s="1002"/>
      <c r="F181" s="1002"/>
    </row>
    <row r="182" spans="1:6" ht="14.4">
      <c r="A182" s="271"/>
      <c r="D182" s="312"/>
      <c r="E182" s="102"/>
      <c r="F182" s="102"/>
    </row>
    <row r="183" spans="1:6" ht="14.4">
      <c r="A183" s="271"/>
      <c r="B183" s="609" t="s">
        <v>1376</v>
      </c>
      <c r="D183" s="1002" t="s">
        <v>1550</v>
      </c>
      <c r="E183" s="1002"/>
      <c r="F183" s="1002"/>
    </row>
    <row r="184" spans="1:6" ht="14.4">
      <c r="A184" s="271"/>
      <c r="D184" s="102"/>
      <c r="E184" s="102"/>
      <c r="F184" s="102"/>
    </row>
    <row r="185" spans="1:6" ht="14.4">
      <c r="A185" s="271"/>
      <c r="B185" s="609" t="s">
        <v>1376</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124</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124</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124</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1376</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124</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124</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1376</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1376</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1376</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124</v>
      </c>
      <c r="D318" s="978" t="s">
        <v>1564</v>
      </c>
      <c r="E318" s="978"/>
      <c r="F318" s="978"/>
    </row>
    <row r="319" spans="1:7" ht="14.4">
      <c r="A319" s="271"/>
      <c r="B319" s="271"/>
      <c r="D319" s="978"/>
      <c r="E319" s="978"/>
      <c r="F319" s="978"/>
    </row>
    <row r="320" spans="1:7" ht="13.2"/>
    <row r="321" spans="1:7" ht="14.4"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4"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124</v>
      </c>
      <c r="C373" s="361"/>
      <c r="D373" s="1008" t="s">
        <v>2139</v>
      </c>
      <c r="E373" s="1008"/>
      <c r="F373" s="1008"/>
    </row>
    <row r="374" spans="1:6" ht="14.4">
      <c r="A374" s="271"/>
      <c r="B374" s="271"/>
      <c r="C374" s="361"/>
      <c r="D374" s="420"/>
    </row>
    <row r="375" spans="1:6" ht="14.4">
      <c r="A375" s="271"/>
      <c r="B375" s="609" t="s">
        <v>124</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124</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2078</v>
      </c>
      <c r="E466" s="998"/>
      <c r="F466" s="998"/>
    </row>
    <row r="467" spans="1:6" ht="13.2">
      <c r="D467"/>
      <c r="E467" s="928" t="s">
        <v>2077</v>
      </c>
      <c r="F467" s="928"/>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1718</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124</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1376</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4"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1376</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4" customHeight="1">
      <c r="A606" s="271"/>
      <c r="B606" s="609" t="s">
        <v>1376</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2" t="s">
        <v>1921</v>
      </c>
      <c r="E643" s="972"/>
      <c r="F643" s="972"/>
    </row>
    <row r="644" spans="1:7" ht="13.65" customHeight="1">
      <c r="D644" s="972"/>
      <c r="E644" s="972"/>
      <c r="F644" s="972"/>
    </row>
    <row r="645" spans="1:7" ht="13.2"/>
    <row r="646" spans="1:7" ht="14.4">
      <c r="A646" s="271"/>
      <c r="B646" s="609" t="s">
        <v>1376</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1376</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124</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1376</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1376</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1376</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1376</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1376</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1376</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124</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124</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1376</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1376</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124</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1376</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1376</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124</v>
      </c>
      <c r="D1184" s="998" t="s">
        <v>1670</v>
      </c>
      <c r="E1184" s="998"/>
      <c r="F1184" s="998"/>
      <c r="G1184"/>
    </row>
    <row r="1185" spans="1:7" ht="13.2">
      <c r="D1185" s="44"/>
      <c r="G1185"/>
    </row>
    <row r="1186" spans="1:7" ht="14.4">
      <c r="A1186" s="271"/>
      <c r="B1186" s="609" t="s">
        <v>124</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1376</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1917</v>
      </c>
      <c r="E1208" s="1030"/>
      <c r="F1208" s="1030"/>
    </row>
    <row r="1209" spans="1:7" ht="13.2">
      <c r="G1209"/>
    </row>
    <row r="1210" spans="1:7" ht="12.75" customHeight="1">
      <c r="B1210" s="609" t="s">
        <v>124</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124</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124</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90" zoomScaleNormal="90" workbookViewId="0">
      <selection activeCell="AP948" sqref="AP948"/>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2300</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2319</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6" t="s">
        <v>2333</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 customHeight="1"/>
    <row r="17" spans="1:46" ht="12.9" customHeight="1">
      <c r="A17" s="63" t="s">
        <v>793</v>
      </c>
      <c r="C17" s="5"/>
      <c r="D17" s="5"/>
      <c r="E17" s="5"/>
      <c r="F17" s="5"/>
      <c r="G17" s="5"/>
      <c r="H17" s="1116"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21" t="s">
        <v>1352</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4">
        <f>ROUND('Basis &amp; Credits'!AB55,0)</f>
        <v>2245415</v>
      </c>
      <c r="N25" s="1424"/>
      <c r="O25" s="1424"/>
      <c r="P25" s="1424"/>
      <c r="Q25" s="1424"/>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4">
        <f>'Basis &amp; Credits'!AB76</f>
        <v>0</v>
      </c>
      <c r="N27" s="1424"/>
      <c r="O27" s="1424"/>
      <c r="P27" s="1424"/>
      <c r="Q27" s="1424"/>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20" t="s">
        <v>482</v>
      </c>
      <c r="P33" s="1120"/>
      <c r="Q33" s="1065" t="s">
        <v>2252</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8"/>
      <c r="H115" s="1118"/>
      <c r="I115" s="41" t="s">
        <v>412</v>
      </c>
      <c r="J115" s="41"/>
      <c r="L115" s="1347" t="s">
        <v>2325</v>
      </c>
      <c r="M115" s="1348"/>
      <c r="N115" s="1348"/>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7" t="s">
        <v>116</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2323</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3" t="s">
        <v>2324</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16" t="s">
        <v>2348</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152" t="s">
        <v>2356</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709</v>
      </c>
      <c r="BN157" s="30" t="s">
        <v>422</v>
      </c>
      <c r="BT157" t="s">
        <v>28</v>
      </c>
    </row>
    <row r="158" spans="1:72" ht="12.9" customHeight="1">
      <c r="D158" s="12" t="s">
        <v>544</v>
      </c>
      <c r="F158" s="12"/>
      <c r="G158" s="12"/>
      <c r="H158" s="12"/>
      <c r="I158" s="12"/>
      <c r="J158" s="12"/>
      <c r="K158" s="12"/>
      <c r="L158" s="12"/>
      <c r="M158" s="12"/>
      <c r="N158" s="12"/>
      <c r="O158" s="1345" t="s">
        <v>545</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 customHeight="1">
      <c r="D159" t="s">
        <v>647</v>
      </c>
      <c r="O159" s="1116" t="s">
        <v>2354</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116" t="s">
        <v>116</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33" t="s">
        <v>2355</v>
      </c>
      <c r="P161" s="1334"/>
      <c r="Q161" s="1334"/>
      <c r="R161" s="1334"/>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22">
        <v>8057817524</v>
      </c>
      <c r="P162" s="1322"/>
      <c r="Q162" s="1322"/>
      <c r="R162" s="1322"/>
      <c r="S162" s="1322"/>
      <c r="T162" s="1322"/>
      <c r="V162" s="179" t="s">
        <v>12</v>
      </c>
      <c r="W162" s="1335"/>
      <c r="X162" s="1335"/>
      <c r="Y162" s="14"/>
      <c r="Z162" s="14"/>
      <c r="AA162" s="14"/>
      <c r="AB162" s="14"/>
      <c r="AC162" s="14"/>
      <c r="AD162" s="14"/>
      <c r="AE162" s="14"/>
      <c r="AF162" s="14"/>
      <c r="BJ162" t="s">
        <v>108</v>
      </c>
      <c r="BN162" s="30" t="s">
        <v>77</v>
      </c>
      <c r="BT162" t="s">
        <v>387</v>
      </c>
    </row>
    <row r="163" spans="1:72" ht="12.9" customHeight="1">
      <c r="D163" t="s">
        <v>651</v>
      </c>
      <c r="O163" s="1322"/>
      <c r="P163" s="1322"/>
      <c r="Q163" s="1322"/>
      <c r="R163" s="1322"/>
      <c r="S163" s="1322"/>
      <c r="T163" s="1322"/>
      <c r="U163" s="14"/>
      <c r="V163" s="14"/>
      <c r="W163" s="14"/>
      <c r="X163" s="14"/>
      <c r="Y163" s="14"/>
      <c r="Z163" s="14"/>
      <c r="AA163" s="14"/>
      <c r="AB163" s="14"/>
      <c r="AC163" s="14"/>
      <c r="AD163" s="14"/>
      <c r="AE163" s="14"/>
      <c r="AF163" s="14"/>
      <c r="BN163" s="30" t="s">
        <v>476</v>
      </c>
      <c r="BT163" t="s">
        <v>388</v>
      </c>
    </row>
    <row r="164" spans="1:72" ht="12.9" customHeight="1">
      <c r="D164" t="s">
        <v>652</v>
      </c>
      <c r="O164" s="1061" t="s">
        <v>2357</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31" t="s">
        <v>2305</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 customHeight="1">
      <c r="C174" s="31"/>
      <c r="D174" t="s">
        <v>438</v>
      </c>
      <c r="U174" s="1120" t="s">
        <v>482</v>
      </c>
      <c r="V174" s="1120"/>
      <c r="BN174" s="30" t="s">
        <v>594</v>
      </c>
      <c r="BT174" t="s">
        <v>399</v>
      </c>
    </row>
    <row r="175" spans="1:72" ht="12.9" customHeight="1">
      <c r="C175" s="12"/>
      <c r="D175" s="33"/>
      <c r="E175" t="s">
        <v>230</v>
      </c>
      <c r="O175" s="34"/>
      <c r="P175" t="s">
        <v>2104</v>
      </c>
      <c r="T175" s="34" t="s">
        <v>231</v>
      </c>
      <c r="U175" s="1104"/>
      <c r="V175" s="1104"/>
      <c r="W175" s="1" t="s">
        <v>232</v>
      </c>
      <c r="X175" s="1349"/>
      <c r="Y175" s="1349"/>
      <c r="BN175" s="30" t="s">
        <v>595</v>
      </c>
      <c r="BT175" t="s">
        <v>400</v>
      </c>
    </row>
    <row r="176" spans="1:72" ht="12.9" customHeight="1">
      <c r="C176" s="31"/>
      <c r="D176" t="s">
        <v>279</v>
      </c>
      <c r="U176" s="1120" t="s">
        <v>482</v>
      </c>
      <c r="V176" s="1120"/>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8"/>
      <c r="K178" s="1338"/>
      <c r="L178" s="370" t="s">
        <v>232</v>
      </c>
      <c r="M178" s="1117"/>
      <c r="N178" s="1117"/>
      <c r="O178" s="361"/>
      <c r="P178" s="361"/>
      <c r="Q178" s="361"/>
      <c r="R178" s="361"/>
      <c r="U178" s="361" t="s">
        <v>1233</v>
      </c>
      <c r="V178" s="361"/>
      <c r="W178" s="361"/>
      <c r="X178" s="361"/>
      <c r="Y178" s="361"/>
      <c r="Z178" s="361"/>
      <c r="AA178" s="361"/>
      <c r="AB178" s="361"/>
      <c r="AD178" s="1339"/>
      <c r="AE178" s="1339"/>
      <c r="AF178" s="1339"/>
      <c r="AG178" s="1339"/>
      <c r="AH178" s="1339"/>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20" t="s">
        <v>482</v>
      </c>
      <c r="Z180" s="1323"/>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90" t="str">
        <f>H17</f>
        <v>Calle Joaquin Homekey</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574</v>
      </c>
      <c r="BT184" t="s">
        <v>409</v>
      </c>
    </row>
    <row r="185" spans="1:72" ht="12.9" customHeight="1">
      <c r="C185" s="29"/>
      <c r="D185" t="s">
        <v>429</v>
      </c>
      <c r="I185" s="1152" t="s">
        <v>2321</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577</v>
      </c>
      <c r="BT187" t="s">
        <v>841</v>
      </c>
    </row>
    <row r="188" spans="1:72" ht="12.9"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579</v>
      </c>
      <c r="BT188" t="s">
        <v>842</v>
      </c>
    </row>
    <row r="189" spans="1:72" ht="12.9" customHeight="1">
      <c r="C189" s="29"/>
      <c r="D189" t="s">
        <v>430</v>
      </c>
      <c r="I189" s="1116" t="s">
        <v>116</v>
      </c>
      <c r="J189" s="1056"/>
      <c r="K189" s="1056"/>
      <c r="L189" s="1056"/>
      <c r="M189" s="1056"/>
      <c r="N189" s="1056"/>
      <c r="O189" s="1056"/>
      <c r="P189" s="1056"/>
      <c r="Q189" t="s">
        <v>432</v>
      </c>
      <c r="T189" s="1056" t="s">
        <v>116</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93405</v>
      </c>
      <c r="J190" s="1054"/>
      <c r="K190" s="1054"/>
      <c r="L190" s="1054"/>
      <c r="M190" s="1054"/>
      <c r="N190" s="1054"/>
      <c r="O190" t="s">
        <v>435</v>
      </c>
      <c r="T190" s="1336">
        <v>11300</v>
      </c>
      <c r="U190" s="1336"/>
      <c r="V190" s="1336"/>
      <c r="W190" s="1336"/>
      <c r="X190" s="1336"/>
      <c r="Y190" s="1336"/>
      <c r="Z190" s="1336"/>
      <c r="AA190" s="1336"/>
      <c r="AB190" s="1336"/>
      <c r="AC190" s="1336"/>
      <c r="AD190" s="1336"/>
      <c r="AE190" s="1336"/>
      <c r="BC190" t="s">
        <v>663</v>
      </c>
      <c r="BH190" t="s">
        <v>663</v>
      </c>
      <c r="BN190" s="30" t="s">
        <v>421</v>
      </c>
      <c r="BT190" t="s">
        <v>110</v>
      </c>
    </row>
    <row r="191" spans="1:72" ht="12.9" customHeight="1">
      <c r="C191" s="29"/>
      <c r="D191" t="s">
        <v>81</v>
      </c>
      <c r="N191" s="1423" t="s">
        <v>2322</v>
      </c>
      <c r="O191" s="1340"/>
      <c r="P191" s="1340"/>
      <c r="Q191" s="1340"/>
      <c r="R191" s="1340"/>
      <c r="S191" s="1340"/>
      <c r="T191" s="1340"/>
      <c r="U191" s="1340"/>
      <c r="V191" s="1340"/>
      <c r="W191" s="1340"/>
      <c r="X191" s="1340"/>
      <c r="Y191" s="1340"/>
      <c r="Z191" s="1340"/>
      <c r="AA191" s="1340"/>
      <c r="AB191" s="1340"/>
      <c r="AC191" s="1340"/>
      <c r="AD191" s="1340"/>
      <c r="AE191" s="1340"/>
      <c r="BC191" t="s">
        <v>1424</v>
      </c>
      <c r="BH191" t="s">
        <v>1424</v>
      </c>
      <c r="BN191" s="30" t="s">
        <v>582</v>
      </c>
      <c r="BT191" t="s">
        <v>111</v>
      </c>
    </row>
    <row r="192" spans="1:72" ht="12.9"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664</v>
      </c>
      <c r="BH192" t="s">
        <v>615</v>
      </c>
      <c r="BN192" s="30" t="s">
        <v>583</v>
      </c>
      <c r="BT192" t="s">
        <v>112</v>
      </c>
    </row>
    <row r="193" spans="1:73" ht="12.9" customHeight="1">
      <c r="C193" s="29"/>
      <c r="D193" t="s">
        <v>436</v>
      </c>
      <c r="T193" s="1120" t="s">
        <v>108</v>
      </c>
      <c r="U193" s="1120"/>
      <c r="W193" s="41" t="s">
        <v>1886</v>
      </c>
      <c r="AA193" s="1328">
        <v>2024</v>
      </c>
      <c r="AB193" s="1328"/>
      <c r="AC193" s="1328"/>
      <c r="BC193" t="s">
        <v>564</v>
      </c>
      <c r="BH193" s="5" t="s">
        <v>1429</v>
      </c>
      <c r="BN193" s="30" t="s">
        <v>584</v>
      </c>
      <c r="BT193" t="s">
        <v>113</v>
      </c>
    </row>
    <row r="194" spans="1:73" ht="12.9" customHeight="1">
      <c r="C194" s="29"/>
      <c r="D194" t="s">
        <v>118</v>
      </c>
      <c r="T194" s="1147" t="s">
        <v>482</v>
      </c>
      <c r="U194" s="1147"/>
      <c r="W194" t="s">
        <v>63</v>
      </c>
      <c r="AI194" s="1120" t="s">
        <v>482</v>
      </c>
      <c r="AJ194" s="1120"/>
      <c r="AX194" s="5" t="s">
        <v>124</v>
      </c>
      <c r="BC194" t="s">
        <v>615</v>
      </c>
      <c r="BN194" s="30" t="s">
        <v>753</v>
      </c>
      <c r="BT194" t="s">
        <v>114</v>
      </c>
    </row>
    <row r="195" spans="1:73" ht="12.9" customHeight="1">
      <c r="C195" s="29"/>
      <c r="D195" s="41" t="s">
        <v>1734</v>
      </c>
      <c r="T195" s="1147" t="s">
        <v>482</v>
      </c>
      <c r="U195" s="1147"/>
      <c r="X195" s="797" t="s">
        <v>2106</v>
      </c>
      <c r="AX195" s="5" t="s">
        <v>1150</v>
      </c>
      <c r="BN195" s="30" t="s">
        <v>754</v>
      </c>
      <c r="BT195" t="s">
        <v>115</v>
      </c>
    </row>
    <row r="196" spans="1:73" ht="12.9" customHeight="1">
      <c r="C196" s="29"/>
      <c r="D196" s="5" t="s">
        <v>1155</v>
      </c>
      <c r="T196" s="1147" t="s">
        <v>482</v>
      </c>
      <c r="U196" s="1147"/>
      <c r="AK196" s="1327"/>
      <c r="AL196" s="1327"/>
      <c r="AX196" s="41" t="s">
        <v>2199</v>
      </c>
      <c r="BN196" s="30" t="s">
        <v>755</v>
      </c>
      <c r="BT196" t="s">
        <v>116</v>
      </c>
    </row>
    <row r="197" spans="1:73" ht="12.9" customHeight="1">
      <c r="C197" s="29"/>
      <c r="D197" s="41" t="s">
        <v>1887</v>
      </c>
      <c r="T197" s="1120" t="s">
        <v>482</v>
      </c>
      <c r="U197" s="1120"/>
      <c r="AX197" s="5" t="s">
        <v>1151</v>
      </c>
      <c r="BC197" t="s">
        <v>79</v>
      </c>
      <c r="BN197" s="30" t="s">
        <v>756</v>
      </c>
      <c r="BT197" t="s">
        <v>117</v>
      </c>
    </row>
    <row r="198" spans="1:73" ht="12.9" customHeight="1">
      <c r="C198" s="29"/>
      <c r="D198" s="41" t="s">
        <v>1915</v>
      </c>
      <c r="W198" s="1324" t="s">
        <v>482</v>
      </c>
      <c r="X198" s="1120"/>
      <c r="AX198" s="5" t="s">
        <v>1152</v>
      </c>
      <c r="BC198" t="s">
        <v>1103</v>
      </c>
      <c r="BN198" s="30" t="s">
        <v>757</v>
      </c>
      <c r="BT198" t="s">
        <v>803</v>
      </c>
    </row>
    <row r="199" spans="1:73" ht="12.9" customHeight="1">
      <c r="C199" s="29"/>
      <c r="L199" s="309"/>
      <c r="M199" s="309"/>
      <c r="N199" s="309"/>
      <c r="O199" s="309"/>
      <c r="P199" s="309"/>
      <c r="Q199" s="922" t="s">
        <v>2107</v>
      </c>
      <c r="R199" s="1116" t="s">
        <v>2019</v>
      </c>
      <c r="S199" s="1116"/>
      <c r="T199" s="1116"/>
      <c r="U199" s="1116"/>
      <c r="V199" s="1116"/>
      <c r="W199" s="1116"/>
      <c r="X199" s="1116"/>
      <c r="Y199" s="1116"/>
      <c r="Z199" s="1116"/>
      <c r="AA199" s="1116"/>
      <c r="AB199" s="1116"/>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90" t="str">
        <f>IF(AND(M25&gt;0,M27&gt;0),"Federal and State","Federal Only")</f>
        <v>Federal Only</v>
      </c>
      <c r="E203" s="1190"/>
      <c r="F203" s="1190"/>
      <c r="G203" s="1190"/>
      <c r="H203" s="1190"/>
      <c r="I203" s="1190"/>
      <c r="J203" s="1190"/>
      <c r="K203" s="1190"/>
      <c r="L203" s="1190"/>
      <c r="M203" s="1190"/>
      <c r="P203" s="1332">
        <f>M25</f>
        <v>2245415</v>
      </c>
      <c r="Q203" s="1332"/>
      <c r="R203" s="1332"/>
      <c r="S203" s="1332"/>
      <c r="T203" s="1332"/>
      <c r="U203" s="1332"/>
      <c r="W203" s="1332">
        <f>M27</f>
        <v>0</v>
      </c>
      <c r="X203" s="1332"/>
      <c r="Y203" s="1332"/>
      <c r="Z203" s="1332"/>
      <c r="AA203" s="1332"/>
      <c r="AB203" s="1332"/>
      <c r="AV203" t="s">
        <v>124</v>
      </c>
      <c r="AX203" s="5" t="s">
        <v>564</v>
      </c>
      <c r="BC203" t="s">
        <v>1434</v>
      </c>
      <c r="BN203" s="30" t="s">
        <v>661</v>
      </c>
      <c r="BT203" s="40" t="s">
        <v>808</v>
      </c>
      <c r="BU203" s="21"/>
    </row>
    <row r="204" spans="1:73" ht="12.9" customHeight="1">
      <c r="C204" s="29"/>
      <c r="P204" s="1426" t="s">
        <v>175</v>
      </c>
      <c r="Q204" s="1426"/>
      <c r="R204" s="1426"/>
      <c r="S204" s="1426"/>
      <c r="T204" s="1426"/>
      <c r="U204" s="1426"/>
      <c r="V204" s="36"/>
      <c r="W204" s="1426" t="s">
        <v>176</v>
      </c>
      <c r="X204" s="1426"/>
      <c r="Y204" s="1426"/>
      <c r="Z204" s="1426"/>
      <c r="AA204" s="1426"/>
      <c r="AB204" s="1426"/>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3" t="s">
        <v>2326</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16" t="s">
        <v>2199</v>
      </c>
      <c r="E211" s="1053"/>
      <c r="F211" s="1053"/>
      <c r="G211" s="1053"/>
      <c r="H211" s="1053"/>
      <c r="I211" s="1053"/>
      <c r="J211" s="1053"/>
      <c r="K211" s="1053"/>
      <c r="L211" s="1053"/>
      <c r="M211" s="1053"/>
      <c r="N211" s="1053"/>
      <c r="O211" s="1053"/>
      <c r="P211" s="1053"/>
      <c r="X211" s="803"/>
      <c r="Y211" s="1337" t="s">
        <v>482</v>
      </c>
      <c r="Z211" s="133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30">
        <v>75</v>
      </c>
      <c r="AD215" s="1330"/>
      <c r="AF215" s="1342">
        <f>IFERROR(AC215/AG433,"")</f>
        <v>1</v>
      </c>
      <c r="AG215" s="1342"/>
      <c r="AX215" t="s">
        <v>2020</v>
      </c>
      <c r="BC215" t="s">
        <v>627</v>
      </c>
    </row>
    <row r="216" spans="1:72" ht="12.9" customHeight="1">
      <c r="D216" s="35"/>
      <c r="E216" s="938" t="s">
        <v>1432</v>
      </c>
      <c r="AX216" t="s">
        <v>2021</v>
      </c>
      <c r="BC216" t="s">
        <v>744</v>
      </c>
    </row>
    <row r="217" spans="1:72" ht="12.9"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2023</v>
      </c>
      <c r="BC217" t="s">
        <v>628</v>
      </c>
    </row>
    <row r="218" spans="1:72" ht="12.9" customHeight="1">
      <c r="E218" s="41" t="s">
        <v>1959</v>
      </c>
      <c r="AA218" s="49"/>
      <c r="AC218" s="1325"/>
      <c r="AD218" s="1325"/>
      <c r="AE218" s="1325"/>
      <c r="AF218" s="1325"/>
      <c r="AG218" s="1325"/>
      <c r="AH218" s="1325"/>
      <c r="AI218" s="1325"/>
      <c r="AJ218" s="1325"/>
      <c r="AK218" s="1325"/>
      <c r="AL218" s="1325"/>
      <c r="AM218" s="1325"/>
      <c r="BC218" t="s">
        <v>629</v>
      </c>
      <c r="BI218" s="39"/>
    </row>
    <row r="219" spans="1:72" ht="12.9" customHeight="1">
      <c r="E219" s="41" t="s">
        <v>1960</v>
      </c>
      <c r="AA219" s="49"/>
      <c r="AC219" s="1325"/>
      <c r="AD219" s="1325"/>
      <c r="AE219" s="1325"/>
      <c r="AF219" s="1325"/>
      <c r="AG219" s="1325"/>
      <c r="AH219" s="1325"/>
      <c r="AI219" s="1325"/>
      <c r="AJ219" s="1325"/>
      <c r="AK219" s="1325"/>
      <c r="AL219" s="1325"/>
      <c r="AM219" s="1325"/>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16" t="s">
        <v>2291</v>
      </c>
      <c r="E223" s="1116"/>
      <c r="F223" s="1116"/>
      <c r="G223" s="1116"/>
      <c r="H223" s="1116"/>
      <c r="I223" s="1116"/>
      <c r="J223" s="1116"/>
      <c r="K223" s="1116"/>
      <c r="L223" s="1116"/>
      <c r="M223" s="1116"/>
      <c r="N223" s="1116"/>
      <c r="O223" s="1116"/>
      <c r="P223" s="1116"/>
      <c r="Q223" s="1116"/>
      <c r="R223" s="1116"/>
      <c r="S223" s="1116"/>
      <c r="T223" s="1116"/>
      <c r="U223" s="1116"/>
      <c r="V223" s="1116"/>
      <c r="W223" s="1116"/>
      <c r="X223" s="1116"/>
      <c r="Y223" s="1116"/>
      <c r="Z223" s="1116"/>
      <c r="AA223" s="1116"/>
      <c r="AB223" s="1116"/>
      <c r="AC223" s="1116"/>
      <c r="AD223" s="1116"/>
      <c r="AE223" s="1116"/>
      <c r="AF223" s="1116"/>
      <c r="AG223" s="1116"/>
      <c r="AH223" s="1116"/>
      <c r="AI223" s="1116"/>
      <c r="AJ223" s="21"/>
      <c r="AK223" s="21"/>
      <c r="AL223" s="21"/>
    </row>
    <row r="224" spans="1:72" ht="12.9" customHeight="1">
      <c r="AJ224" s="5"/>
    </row>
    <row r="225" spans="1:59" ht="12.9" customHeight="1">
      <c r="D225" t="s">
        <v>557</v>
      </c>
      <c r="O225" s="1120">
        <v>24</v>
      </c>
      <c r="P225" s="1120"/>
    </row>
    <row r="226" spans="1:59" ht="12.9" customHeight="1">
      <c r="D226" t="s">
        <v>558</v>
      </c>
      <c r="O226" s="1120">
        <v>30</v>
      </c>
      <c r="P226" s="1120"/>
      <c r="BB226" s="5" t="s">
        <v>638</v>
      </c>
      <c r="BG226" s="410">
        <f>IF(AND(AND($M$251="for profit",$M$259="for profit",$M$267="nonprofit")),2,0)</f>
        <v>0</v>
      </c>
    </row>
    <row r="227" spans="1:59" ht="12.9" customHeight="1">
      <c r="D227" t="s">
        <v>559</v>
      </c>
      <c r="O227" s="1120">
        <v>17</v>
      </c>
      <c r="P227" s="1120"/>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5" t="str">
        <f>H15</f>
        <v>Calle Joaquin LP</v>
      </c>
      <c r="N235" s="1425"/>
      <c r="O235" s="1425"/>
      <c r="P235" s="1425"/>
      <c r="Q235" s="1425"/>
      <c r="R235" s="1425"/>
      <c r="S235" s="1425"/>
      <c r="T235" s="1425"/>
      <c r="U235" s="1425"/>
      <c r="V235" s="1425"/>
      <c r="W235" s="1425"/>
      <c r="X235" s="1425"/>
      <c r="Y235" s="1425"/>
      <c r="Z235" s="1425"/>
      <c r="AA235" s="1425"/>
      <c r="AB235" s="1425"/>
      <c r="AC235" s="1425"/>
      <c r="AD235" s="1425"/>
      <c r="AE235" s="1425"/>
      <c r="AF235" s="1425"/>
      <c r="AG235" s="1425"/>
      <c r="AH235" s="1425"/>
      <c r="AI235" s="1425"/>
      <c r="AJ235" s="1425"/>
      <c r="AK235" s="1425"/>
      <c r="BB235" s="3"/>
      <c r="BG235" s="5"/>
    </row>
    <row r="236" spans="1:59" ht="12.9" customHeight="1">
      <c r="D236" s="5" t="s">
        <v>372</v>
      </c>
      <c r="E236" s="5"/>
      <c r="F236" s="5"/>
      <c r="G236" s="5"/>
      <c r="H236" s="5"/>
      <c r="I236" s="5"/>
      <c r="J236" s="5"/>
      <c r="K236" s="5"/>
      <c r="M236" s="1116" t="s">
        <v>2327</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116" t="s">
        <v>116</v>
      </c>
      <c r="N237" s="1053"/>
      <c r="O237" s="1053"/>
      <c r="P237" s="1053"/>
      <c r="Q237" s="1053"/>
      <c r="R237" s="1053"/>
      <c r="S237" s="1053"/>
      <c r="T237" s="1053"/>
      <c r="V237" s="42" t="s">
        <v>373</v>
      </c>
      <c r="W237" s="1152" t="s">
        <v>2328</v>
      </c>
      <c r="X237" s="1320"/>
      <c r="Y237" s="5" t="s">
        <v>433</v>
      </c>
      <c r="AC237" s="1053">
        <v>93041</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116" t="s">
        <v>2323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321" t="s">
        <v>2329</v>
      </c>
      <c r="N239" s="1059"/>
      <c r="O239" s="1059"/>
      <c r="P239" s="1059"/>
      <c r="Q239" s="1059"/>
      <c r="R239" s="1059"/>
      <c r="S239" s="5" t="s">
        <v>818</v>
      </c>
      <c r="T239" s="5"/>
      <c r="U239" s="1320"/>
      <c r="V239" s="1320"/>
      <c r="W239" s="1320"/>
      <c r="X239" s="5" t="s">
        <v>376</v>
      </c>
      <c r="Z239" s="1059"/>
      <c r="AA239" s="1059"/>
      <c r="AB239" s="1059"/>
      <c r="AC239" s="1059"/>
      <c r="AD239" s="1059"/>
      <c r="AE239" s="1059"/>
      <c r="AM239" s="41"/>
      <c r="AN239" s="41"/>
      <c r="BB239" t="s">
        <v>1009</v>
      </c>
      <c r="BG239" s="410">
        <f>IF(AND(AND($M$251="for profit",$M$259="for profit",$M$267="for profit")),3,0)</f>
        <v>0</v>
      </c>
    </row>
    <row r="240" spans="1:59" ht="12.9" customHeight="1">
      <c r="D240" s="5" t="s">
        <v>377</v>
      </c>
      <c r="E240" s="5"/>
      <c r="F240" s="5"/>
      <c r="M240" s="1061" t="s">
        <v>2330</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628</v>
      </c>
      <c r="N241" s="1054"/>
      <c r="O241" s="1054"/>
      <c r="P241" s="1054"/>
      <c r="Q241" s="1054"/>
      <c r="R241" s="1054"/>
      <c r="S241" s="1054"/>
      <c r="T241" s="1054"/>
      <c r="U241" s="5" t="s">
        <v>1144</v>
      </c>
      <c r="AA241" s="1058" t="s">
        <v>2331</v>
      </c>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 customHeight="1">
      <c r="D242" t="s">
        <v>631</v>
      </c>
      <c r="M242" s="1116"/>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6" t="s">
        <v>2334</v>
      </c>
      <c r="N245" s="1326"/>
      <c r="O245" s="1326"/>
      <c r="P245" s="1326"/>
      <c r="Q245" s="1326"/>
      <c r="R245" s="1326"/>
      <c r="S245" s="1326"/>
      <c r="T245" s="1326"/>
      <c r="U245" s="1326"/>
      <c r="V245" s="1326"/>
      <c r="W245" s="1326"/>
      <c r="X245" s="1326"/>
      <c r="Y245" s="1326"/>
      <c r="Z245" s="1326"/>
      <c r="AA245" s="1326"/>
      <c r="AB245" s="1326"/>
      <c r="AC245" s="1326"/>
      <c r="AD245" s="1326"/>
      <c r="AE245" s="1326"/>
      <c r="AF245" s="1329" t="s">
        <v>2332</v>
      </c>
      <c r="AG245" s="1329"/>
      <c r="AH245" s="1329"/>
      <c r="AI245" s="1329"/>
      <c r="AJ245" s="1329"/>
      <c r="AK245" s="1329"/>
      <c r="AM245" s="5"/>
      <c r="AN245" s="41"/>
      <c r="BB245" s="5" t="s">
        <v>892</v>
      </c>
      <c r="BH245">
        <v>2</v>
      </c>
      <c r="BI245" t="s">
        <v>744</v>
      </c>
      <c r="BO245" s="412" t="str">
        <f>IFERROR(VLOOKUP(AZ260,BH244:BI246,2,FALSE),"")</f>
        <v/>
      </c>
    </row>
    <row r="246" spans="1:67" ht="12.9" customHeight="1">
      <c r="A246" s="28"/>
      <c r="B246" s="5"/>
      <c r="C246" s="5"/>
      <c r="D246" s="5" t="s">
        <v>372</v>
      </c>
      <c r="E246" s="5"/>
      <c r="F246" s="5"/>
      <c r="G246" s="5"/>
      <c r="H246" s="5"/>
      <c r="I246" s="5"/>
      <c r="J246" s="5"/>
      <c r="K246" s="5"/>
      <c r="L246" s="5"/>
      <c r="M246" s="1053" t="s">
        <v>2327</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116</v>
      </c>
      <c r="N247" s="1053"/>
      <c r="O247" s="1053"/>
      <c r="P247" s="1053"/>
      <c r="Q247" s="1053"/>
      <c r="R247" s="1053"/>
      <c r="S247" s="1053"/>
      <c r="T247" s="1053"/>
      <c r="V247" s="42" t="s">
        <v>373</v>
      </c>
      <c r="W247" s="1320"/>
      <c r="X247" s="1320"/>
      <c r="Y247" s="5" t="s">
        <v>433</v>
      </c>
      <c r="AC247" s="1053">
        <v>93041</v>
      </c>
      <c r="AD247" s="1053"/>
      <c r="AE247" s="1053"/>
      <c r="AN247" s="41"/>
    </row>
    <row r="248" spans="1:67" ht="12.9" customHeight="1">
      <c r="A248" s="28"/>
      <c r="B248" s="5"/>
      <c r="C248" s="5"/>
      <c r="D248" s="5" t="s">
        <v>374</v>
      </c>
      <c r="E248" s="5"/>
      <c r="F248" s="5"/>
      <c r="G248" s="5"/>
      <c r="H248" s="5"/>
      <c r="I248" s="5"/>
      <c r="J248" s="5"/>
      <c r="K248" s="5"/>
      <c r="L248" s="28"/>
      <c r="M248" s="1116" t="s">
        <v>2323</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9" t="s">
        <v>2329</v>
      </c>
      <c r="N249" s="1059"/>
      <c r="O249" s="1059"/>
      <c r="P249" s="1059"/>
      <c r="Q249" s="1059"/>
      <c r="R249" s="1059"/>
      <c r="S249" s="5" t="s">
        <v>818</v>
      </c>
      <c r="T249" s="5"/>
      <c r="U249" s="1320"/>
      <c r="V249" s="1320"/>
      <c r="W249" s="1320"/>
      <c r="X249" s="5" t="s">
        <v>376</v>
      </c>
      <c r="Z249" s="1059"/>
      <c r="AA249" s="1059"/>
      <c r="AB249" s="1059"/>
      <c r="AC249" s="1059"/>
      <c r="AD249" s="1059"/>
      <c r="AE249" s="1059"/>
      <c r="AM249" s="5"/>
      <c r="AN249" s="41"/>
    </row>
    <row r="250" spans="1:67" ht="12.9" customHeight="1">
      <c r="A250" s="28"/>
      <c r="B250" s="5"/>
      <c r="C250" s="5"/>
      <c r="D250" s="5" t="s">
        <v>377</v>
      </c>
      <c r="E250" s="5"/>
      <c r="F250" s="5"/>
      <c r="M250" s="1061" t="s">
        <v>2330</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635</v>
      </c>
      <c r="E251" s="5"/>
      <c r="F251" s="5"/>
      <c r="G251" s="5"/>
      <c r="H251" s="5"/>
      <c r="I251" s="5"/>
      <c r="J251" s="5"/>
      <c r="K251" s="5"/>
      <c r="L251" s="5"/>
      <c r="M251" s="1054" t="s">
        <v>79</v>
      </c>
      <c r="N251" s="1054"/>
      <c r="O251" s="1054"/>
      <c r="P251" s="1054"/>
      <c r="Q251" s="1054"/>
      <c r="R251" s="1054"/>
      <c r="S251" s="1054"/>
      <c r="T251" s="1054"/>
      <c r="U251" s="5" t="s">
        <v>1144</v>
      </c>
      <c r="AA251" s="1058" t="s">
        <v>2331</v>
      </c>
      <c r="AB251" s="1058"/>
      <c r="AC251" s="1058"/>
      <c r="AD251" s="1058"/>
      <c r="AE251" s="1058"/>
      <c r="AF251" s="1058"/>
      <c r="AG251" s="1058"/>
      <c r="AH251" s="1058"/>
      <c r="AI251" s="1058"/>
      <c r="AJ251" s="1058"/>
      <c r="AK251" s="105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6" t="s">
        <v>2335</v>
      </c>
      <c r="N253" s="1326"/>
      <c r="O253" s="1326"/>
      <c r="P253" s="1326"/>
      <c r="Q253" s="1326"/>
      <c r="R253" s="1326"/>
      <c r="S253" s="1326"/>
      <c r="T253" s="1326"/>
      <c r="U253" s="1326"/>
      <c r="V253" s="1326"/>
      <c r="W253" s="1326"/>
      <c r="X253" s="1326"/>
      <c r="Y253" s="1326"/>
      <c r="Z253" s="1326"/>
      <c r="AA253" s="1326"/>
      <c r="AB253" s="1326"/>
      <c r="AC253" s="1326"/>
      <c r="AD253" s="1326"/>
      <c r="AE253" s="1326"/>
      <c r="AF253" s="1329" t="s">
        <v>2332</v>
      </c>
      <c r="AG253" s="1329"/>
      <c r="AH253" s="1329"/>
      <c r="AI253" s="1329"/>
      <c r="AJ253" s="1329"/>
      <c r="AK253" s="1329"/>
      <c r="AM253" s="5"/>
    </row>
    <row r="254" spans="1:67" ht="12.9" customHeight="1">
      <c r="A254" s="28"/>
      <c r="B254" s="5"/>
      <c r="C254" s="5"/>
      <c r="D254" s="5" t="s">
        <v>372</v>
      </c>
      <c r="E254" s="5"/>
      <c r="F254" s="5"/>
      <c r="G254" s="5"/>
      <c r="H254" s="5"/>
      <c r="I254" s="5"/>
      <c r="J254" s="5"/>
      <c r="K254" s="5"/>
      <c r="L254" s="5"/>
      <c r="M254" s="1053" t="s">
        <v>2327</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t="s">
        <v>116</v>
      </c>
      <c r="N255" s="1053"/>
      <c r="O255" s="1053"/>
      <c r="P255" s="1053"/>
      <c r="Q255" s="1053"/>
      <c r="R255" s="1053"/>
      <c r="S255" s="1053"/>
      <c r="T255" s="1053"/>
      <c r="V255" s="42" t="s">
        <v>373</v>
      </c>
      <c r="W255" s="1320"/>
      <c r="X255" s="1320"/>
      <c r="Y255" s="5" t="s">
        <v>433</v>
      </c>
      <c r="AC255" s="1053"/>
      <c r="AD255" s="1053"/>
      <c r="AE255" s="1053"/>
    </row>
    <row r="256" spans="1:67" ht="12.9" customHeight="1">
      <c r="A256" s="28"/>
      <c r="B256" s="5"/>
      <c r="C256" s="5"/>
      <c r="D256" s="5" t="s">
        <v>374</v>
      </c>
      <c r="E256" s="5"/>
      <c r="F256" s="5"/>
      <c r="G256" s="5"/>
      <c r="H256" s="5"/>
      <c r="I256" s="5"/>
      <c r="J256" s="5"/>
      <c r="K256" s="5"/>
      <c r="L256" s="28"/>
      <c r="M256" s="1116" t="s">
        <v>2429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9" t="s">
        <v>2336</v>
      </c>
      <c r="N257" s="1059"/>
      <c r="O257" s="1059"/>
      <c r="P257" s="1059"/>
      <c r="Q257" s="1059"/>
      <c r="R257" s="1059"/>
      <c r="S257" s="5" t="s">
        <v>818</v>
      </c>
      <c r="T257" s="5"/>
      <c r="U257" s="1320"/>
      <c r="V257" s="1320"/>
      <c r="W257" s="1320"/>
      <c r="X257" s="5" t="s">
        <v>376</v>
      </c>
      <c r="Z257" s="1059"/>
      <c r="AA257" s="1059"/>
      <c r="AB257" s="1059"/>
      <c r="AC257" s="1059"/>
      <c r="AD257" s="1059"/>
      <c r="AE257" s="1059"/>
      <c r="BA257" s="43"/>
    </row>
    <row r="258" spans="1:53" ht="12.9" customHeight="1">
      <c r="A258" s="28"/>
      <c r="B258" s="5"/>
      <c r="C258" s="5"/>
      <c r="D258" s="5" t="s">
        <v>377</v>
      </c>
      <c r="E258" s="5"/>
      <c r="F258" s="5"/>
      <c r="M258" s="1061" t="s">
        <v>2330</v>
      </c>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 customHeight="1">
      <c r="A261" s="18"/>
      <c r="B261" s="5"/>
      <c r="C261" s="62" t="s">
        <v>1885</v>
      </c>
      <c r="D261" s="5" t="s">
        <v>632</v>
      </c>
      <c r="E261" s="5"/>
      <c r="F261" s="5"/>
      <c r="G261" s="5"/>
      <c r="H261" s="5"/>
      <c r="I261" s="5"/>
      <c r="J261" s="5"/>
      <c r="K261" s="5"/>
      <c r="L261" s="5"/>
      <c r="M261" s="1326"/>
      <c r="N261" s="1329"/>
      <c r="O261" s="1329"/>
      <c r="P261" s="1329"/>
      <c r="Q261" s="1329"/>
      <c r="R261" s="1329"/>
      <c r="S261" s="1329"/>
      <c r="T261" s="1329"/>
      <c r="U261" s="1329"/>
      <c r="V261" s="1329"/>
      <c r="W261" s="1329"/>
      <c r="X261" s="1329"/>
      <c r="Y261" s="1329"/>
      <c r="Z261" s="1329"/>
      <c r="AA261" s="1329"/>
      <c r="AB261" s="1329"/>
      <c r="AC261" s="1329"/>
      <c r="AD261" s="1329"/>
      <c r="AE261" s="1329"/>
      <c r="AF261" s="1329" t="s">
        <v>79</v>
      </c>
      <c r="AG261" s="1329"/>
      <c r="AH261" s="1329"/>
      <c r="AI261" s="1329"/>
      <c r="AJ261" s="1329"/>
      <c r="AK261" s="1329"/>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20"/>
      <c r="X263" s="1320"/>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9"/>
      <c r="N265" s="1059"/>
      <c r="O265" s="1059"/>
      <c r="P265" s="1059"/>
      <c r="Q265" s="1059"/>
      <c r="R265" s="1059"/>
      <c r="S265" s="5" t="s">
        <v>818</v>
      </c>
      <c r="T265" s="5"/>
      <c r="U265" s="1320"/>
      <c r="V265" s="1320"/>
      <c r="W265" s="1320"/>
      <c r="X265" s="5" t="s">
        <v>376</v>
      </c>
      <c r="Z265" s="1059"/>
      <c r="AA265" s="1059"/>
      <c r="AB265" s="1059"/>
      <c r="AC265" s="1059"/>
      <c r="AD265" s="1059"/>
      <c r="AE265" s="1059"/>
      <c r="AL265" s="41"/>
      <c r="BA265" s="43"/>
    </row>
    <row r="266" spans="1:53" ht="12.9"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0" t="str">
        <f>BO245</f>
        <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51" t="s">
        <v>124</v>
      </c>
      <c r="Y272" s="1351"/>
      <c r="Z272" s="1351"/>
      <c r="AA272" s="1351"/>
      <c r="AB272" s="1351"/>
      <c r="AC272" s="1351"/>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6" t="s">
        <v>2430</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41"/>
      <c r="AL276" s="41"/>
      <c r="BA276" s="43"/>
    </row>
    <row r="277" spans="1:53" ht="12.9" customHeight="1">
      <c r="D277" s="5" t="s">
        <v>372</v>
      </c>
      <c r="E277" s="5"/>
      <c r="F277" s="5"/>
      <c r="G277" s="5"/>
      <c r="H277" s="5"/>
      <c r="I277" s="5"/>
      <c r="J277" s="5"/>
      <c r="K277" s="5"/>
      <c r="L277" s="1053" t="s">
        <v>2327</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116</v>
      </c>
      <c r="M278" s="1053"/>
      <c r="N278" s="1053"/>
      <c r="O278" s="1053"/>
      <c r="P278" s="1053"/>
      <c r="Q278" s="1053"/>
      <c r="R278" s="1053"/>
      <c r="S278" s="1053"/>
      <c r="U278" s="42" t="s">
        <v>373</v>
      </c>
      <c r="V278" s="1320"/>
      <c r="W278" s="1320"/>
      <c r="X278" s="5" t="s">
        <v>433</v>
      </c>
      <c r="AB278" s="1053">
        <v>93401</v>
      </c>
      <c r="AC278" s="1053"/>
      <c r="AD278" s="1053"/>
      <c r="AK278" s="41"/>
      <c r="AL278" s="41"/>
      <c r="BA278" s="43"/>
    </row>
    <row r="279" spans="1:53" ht="12.9" customHeight="1">
      <c r="D279" s="5" t="s">
        <v>374</v>
      </c>
      <c r="E279" s="5"/>
      <c r="F279" s="5"/>
      <c r="G279" s="5"/>
      <c r="H279" s="5"/>
      <c r="I279" s="5"/>
      <c r="J279" s="5"/>
      <c r="K279" s="28"/>
      <c r="L279" s="1116" t="s">
        <v>2431</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321" t="s">
        <v>2432</v>
      </c>
      <c r="M280" s="1059"/>
      <c r="N280" s="1059"/>
      <c r="O280" s="1059"/>
      <c r="P280" s="1059"/>
      <c r="Q280" s="1059"/>
      <c r="R280" s="5" t="s">
        <v>818</v>
      </c>
      <c r="S280" s="5"/>
      <c r="T280" s="1320"/>
      <c r="U280" s="1320"/>
      <c r="V280" s="1320"/>
      <c r="W280" s="5" t="s">
        <v>376</v>
      </c>
      <c r="Y280" s="1059"/>
      <c r="Z280" s="1059"/>
      <c r="AA280" s="1059"/>
      <c r="AB280" s="1059"/>
      <c r="AC280" s="1059"/>
      <c r="AD280" s="1059"/>
      <c r="BA280" s="43"/>
    </row>
    <row r="281" spans="1:53" ht="12.9" customHeight="1">
      <c r="D281" s="5" t="s">
        <v>377</v>
      </c>
      <c r="E281" s="5"/>
      <c r="F281" s="5"/>
      <c r="L281" s="1061" t="s">
        <v>2433</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186</v>
      </c>
      <c r="E282" s="41"/>
      <c r="F282" s="41"/>
      <c r="G282" s="41"/>
      <c r="H282" s="41"/>
      <c r="I282" s="41"/>
      <c r="L282" s="1152" t="s">
        <v>2434</v>
      </c>
      <c r="M282" s="1152"/>
      <c r="N282" s="1152"/>
      <c r="O282" s="1152"/>
      <c r="P282" s="1152"/>
      <c r="Q282" s="1152"/>
      <c r="R282" s="1152"/>
      <c r="S282" s="1152"/>
      <c r="T282" s="1152"/>
      <c r="U282" s="1152"/>
      <c r="V282" s="1152"/>
      <c r="W282" s="1152"/>
      <c r="X282" s="1152"/>
      <c r="Y282" s="1152"/>
      <c r="Z282" s="1152"/>
      <c r="AA282" s="1152"/>
      <c r="AB282" s="1152"/>
      <c r="AC282" s="1152"/>
      <c r="AD282" s="1152"/>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2337</v>
      </c>
      <c r="I289" s="1056"/>
      <c r="J289" s="1056"/>
      <c r="K289" s="1056"/>
      <c r="L289" s="1056"/>
      <c r="M289" s="1056"/>
      <c r="N289" s="1056"/>
      <c r="O289" s="1056"/>
      <c r="P289" s="1056"/>
      <c r="Q289" s="1056"/>
      <c r="R289" s="1056"/>
      <c r="T289" s="41" t="s">
        <v>745</v>
      </c>
      <c r="V289" s="41"/>
      <c r="W289" s="41"/>
      <c r="X289" s="41"/>
      <c r="Y289" s="41"/>
      <c r="AA289" s="1056" t="s">
        <v>2400</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2327</v>
      </c>
      <c r="I290" s="1054"/>
      <c r="J290" s="1054"/>
      <c r="K290" s="1054"/>
      <c r="L290" s="1054"/>
      <c r="M290" s="1054"/>
      <c r="N290" s="1054"/>
      <c r="O290" s="1054"/>
      <c r="P290" s="1054"/>
      <c r="Q290" s="1054"/>
      <c r="R290" s="1054"/>
      <c r="T290" s="41" t="s">
        <v>699</v>
      </c>
      <c r="V290" s="41"/>
      <c r="W290" s="41"/>
      <c r="X290" s="41"/>
      <c r="Y290" s="41"/>
      <c r="AA290" s="1054" t="s">
        <v>2402</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2338</v>
      </c>
      <c r="I291" s="1054"/>
      <c r="J291" s="1054"/>
      <c r="K291" s="1054"/>
      <c r="L291" s="1054"/>
      <c r="M291" s="1054"/>
      <c r="N291" s="1054"/>
      <c r="O291" s="1054"/>
      <c r="P291" s="1054"/>
      <c r="Q291" s="1054"/>
      <c r="R291" s="1054"/>
      <c r="T291" s="41" t="s">
        <v>700</v>
      </c>
      <c r="V291" s="41"/>
      <c r="W291" s="41"/>
      <c r="X291" s="41"/>
      <c r="Y291" s="41"/>
      <c r="AA291" s="1054" t="s">
        <v>2338</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2323</v>
      </c>
      <c r="I292" s="1054"/>
      <c r="J292" s="1054"/>
      <c r="K292" s="1054"/>
      <c r="L292" s="1054"/>
      <c r="M292" s="1054"/>
      <c r="N292" s="1054"/>
      <c r="O292" s="1054"/>
      <c r="P292" s="1054"/>
      <c r="Q292" s="1054"/>
      <c r="R292" s="1054"/>
      <c r="T292" s="41" t="s">
        <v>374</v>
      </c>
      <c r="V292" s="41"/>
      <c r="W292" s="41"/>
      <c r="X292" s="41"/>
      <c r="Y292" s="41"/>
      <c r="AA292" s="1054" t="s">
        <v>2399</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2336</v>
      </c>
      <c r="I293" s="1058"/>
      <c r="J293" s="1058"/>
      <c r="K293" s="1058"/>
      <c r="L293" s="1058"/>
      <c r="M293" s="1058"/>
      <c r="N293" s="5" t="s">
        <v>818</v>
      </c>
      <c r="O293" s="5"/>
      <c r="P293" s="1053"/>
      <c r="Q293" s="1053"/>
      <c r="R293" s="1053"/>
      <c r="S293" s="41"/>
      <c r="T293" s="41" t="s">
        <v>375</v>
      </c>
      <c r="V293" s="41"/>
      <c r="W293" s="41"/>
      <c r="X293" s="41"/>
      <c r="Y293" s="41"/>
      <c r="AA293" s="1057" t="s">
        <v>2401</v>
      </c>
      <c r="AB293" s="1058"/>
      <c r="AC293" s="1058"/>
      <c r="AD293" s="1058"/>
      <c r="AE293" s="1058"/>
      <c r="AF293" s="1058"/>
      <c r="AG293" s="5" t="s">
        <v>818</v>
      </c>
      <c r="AH293" s="5"/>
      <c r="AI293" s="1053">
        <v>115</v>
      </c>
      <c r="AJ293" s="1053"/>
      <c r="AK293" s="1053"/>
      <c r="BA293" s="43"/>
    </row>
    <row r="294" spans="2:53" ht="12.9" customHeight="1">
      <c r="B294" s="41" t="s">
        <v>376</v>
      </c>
      <c r="C294" s="41"/>
      <c r="D294" s="41"/>
      <c r="E294" s="41"/>
      <c r="F294" s="41"/>
      <c r="G294" s="41"/>
      <c r="H294" s="1059"/>
      <c r="I294" s="1059"/>
      <c r="J294" s="1059"/>
      <c r="K294" s="1059"/>
      <c r="L294" s="1059"/>
      <c r="M294" s="1059"/>
      <c r="N294" s="5"/>
      <c r="O294" s="5"/>
      <c r="P294" s="44"/>
      <c r="Q294" s="44"/>
      <c r="R294" s="44"/>
      <c r="S294" s="41"/>
      <c r="T294" s="41" t="s">
        <v>376</v>
      </c>
      <c r="V294" s="41"/>
      <c r="W294" s="41"/>
      <c r="X294" s="41"/>
      <c r="Y294" s="41"/>
      <c r="AA294" s="1059"/>
      <c r="AB294" s="1059"/>
      <c r="AC294" s="1059"/>
      <c r="AD294" s="1059"/>
      <c r="AE294" s="1059"/>
      <c r="AF294" s="1059"/>
      <c r="AG294" s="5"/>
      <c r="AH294" s="5"/>
      <c r="AI294" s="44"/>
      <c r="AJ294" s="44"/>
      <c r="AK294" s="44"/>
      <c r="BA294" s="43"/>
    </row>
    <row r="295" spans="2:53" ht="12.9" customHeight="1">
      <c r="B295" s="41" t="s">
        <v>702</v>
      </c>
      <c r="C295" s="41"/>
      <c r="D295" s="41"/>
      <c r="E295" s="41"/>
      <c r="F295" s="41"/>
      <c r="G295" s="41"/>
      <c r="H295" s="1054" t="s">
        <v>2339</v>
      </c>
      <c r="I295" s="1054"/>
      <c r="J295" s="1054"/>
      <c r="K295" s="1054"/>
      <c r="L295" s="1054"/>
      <c r="M295" s="1054"/>
      <c r="N295" s="1056"/>
      <c r="O295" s="1056"/>
      <c r="P295" s="1056"/>
      <c r="Q295" s="1056"/>
      <c r="R295" s="1056"/>
      <c r="S295" s="41"/>
      <c r="T295" s="41" t="s">
        <v>702</v>
      </c>
      <c r="V295" s="41"/>
      <c r="W295" s="41"/>
      <c r="X295" s="41"/>
      <c r="Y295" s="41"/>
      <c r="AA295" s="1054" t="s">
        <v>2403</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2340</v>
      </c>
      <c r="I297" s="1056"/>
      <c r="J297" s="1056"/>
      <c r="K297" s="1056"/>
      <c r="L297" s="1056"/>
      <c r="M297" s="1056"/>
      <c r="N297" s="1056"/>
      <c r="O297" s="1056"/>
      <c r="P297" s="1056"/>
      <c r="Q297" s="1056"/>
      <c r="R297" s="1056"/>
      <c r="T297" s="41" t="s">
        <v>35</v>
      </c>
      <c r="V297" s="41"/>
      <c r="W297" s="41"/>
      <c r="X297" s="41"/>
      <c r="Y297" s="41"/>
      <c r="AA297" s="1056" t="s">
        <v>2337</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2341</v>
      </c>
      <c r="I298" s="1054"/>
      <c r="J298" s="1054"/>
      <c r="K298" s="1054"/>
      <c r="L298" s="1054"/>
      <c r="M298" s="1054"/>
      <c r="N298" s="1054"/>
      <c r="O298" s="1054"/>
      <c r="P298" s="1054"/>
      <c r="Q298" s="1054"/>
      <c r="R298" s="1054"/>
      <c r="T298" s="41" t="s">
        <v>699</v>
      </c>
      <c r="V298" s="41"/>
      <c r="W298" s="41"/>
      <c r="X298" s="41"/>
      <c r="Y298" s="41"/>
      <c r="AA298" s="1054" t="s">
        <v>2327</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2342</v>
      </c>
      <c r="I299" s="1054"/>
      <c r="J299" s="1054"/>
      <c r="K299" s="1054"/>
      <c r="L299" s="1054"/>
      <c r="M299" s="1054"/>
      <c r="N299" s="1054"/>
      <c r="O299" s="1054"/>
      <c r="P299" s="1054"/>
      <c r="Q299" s="1054"/>
      <c r="R299" s="1054"/>
      <c r="T299" s="41" t="s">
        <v>700</v>
      </c>
      <c r="V299" s="41"/>
      <c r="W299" s="41"/>
      <c r="X299" s="41"/>
      <c r="Y299" s="41"/>
      <c r="AA299" s="1054" t="s">
        <v>2338</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2343</v>
      </c>
      <c r="I300" s="1054"/>
      <c r="J300" s="1054"/>
      <c r="K300" s="1054"/>
      <c r="L300" s="1054"/>
      <c r="M300" s="1054"/>
      <c r="N300" s="1054"/>
      <c r="O300" s="1054"/>
      <c r="P300" s="1054"/>
      <c r="Q300" s="1054"/>
      <c r="R300" s="1054"/>
      <c r="T300" s="41" t="s">
        <v>374</v>
      </c>
      <c r="V300" s="41"/>
      <c r="W300" s="41"/>
      <c r="X300" s="41"/>
      <c r="Y300" s="41"/>
      <c r="AA300" s="1054" t="s">
        <v>2323</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8" t="s">
        <v>2344</v>
      </c>
      <c r="I301" s="1058"/>
      <c r="J301" s="1058"/>
      <c r="K301" s="1058"/>
      <c r="L301" s="1058"/>
      <c r="M301" s="1058"/>
      <c r="N301" s="5" t="s">
        <v>818</v>
      </c>
      <c r="O301" s="5"/>
      <c r="P301" s="1053"/>
      <c r="Q301" s="1053"/>
      <c r="R301" s="1053"/>
      <c r="S301" s="41"/>
      <c r="T301" s="41" t="s">
        <v>375</v>
      </c>
      <c r="V301" s="41"/>
      <c r="W301" s="41"/>
      <c r="X301" s="41"/>
      <c r="Y301" s="41"/>
      <c r="AA301" s="1057" t="s">
        <v>2336</v>
      </c>
      <c r="AB301" s="1058"/>
      <c r="AC301" s="1058"/>
      <c r="AD301" s="1058"/>
      <c r="AE301" s="1058"/>
      <c r="AF301" s="1058"/>
      <c r="AG301" s="5" t="s">
        <v>818</v>
      </c>
      <c r="AH301" s="5"/>
      <c r="AI301" s="1053"/>
      <c r="AJ301" s="1053"/>
      <c r="AK301" s="1053"/>
      <c r="BA301" s="43"/>
    </row>
    <row r="302" spans="2:53" ht="12.9" customHeight="1">
      <c r="B302" s="41" t="s">
        <v>376</v>
      </c>
      <c r="C302" s="41"/>
      <c r="D302" s="41"/>
      <c r="E302" s="41"/>
      <c r="F302" s="41"/>
      <c r="G302" s="41"/>
      <c r="H302" s="1059"/>
      <c r="I302" s="1059"/>
      <c r="J302" s="1059"/>
      <c r="K302" s="1059"/>
      <c r="L302" s="1059"/>
      <c r="M302" s="1059"/>
      <c r="N302" s="5"/>
      <c r="O302" s="5"/>
      <c r="P302" s="44"/>
      <c r="Q302" s="44"/>
      <c r="R302" s="44"/>
      <c r="S302" s="41"/>
      <c r="T302" s="41" t="s">
        <v>376</v>
      </c>
      <c r="V302" s="41"/>
      <c r="W302" s="41"/>
      <c r="X302" s="41"/>
      <c r="Y302" s="41"/>
      <c r="AA302" s="1059"/>
      <c r="AB302" s="1059"/>
      <c r="AC302" s="1059"/>
      <c r="AD302" s="1059"/>
      <c r="AE302" s="1059"/>
      <c r="AF302" s="1059"/>
      <c r="AG302" s="5"/>
      <c r="AH302" s="5"/>
      <c r="AI302" s="44"/>
      <c r="AJ302" s="44"/>
      <c r="AK302" s="44"/>
      <c r="BA302" s="43"/>
    </row>
    <row r="303" spans="2:53" ht="12.9" customHeight="1">
      <c r="B303" s="41" t="s">
        <v>702</v>
      </c>
      <c r="C303" s="41"/>
      <c r="D303" s="41"/>
      <c r="E303" s="41"/>
      <c r="F303" s="41"/>
      <c r="G303" s="41"/>
      <c r="H303" s="1054" t="s">
        <v>2345</v>
      </c>
      <c r="I303" s="1054"/>
      <c r="J303" s="1054"/>
      <c r="K303" s="1054"/>
      <c r="L303" s="1054"/>
      <c r="M303" s="1054"/>
      <c r="N303" s="1056"/>
      <c r="O303" s="1056"/>
      <c r="P303" s="1056"/>
      <c r="Q303" s="1056"/>
      <c r="R303" s="1056"/>
      <c r="S303" s="41"/>
      <c r="T303" s="41" t="s">
        <v>702</v>
      </c>
      <c r="V303" s="41"/>
      <c r="W303" s="41"/>
      <c r="X303" s="41"/>
      <c r="Y303" s="41"/>
      <c r="AA303" s="1054" t="s">
        <v>2330</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2340</v>
      </c>
      <c r="I305" s="1056"/>
      <c r="J305" s="1056"/>
      <c r="K305" s="1056"/>
      <c r="L305" s="1056"/>
      <c r="M305" s="1056"/>
      <c r="N305" s="1056"/>
      <c r="O305" s="1056"/>
      <c r="P305" s="1056"/>
      <c r="Q305" s="1056"/>
      <c r="R305" s="1056"/>
      <c r="T305" s="5" t="s">
        <v>1105</v>
      </c>
      <c r="V305" s="41"/>
      <c r="W305" s="41"/>
      <c r="X305" s="41"/>
      <c r="Y305" s="41"/>
      <c r="AA305" s="1056"/>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t="s">
        <v>2341</v>
      </c>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t="s">
        <v>2342</v>
      </c>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2343</v>
      </c>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2344</v>
      </c>
      <c r="I309" s="1058"/>
      <c r="J309" s="1058"/>
      <c r="K309" s="1058"/>
      <c r="L309" s="1058"/>
      <c r="M309" s="1058"/>
      <c r="N309" s="5" t="s">
        <v>818</v>
      </c>
      <c r="O309" s="5"/>
      <c r="P309" s="1053"/>
      <c r="Q309" s="1053"/>
      <c r="R309" s="1053"/>
      <c r="S309" s="41"/>
      <c r="T309" s="41" t="s">
        <v>375</v>
      </c>
      <c r="V309" s="41"/>
      <c r="W309" s="41"/>
      <c r="X309" s="41"/>
      <c r="Y309" s="41"/>
      <c r="AA309" s="1058"/>
      <c r="AB309" s="1058"/>
      <c r="AC309" s="1058"/>
      <c r="AD309" s="1058"/>
      <c r="AE309" s="1058"/>
      <c r="AF309" s="1058"/>
      <c r="AG309" s="5" t="s">
        <v>818</v>
      </c>
      <c r="AH309" s="5"/>
      <c r="AI309" s="1053"/>
      <c r="AJ309" s="1053"/>
      <c r="AK309" s="1053"/>
      <c r="BA309" s="43"/>
    </row>
    <row r="310" spans="2:53" ht="12.9" customHeight="1">
      <c r="B310" s="41" t="s">
        <v>376</v>
      </c>
      <c r="C310" s="41"/>
      <c r="D310" s="41"/>
      <c r="E310" s="41"/>
      <c r="F310" s="41"/>
      <c r="G310" s="41"/>
      <c r="H310" s="1059"/>
      <c r="I310" s="1059"/>
      <c r="J310" s="1059"/>
      <c r="K310" s="1059"/>
      <c r="L310" s="1059"/>
      <c r="M310" s="1059"/>
      <c r="N310" s="5"/>
      <c r="O310" s="5"/>
      <c r="P310" s="44"/>
      <c r="Q310" s="44"/>
      <c r="R310" s="44"/>
      <c r="S310" s="41"/>
      <c r="T310" s="41" t="s">
        <v>376</v>
      </c>
      <c r="V310" s="41"/>
      <c r="W310" s="41"/>
      <c r="X310" s="41"/>
      <c r="Y310" s="41"/>
      <c r="AA310" s="1059"/>
      <c r="AB310" s="1059"/>
      <c r="AC310" s="1059"/>
      <c r="AD310" s="1059"/>
      <c r="AE310" s="1059"/>
      <c r="AF310" s="1059"/>
      <c r="AG310" s="5"/>
      <c r="AH310" s="5"/>
      <c r="AI310" s="44"/>
      <c r="AJ310" s="44"/>
      <c r="AK310" s="44"/>
      <c r="BA310" s="43"/>
    </row>
    <row r="311" spans="2:53" ht="12.9" customHeight="1">
      <c r="B311" s="41" t="s">
        <v>702</v>
      </c>
      <c r="C311" s="41"/>
      <c r="D311" s="41"/>
      <c r="E311" s="41"/>
      <c r="F311" s="41"/>
      <c r="G311" s="41"/>
      <c r="H311" s="1054" t="s">
        <v>2345</v>
      </c>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t="s">
        <v>2382</v>
      </c>
      <c r="I313" s="1056"/>
      <c r="J313" s="1056"/>
      <c r="K313" s="1056"/>
      <c r="L313" s="1056"/>
      <c r="M313" s="1056"/>
      <c r="N313" s="1056"/>
      <c r="O313" s="1056"/>
      <c r="P313" s="1056"/>
      <c r="Q313" s="1056"/>
      <c r="R313" s="1056"/>
      <c r="T313" s="41" t="s">
        <v>36</v>
      </c>
      <c r="V313" s="41"/>
      <c r="W313" s="41"/>
      <c r="X313" s="41"/>
      <c r="Y313" s="41"/>
      <c r="AA313" s="1056" t="s">
        <v>2388</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t="s">
        <v>2383</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t="s">
        <v>2384</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2382</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8" t="s">
        <v>2385</v>
      </c>
      <c r="I317" s="1058"/>
      <c r="J317" s="1058"/>
      <c r="K317" s="1058"/>
      <c r="L317" s="1058"/>
      <c r="M317" s="1058"/>
      <c r="N317" s="5" t="s">
        <v>818</v>
      </c>
      <c r="O317" s="5"/>
      <c r="P317" s="1053"/>
      <c r="Q317" s="1053"/>
      <c r="R317" s="1053"/>
      <c r="S317" s="41"/>
      <c r="T317" s="41" t="s">
        <v>375</v>
      </c>
      <c r="V317" s="41"/>
      <c r="W317" s="41"/>
      <c r="X317" s="41"/>
      <c r="Y317" s="41"/>
      <c r="AA317" s="1058"/>
      <c r="AB317" s="1058"/>
      <c r="AC317" s="1058"/>
      <c r="AD317" s="1058"/>
      <c r="AE317" s="1058"/>
      <c r="AF317" s="1058"/>
      <c r="AG317" s="5" t="s">
        <v>818</v>
      </c>
      <c r="AH317" s="5"/>
      <c r="AI317" s="1053"/>
      <c r="AJ317" s="1053"/>
      <c r="AK317" s="1053"/>
      <c r="BA317" s="43"/>
    </row>
    <row r="318" spans="2:53" ht="12.9" customHeight="1">
      <c r="B318" s="41" t="s">
        <v>376</v>
      </c>
      <c r="C318" s="41"/>
      <c r="D318" s="41"/>
      <c r="E318" s="41"/>
      <c r="F318" s="41"/>
      <c r="G318" s="41"/>
      <c r="H318" s="1059" t="s">
        <v>2386</v>
      </c>
      <c r="I318" s="1059"/>
      <c r="J318" s="1059"/>
      <c r="K318" s="1059"/>
      <c r="L318" s="1059"/>
      <c r="M318" s="1059"/>
      <c r="N318" s="5"/>
      <c r="O318" s="5"/>
      <c r="P318" s="44"/>
      <c r="Q318" s="44"/>
      <c r="R318" s="44"/>
      <c r="S318" s="41"/>
      <c r="T318" s="41" t="s">
        <v>376</v>
      </c>
      <c r="V318" s="41"/>
      <c r="W318" s="41"/>
      <c r="X318" s="41"/>
      <c r="Y318" s="41"/>
      <c r="AA318" s="1059"/>
      <c r="AB318" s="1059"/>
      <c r="AC318" s="1059"/>
      <c r="AD318" s="1059"/>
      <c r="AE318" s="1059"/>
      <c r="AF318" s="1059"/>
      <c r="AG318" s="5"/>
      <c r="AH318" s="5"/>
      <c r="AI318" s="44"/>
      <c r="AJ318" s="44"/>
      <c r="AK318" s="44"/>
      <c r="BA318" s="43"/>
    </row>
    <row r="319" spans="2:53" ht="12.9" customHeight="1">
      <c r="B319" s="41" t="s">
        <v>702</v>
      </c>
      <c r="C319" s="41"/>
      <c r="D319" s="41"/>
      <c r="E319" s="41"/>
      <c r="F319" s="41"/>
      <c r="G319" s="41"/>
      <c r="H319" s="1054" t="s">
        <v>2387</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16" t="s">
        <v>2349</v>
      </c>
      <c r="I321" s="1056"/>
      <c r="J321" s="1056"/>
      <c r="K321" s="1056"/>
      <c r="L321" s="1056"/>
      <c r="M321" s="1056"/>
      <c r="N321" s="1056"/>
      <c r="O321" s="1056"/>
      <c r="P321" s="1056"/>
      <c r="Q321" s="1056"/>
      <c r="R321" s="1056"/>
      <c r="T321" s="41" t="s">
        <v>37</v>
      </c>
      <c r="V321" s="41"/>
      <c r="W321" s="41"/>
      <c r="X321" s="41"/>
      <c r="Y321" s="41"/>
      <c r="AA321" s="1056" t="s">
        <v>2389</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152" t="s">
        <v>2351</v>
      </c>
      <c r="I322" s="1054"/>
      <c r="J322" s="1054"/>
      <c r="K322" s="1054"/>
      <c r="L322" s="1054"/>
      <c r="M322" s="1054"/>
      <c r="N322" s="1054"/>
      <c r="O322" s="1054"/>
      <c r="P322" s="1054"/>
      <c r="Q322" s="1054"/>
      <c r="R322" s="1054"/>
      <c r="T322" s="41" t="s">
        <v>699</v>
      </c>
      <c r="V322" s="41"/>
      <c r="W322" s="41"/>
      <c r="X322" s="41"/>
      <c r="Y322" s="41"/>
      <c r="AA322" s="1054" t="s">
        <v>2390</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152" t="s">
        <v>2352</v>
      </c>
      <c r="I323" s="1054"/>
      <c r="J323" s="1054"/>
      <c r="K323" s="1054"/>
      <c r="L323" s="1054"/>
      <c r="M323" s="1054"/>
      <c r="N323" s="1054"/>
      <c r="O323" s="1054"/>
      <c r="P323" s="1054"/>
      <c r="Q323" s="1054"/>
      <c r="R323" s="1054"/>
      <c r="T323" s="41" t="s">
        <v>700</v>
      </c>
      <c r="V323" s="41"/>
      <c r="W323" s="41"/>
      <c r="X323" s="41"/>
      <c r="Y323" s="41"/>
      <c r="AA323" s="1054" t="s">
        <v>2391</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152" t="s">
        <v>2349</v>
      </c>
      <c r="I324" s="1054"/>
      <c r="J324" s="1054"/>
      <c r="K324" s="1054"/>
      <c r="L324" s="1054"/>
      <c r="M324" s="1054"/>
      <c r="N324" s="1054"/>
      <c r="O324" s="1054"/>
      <c r="P324" s="1054"/>
      <c r="Q324" s="1054"/>
      <c r="R324" s="1054"/>
      <c r="T324" s="41" t="s">
        <v>374</v>
      </c>
      <c r="V324" s="41"/>
      <c r="W324" s="41"/>
      <c r="X324" s="41"/>
      <c r="Y324" s="41"/>
      <c r="AA324" s="1054" t="s">
        <v>2392</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8">
        <v>5108328300</v>
      </c>
      <c r="I325" s="1058"/>
      <c r="J325" s="1058"/>
      <c r="K325" s="1058"/>
      <c r="L325" s="1058"/>
      <c r="M325" s="1058"/>
      <c r="N325" s="5" t="s">
        <v>818</v>
      </c>
      <c r="O325" s="5"/>
      <c r="P325" s="1053">
        <v>5</v>
      </c>
      <c r="Q325" s="1053"/>
      <c r="R325" s="1053"/>
      <c r="S325" s="41"/>
      <c r="T325" s="41" t="s">
        <v>375</v>
      </c>
      <c r="V325" s="41"/>
      <c r="W325" s="41"/>
      <c r="X325" s="41"/>
      <c r="Y325" s="41"/>
      <c r="AA325" s="1058" t="s">
        <v>2393</v>
      </c>
      <c r="AB325" s="1058"/>
      <c r="AC325" s="1058"/>
      <c r="AD325" s="1058"/>
      <c r="AE325" s="1058"/>
      <c r="AF325" s="1058"/>
      <c r="AG325" s="5" t="s">
        <v>818</v>
      </c>
      <c r="AH325" s="5"/>
      <c r="AI325" s="1053"/>
      <c r="AJ325" s="1053"/>
      <c r="AK325" s="1053"/>
      <c r="BA325" s="43"/>
    </row>
    <row r="326" spans="2:53" ht="12.9" customHeight="1">
      <c r="B326" s="41" t="s">
        <v>376</v>
      </c>
      <c r="C326" s="41"/>
      <c r="D326" s="41"/>
      <c r="E326" s="41"/>
      <c r="F326" s="41"/>
      <c r="G326" s="41"/>
      <c r="H326" s="1059"/>
      <c r="I326" s="1059"/>
      <c r="J326" s="1059"/>
      <c r="K326" s="1059"/>
      <c r="L326" s="1059"/>
      <c r="M326" s="1059"/>
      <c r="N326" s="5"/>
      <c r="O326" s="5"/>
      <c r="P326" s="44"/>
      <c r="Q326" s="44"/>
      <c r="R326" s="44"/>
      <c r="S326" s="41"/>
      <c r="T326" s="41" t="s">
        <v>376</v>
      </c>
      <c r="V326" s="41"/>
      <c r="W326" s="41"/>
      <c r="X326" s="41"/>
      <c r="Y326" s="41"/>
      <c r="AA326" s="1059" t="s">
        <v>2394</v>
      </c>
      <c r="AB326" s="1059"/>
      <c r="AC326" s="1059"/>
      <c r="AD326" s="1059"/>
      <c r="AE326" s="1059"/>
      <c r="AF326" s="1059"/>
      <c r="AG326" s="5"/>
      <c r="AH326" s="5"/>
      <c r="AI326" s="44"/>
      <c r="AJ326" s="44"/>
      <c r="AK326" s="44"/>
      <c r="BA326" s="43"/>
    </row>
    <row r="327" spans="2:53" ht="12.9" customHeight="1">
      <c r="B327" s="41" t="s">
        <v>702</v>
      </c>
      <c r="C327" s="41"/>
      <c r="D327" s="41"/>
      <c r="E327" s="41"/>
      <c r="F327" s="41"/>
      <c r="G327" s="41"/>
      <c r="H327" s="1152" t="s">
        <v>2350</v>
      </c>
      <c r="I327" s="1054"/>
      <c r="J327" s="1054"/>
      <c r="K327" s="1054"/>
      <c r="L327" s="1054"/>
      <c r="M327" s="1054"/>
      <c r="N327" s="1056"/>
      <c r="O327" s="1056"/>
      <c r="P327" s="1056"/>
      <c r="Q327" s="1056"/>
      <c r="R327" s="1056"/>
      <c r="S327" s="41"/>
      <c r="T327" s="41" t="s">
        <v>702</v>
      </c>
      <c r="V327" s="41"/>
      <c r="W327" s="41"/>
      <c r="X327" s="41"/>
      <c r="Y327" s="41"/>
      <c r="AA327" s="1054" t="s">
        <v>2395</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116" t="s">
        <v>2463</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2327</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2338</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2346</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8"/>
      <c r="I333" s="1058"/>
      <c r="J333" s="1058"/>
      <c r="K333" s="1058"/>
      <c r="L333" s="1058"/>
      <c r="M333" s="1058"/>
      <c r="N333" s="5" t="s">
        <v>818</v>
      </c>
      <c r="O333" s="5"/>
      <c r="P333" s="1053"/>
      <c r="Q333" s="1053"/>
      <c r="R333" s="1053"/>
      <c r="T333" s="41" t="s">
        <v>375</v>
      </c>
      <c r="V333" s="41"/>
      <c r="W333" s="41"/>
      <c r="X333" s="41"/>
      <c r="Y333" s="41"/>
      <c r="AA333" s="1057" t="s">
        <v>2347</v>
      </c>
      <c r="AB333" s="1058"/>
      <c r="AC333" s="1058"/>
      <c r="AD333" s="1058"/>
      <c r="AE333" s="1058"/>
      <c r="AF333" s="1058"/>
      <c r="AG333" s="5" t="s">
        <v>818</v>
      </c>
      <c r="AH333" s="5"/>
      <c r="AI333" s="1053"/>
      <c r="AJ333" s="1053"/>
      <c r="AK333" s="1053"/>
      <c r="BA333" s="43"/>
    </row>
    <row r="334" spans="2:53" ht="12.9" customHeight="1">
      <c r="B334" s="41" t="s">
        <v>376</v>
      </c>
      <c r="C334" s="41"/>
      <c r="D334" s="41"/>
      <c r="E334" s="41"/>
      <c r="F334" s="41"/>
      <c r="G334" s="41"/>
      <c r="H334" s="1059"/>
      <c r="I334" s="1059"/>
      <c r="J334" s="1059"/>
      <c r="K334" s="1059"/>
      <c r="L334" s="1059"/>
      <c r="M334" s="1059"/>
      <c r="N334" s="5"/>
      <c r="O334" s="5"/>
      <c r="P334" s="44"/>
      <c r="Q334" s="44"/>
      <c r="R334" s="44"/>
      <c r="T334" s="41" t="s">
        <v>376</v>
      </c>
      <c r="V334" s="41"/>
      <c r="W334" s="41"/>
      <c r="X334" s="41"/>
      <c r="Y334" s="41"/>
      <c r="AA334" s="1059"/>
      <c r="AB334" s="1059"/>
      <c r="AC334" s="1059"/>
      <c r="AD334" s="1059"/>
      <c r="AE334" s="1059"/>
      <c r="AF334" s="1059"/>
      <c r="AG334" s="5"/>
      <c r="AH334" s="5"/>
      <c r="AI334" s="44"/>
      <c r="AJ334" s="44"/>
      <c r="AK334" s="44"/>
      <c r="BA334" s="43"/>
    </row>
    <row r="335" spans="2:53" ht="12.9"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2435</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8"/>
      <c r="I341" s="1058"/>
      <c r="J341" s="1058"/>
      <c r="K341" s="1058"/>
      <c r="L341" s="1058"/>
      <c r="M341" s="1058"/>
      <c r="N341" s="5" t="s">
        <v>818</v>
      </c>
      <c r="O341" s="5"/>
      <c r="P341" s="1053"/>
      <c r="Q341" s="1053"/>
      <c r="R341" s="1053"/>
      <c r="T341" s="41" t="s">
        <v>375</v>
      </c>
      <c r="AA341" s="1058"/>
      <c r="AB341" s="1058"/>
      <c r="AC341" s="1058"/>
      <c r="AD341" s="1058"/>
      <c r="AE341" s="1058"/>
      <c r="AF341" s="1058"/>
      <c r="AG341" s="5" t="s">
        <v>818</v>
      </c>
      <c r="AH341" s="5"/>
      <c r="AI341" s="1053"/>
      <c r="AJ341" s="1053"/>
      <c r="AK341" s="1053"/>
    </row>
    <row r="342" spans="1:53" ht="12.9"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20" t="s">
        <v>124</v>
      </c>
      <c r="N349" s="1120"/>
      <c r="P349" t="s">
        <v>1961</v>
      </c>
      <c r="AJ349" s="1120" t="s">
        <v>482</v>
      </c>
      <c r="AK349" s="1120"/>
    </row>
    <row r="350" spans="1:53" ht="12.9" customHeight="1">
      <c r="D350" s="41" t="s">
        <v>1888</v>
      </c>
      <c r="M350" s="1120" t="s">
        <v>108</v>
      </c>
      <c r="N350" s="1120"/>
      <c r="P350" s="41" t="s">
        <v>1962</v>
      </c>
      <c r="AJ350" s="1149">
        <v>0</v>
      </c>
      <c r="AK350" s="1149"/>
    </row>
    <row r="351" spans="1:53" ht="12.9" customHeight="1">
      <c r="D351" t="s">
        <v>313</v>
      </c>
      <c r="M351" s="1120" t="s">
        <v>124</v>
      </c>
      <c r="N351" s="1120"/>
      <c r="P351" t="s">
        <v>1963</v>
      </c>
      <c r="AJ351" s="1120" t="s">
        <v>482</v>
      </c>
      <c r="AK351" s="1120"/>
    </row>
    <row r="352" spans="1:53" ht="12.9" customHeight="1">
      <c r="D352" t="s">
        <v>314</v>
      </c>
      <c r="M352" s="1120" t="s">
        <v>124</v>
      </c>
      <c r="N352" s="1120"/>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2.9" customHeight="1">
      <c r="E358" t="s">
        <v>733</v>
      </c>
      <c r="Y358" s="1120" t="s">
        <v>124</v>
      </c>
      <c r="Z358" s="1120"/>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20" t="s">
        <v>482</v>
      </c>
      <c r="K360" s="1120"/>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8"/>
      <c r="O363" s="1118"/>
      <c r="P363" s="1118"/>
      <c r="Q363" s="1118"/>
      <c r="R363" s="5"/>
      <c r="U363" s="5" t="s">
        <v>591</v>
      </c>
      <c r="V363" s="5"/>
      <c r="W363" s="5"/>
      <c r="X363" s="5"/>
      <c r="Y363" s="5"/>
      <c r="Z363" s="5"/>
      <c r="AA363" s="5"/>
      <c r="AB363" s="5"/>
      <c r="AC363" s="1118"/>
      <c r="AD363" s="1118"/>
      <c r="AE363" s="1118"/>
      <c r="AF363" s="1118"/>
      <c r="BE363" t="s">
        <v>108</v>
      </c>
    </row>
    <row r="364" spans="1:57" ht="12.9" customHeight="1">
      <c r="E364" s="5" t="s">
        <v>592</v>
      </c>
      <c r="F364" s="5"/>
      <c r="G364" s="5"/>
      <c r="H364" s="5"/>
      <c r="I364" s="5"/>
      <c r="J364" s="5"/>
      <c r="K364" s="5"/>
      <c r="L364" s="5"/>
      <c r="N364" s="1118"/>
      <c r="O364" s="1118"/>
      <c r="P364" s="1118"/>
      <c r="Q364" s="1118"/>
      <c r="R364" s="5"/>
      <c r="U364" s="5" t="s">
        <v>593</v>
      </c>
      <c r="V364" s="5"/>
      <c r="W364" s="5"/>
      <c r="X364" s="5"/>
      <c r="Y364" s="5"/>
      <c r="Z364" s="5"/>
      <c r="AA364" s="5"/>
      <c r="AB364" s="5"/>
      <c r="AC364" s="1118"/>
      <c r="AD364" s="1118"/>
      <c r="AE364" s="1118"/>
      <c r="AF364" s="1118"/>
    </row>
    <row r="365" spans="1:57" ht="12.9" customHeight="1">
      <c r="E365" s="5" t="s">
        <v>64</v>
      </c>
      <c r="F365" s="5"/>
      <c r="G365" s="5"/>
      <c r="H365" s="5"/>
      <c r="I365" s="5"/>
      <c r="J365" s="5"/>
      <c r="K365" s="5"/>
      <c r="L365" s="5"/>
      <c r="N365" s="1118"/>
      <c r="O365" s="1118"/>
      <c r="P365" s="1118"/>
      <c r="Q365" s="1118"/>
      <c r="R365" s="5"/>
      <c r="V365" s="5"/>
      <c r="W365" s="5"/>
      <c r="X365" s="5"/>
      <c r="Y365" s="5"/>
      <c r="Z365" s="5"/>
      <c r="AA365" s="5"/>
      <c r="AB365" s="5"/>
    </row>
    <row r="366" spans="1:57" ht="12.9" customHeight="1">
      <c r="E366" s="5" t="s">
        <v>65</v>
      </c>
      <c r="F366" s="5"/>
      <c r="G366" s="5"/>
      <c r="H366" s="5"/>
      <c r="I366" s="5"/>
      <c r="J366" s="5"/>
      <c r="K366" s="5"/>
      <c r="L366" s="5"/>
      <c r="N366" s="1355"/>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50"/>
      <c r="T370" s="1350"/>
      <c r="U370" s="370" t="s">
        <v>232</v>
      </c>
      <c r="V370" s="1350"/>
      <c r="W370" s="1350"/>
      <c r="X370" s="361"/>
      <c r="Z370" s="361"/>
      <c r="AA370" s="940" t="s">
        <v>2104</v>
      </c>
      <c r="AB370" s="361" t="s">
        <v>231</v>
      </c>
      <c r="AC370" s="361"/>
      <c r="AD370" s="1350"/>
      <c r="AE370" s="1350"/>
      <c r="AF370" s="370" t="s">
        <v>232</v>
      </c>
      <c r="AG370" s="1350"/>
      <c r="AH370" s="1350"/>
    </row>
    <row r="371" spans="1:36" ht="12.9" customHeight="1">
      <c r="D371" s="361"/>
      <c r="E371" s="361" t="s">
        <v>1235</v>
      </c>
      <c r="F371" s="361"/>
      <c r="G371" s="361"/>
      <c r="H371" s="361"/>
      <c r="I371" s="361"/>
      <c r="J371" s="361"/>
      <c r="K371" s="361"/>
      <c r="L371" s="361"/>
      <c r="M371" s="361"/>
      <c r="N371" s="1350"/>
      <c r="O371" s="1350"/>
      <c r="P371" s="135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482</v>
      </c>
      <c r="AH372" s="1117"/>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482</v>
      </c>
      <c r="AH373" s="1117"/>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7" t="s">
        <v>124</v>
      </c>
      <c r="W374" s="1117"/>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7" t="s">
        <v>124</v>
      </c>
      <c r="W375" s="1117"/>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16" t="s">
        <v>2377</v>
      </c>
      <c r="K378" s="1056"/>
      <c r="L378" s="1056"/>
      <c r="M378" s="1056"/>
      <c r="N378" s="1056"/>
      <c r="O378" s="1056"/>
      <c r="P378" s="1056"/>
      <c r="Q378" s="1056"/>
      <c r="R378" s="1056"/>
      <c r="S378" s="1056"/>
      <c r="T378" s="1056"/>
      <c r="U378" s="1056"/>
      <c r="V378" s="12" t="s">
        <v>710</v>
      </c>
      <c r="W378" s="12"/>
      <c r="X378" s="12"/>
      <c r="Y378" s="12"/>
      <c r="Z378" s="12"/>
      <c r="AA378" s="12"/>
      <c r="AB378" s="12"/>
      <c r="AC378" s="1116" t="s">
        <v>2378</v>
      </c>
      <c r="AD378" s="1056"/>
      <c r="AE378" s="1056"/>
      <c r="AF378" s="1056"/>
      <c r="AG378" s="1056"/>
      <c r="AH378" s="1056"/>
      <c r="AI378" s="1056"/>
      <c r="AJ378" s="1056"/>
    </row>
    <row r="379" spans="1:36" ht="12.9" customHeight="1">
      <c r="D379" s="41" t="s">
        <v>1964</v>
      </c>
      <c r="J379" s="1152" t="s">
        <v>2379</v>
      </c>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152" t="s">
        <v>2380</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081" t="s">
        <v>2381</v>
      </c>
      <c r="K381" s="1147"/>
      <c r="L381" s="1147"/>
      <c r="M381" s="1147"/>
      <c r="N381" s="1147"/>
      <c r="O381" s="1147"/>
      <c r="P381" s="1147"/>
      <c r="Q381" s="1147"/>
      <c r="R381" s="1147"/>
      <c r="S381" s="1147"/>
      <c r="T381" s="1147"/>
      <c r="U381" s="1147"/>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9">
        <v>45114</v>
      </c>
      <c r="R382" s="1479"/>
      <c r="S382" s="1479"/>
      <c r="T382" s="1479"/>
      <c r="U382" s="1479"/>
      <c r="V382" t="s">
        <v>168</v>
      </c>
      <c r="AI382" s="1120" t="s">
        <v>482</v>
      </c>
      <c r="AJ382" s="1120"/>
    </row>
    <row r="383" spans="1:36" ht="12.9" customHeight="1">
      <c r="D383" t="s">
        <v>555</v>
      </c>
      <c r="Q383" s="1264">
        <v>45519</v>
      </c>
      <c r="R383" s="1357"/>
      <c r="S383" s="1357"/>
      <c r="T383" s="1357"/>
      <c r="U383" s="1357"/>
      <c r="W383" s="29" t="s">
        <v>20</v>
      </c>
      <c r="AG383" s="1135"/>
      <c r="AH383" s="1135"/>
      <c r="AI383" s="1135"/>
      <c r="AJ383" s="1135"/>
    </row>
    <row r="384" spans="1:36" ht="12.9" customHeight="1">
      <c r="D384" t="s">
        <v>274</v>
      </c>
      <c r="Q384" s="1119">
        <v>13925000</v>
      </c>
      <c r="R384" s="1119"/>
      <c r="S384" s="1119"/>
      <c r="T384" s="1119"/>
      <c r="U384" s="1119"/>
      <c r="V384" s="41" t="s">
        <v>1966</v>
      </c>
      <c r="AG384" s="1282"/>
      <c r="AH384" s="1282"/>
      <c r="AI384" s="1282"/>
      <c r="AJ384" s="1282"/>
    </row>
    <row r="385" spans="4:36" ht="12.9" customHeight="1">
      <c r="D385" t="s">
        <v>375</v>
      </c>
      <c r="I385" s="1057">
        <v>8054409040</v>
      </c>
      <c r="J385" s="1057"/>
      <c r="K385" s="1057"/>
      <c r="L385" s="1057"/>
      <c r="M385" s="1057"/>
      <c r="N385" s="1057"/>
      <c r="Q385" s="41" t="s">
        <v>818</v>
      </c>
      <c r="S385" s="1151"/>
      <c r="T385" s="1151"/>
      <c r="U385" s="1151"/>
      <c r="V385" t="s">
        <v>19</v>
      </c>
      <c r="AI385" s="1120" t="s">
        <v>482</v>
      </c>
      <c r="AJ385" s="1120"/>
    </row>
    <row r="386" spans="4:36" ht="12.9" customHeight="1">
      <c r="D386" t="s">
        <v>169</v>
      </c>
      <c r="Q386" s="1178"/>
      <c r="R386" s="1178"/>
      <c r="S386" s="1178"/>
      <c r="T386" s="1178"/>
      <c r="U386" s="1178"/>
      <c r="V386" t="s">
        <v>170</v>
      </c>
      <c r="AG386" s="1135"/>
      <c r="AH386" s="1135"/>
      <c r="AI386" s="1135"/>
      <c r="AJ386" s="1135"/>
    </row>
    <row r="387" spans="4:36" ht="12.9" customHeight="1">
      <c r="D387" t="s">
        <v>25</v>
      </c>
      <c r="Q387" s="1420"/>
      <c r="R387" s="1420"/>
      <c r="S387" s="1420"/>
      <c r="T387" s="1420"/>
      <c r="U387" s="1420"/>
      <c r="V387" t="s">
        <v>1682</v>
      </c>
      <c r="AG387" s="1135">
        <v>0</v>
      </c>
      <c r="AH387" s="1135"/>
      <c r="AI387" s="1135"/>
      <c r="AJ387" s="1135"/>
    </row>
    <row r="388" spans="4:36" ht="12.9" customHeight="1">
      <c r="D388" t="s">
        <v>1967</v>
      </c>
      <c r="AG388" s="1135"/>
      <c r="AH388" s="1135"/>
      <c r="AI388" s="1135"/>
      <c r="AJ388" s="1135"/>
    </row>
    <row r="389" spans="4:36" ht="12.9" customHeight="1">
      <c r="AG389" s="832"/>
      <c r="AH389" s="832"/>
      <c r="AI389" s="832"/>
      <c r="AJ389" s="832"/>
    </row>
    <row r="390" spans="4:36" ht="12.9" customHeight="1">
      <c r="D390" s="41" t="s">
        <v>2206</v>
      </c>
      <c r="AG390" s="832"/>
      <c r="AH390" s="832"/>
      <c r="AI390" s="1120" t="s">
        <v>482</v>
      </c>
      <c r="AJ390" s="1120"/>
    </row>
    <row r="391" spans="4:36" ht="12.9" customHeight="1">
      <c r="D391" s="41" t="s">
        <v>1968</v>
      </c>
      <c r="T391" s="1133"/>
      <c r="U391" s="1133"/>
      <c r="V391" s="1133"/>
      <c r="W391" s="1133"/>
      <c r="X391" s="1133"/>
      <c r="Y391" s="1133"/>
      <c r="Z391" s="1133"/>
      <c r="AA391" s="1133"/>
      <c r="AB391" s="1133"/>
      <c r="AC391" s="1133"/>
      <c r="AD391" s="1133"/>
      <c r="AE391" s="1133"/>
      <c r="AF391" s="1133"/>
      <c r="AG391" s="1133"/>
      <c r="AH391" s="1133"/>
      <c r="AI391" s="1133"/>
      <c r="AJ391" s="1133"/>
    </row>
    <row r="392" spans="4:36" ht="12.9" customHeight="1">
      <c r="D392" s="41" t="s">
        <v>1969</v>
      </c>
      <c r="T392" s="1133"/>
      <c r="U392" s="1133"/>
      <c r="V392" s="1133"/>
      <c r="W392" s="1133"/>
      <c r="X392" s="1133"/>
      <c r="Y392" s="1133"/>
      <c r="Z392" s="1133"/>
      <c r="AA392" s="1133"/>
      <c r="AB392" s="1133"/>
      <c r="AC392" s="1133"/>
      <c r="AD392" s="1133"/>
      <c r="AE392" s="1133"/>
      <c r="AF392" s="1133"/>
      <c r="AG392" s="1133"/>
      <c r="AH392" s="1133"/>
      <c r="AI392" s="1133"/>
      <c r="AJ392" s="1133"/>
    </row>
    <row r="393" spans="4:36" ht="12.9" customHeight="1">
      <c r="AG393" s="832"/>
      <c r="AH393" s="832"/>
      <c r="AI393" s="832"/>
      <c r="AJ393" s="832"/>
    </row>
    <row r="394" spans="4:36" ht="12.9" customHeight="1">
      <c r="D394" s="41" t="s">
        <v>1970</v>
      </c>
      <c r="S394" s="1133" t="s">
        <v>482</v>
      </c>
      <c r="T394" s="1133"/>
      <c r="U394" s="1133"/>
      <c r="V394" t="s">
        <v>1971</v>
      </c>
      <c r="AG394" s="1478"/>
      <c r="AH394" s="1478"/>
      <c r="AI394" s="1478"/>
      <c r="AJ394" s="1478"/>
    </row>
    <row r="395" spans="4:36" ht="12.9" customHeight="1">
      <c r="D395" s="41" t="s">
        <v>1972</v>
      </c>
      <c r="S395" s="1133" t="s">
        <v>124</v>
      </c>
      <c r="T395" s="1133"/>
      <c r="U395" s="1133"/>
      <c r="V395" t="s">
        <v>1973</v>
      </c>
      <c r="AE395" s="1134"/>
      <c r="AF395" s="1134"/>
      <c r="AG395" s="1134"/>
      <c r="AH395" s="1134"/>
      <c r="AI395" s="1134"/>
      <c r="AJ395" s="1134"/>
    </row>
    <row r="396" spans="4:36" ht="12.9" customHeight="1">
      <c r="D396" s="41" t="s">
        <v>1974</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 customHeight="1">
      <c r="D397" s="41" t="s">
        <v>1975</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 customHeight="1">
      <c r="D398" s="41" t="s">
        <v>1976</v>
      </c>
      <c r="E398" s="813"/>
      <c r="F398" s="813"/>
      <c r="G398" s="813"/>
      <c r="H398" s="813"/>
      <c r="I398" s="813"/>
      <c r="J398" s="813"/>
      <c r="K398" s="813"/>
      <c r="L398" s="813"/>
      <c r="M398" s="813"/>
      <c r="N398" s="813"/>
      <c r="O398" s="813"/>
      <c r="P398" s="813"/>
      <c r="Q398" s="813"/>
      <c r="R398" s="813"/>
      <c r="S398" s="1480" t="s">
        <v>1977</v>
      </c>
      <c r="T398" s="1480"/>
      <c r="U398" s="1480"/>
      <c r="V398" s="1480"/>
      <c r="W398" s="1480"/>
      <c r="X398" s="1480"/>
      <c r="Y398" s="1480"/>
      <c r="Z398" s="1480"/>
      <c r="AA398" s="1480"/>
      <c r="AB398" s="1480"/>
      <c r="AC398" s="1480"/>
      <c r="AD398" s="1480"/>
      <c r="AE398" s="1480"/>
      <c r="AF398" s="1480"/>
      <c r="AG398" s="1480"/>
      <c r="AH398" s="1480"/>
      <c r="AI398" s="1480"/>
      <c r="AJ398" s="1480"/>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1735</v>
      </c>
      <c r="I403" s="1116" t="s">
        <v>2353</v>
      </c>
      <c r="J403" s="1116"/>
      <c r="K403" s="1116"/>
      <c r="L403" s="1116"/>
      <c r="M403" s="1116"/>
      <c r="N403" s="1116"/>
      <c r="O403" s="1116"/>
      <c r="P403" s="1116"/>
      <c r="Q403" s="1116"/>
      <c r="R403" s="1116"/>
      <c r="S403" s="1116"/>
      <c r="T403" s="1116"/>
      <c r="U403" s="1116"/>
      <c r="V403" s="1116"/>
      <c r="W403" s="1116"/>
      <c r="X403" s="1116"/>
      <c r="Y403" s="1116"/>
      <c r="Z403" s="1116"/>
      <c r="AA403" s="1116"/>
      <c r="AB403" s="1116"/>
      <c r="AC403" s="1116"/>
      <c r="AD403" s="1116"/>
    </row>
    <row r="404" spans="1:36" ht="12.9" customHeight="1">
      <c r="E404" t="s">
        <v>855</v>
      </c>
      <c r="R404" s="1120" t="s">
        <v>124</v>
      </c>
      <c r="S404" s="1120"/>
      <c r="T404" t="s">
        <v>291</v>
      </c>
      <c r="AD404" s="1118">
        <v>0</v>
      </c>
      <c r="AE404" s="1118"/>
    </row>
    <row r="405" spans="1:36" ht="12.9" customHeight="1">
      <c r="E405" t="s">
        <v>856</v>
      </c>
      <c r="R405" s="1120" t="s">
        <v>108</v>
      </c>
      <c r="S405" s="1120"/>
      <c r="T405" t="s">
        <v>291</v>
      </c>
      <c r="AD405" s="1118">
        <v>2</v>
      </c>
      <c r="AE405" s="1118"/>
    </row>
    <row r="406" spans="1:36" ht="12.9" customHeight="1">
      <c r="E406" t="s">
        <v>857</v>
      </c>
      <c r="S406" s="1120" t="s">
        <v>124</v>
      </c>
      <c r="T406" s="1120"/>
    </row>
    <row r="407" spans="1:36" ht="12.9" customHeight="1">
      <c r="E407" t="s">
        <v>283</v>
      </c>
      <c r="H407" s="1572" t="s">
        <v>2436</v>
      </c>
      <c r="I407" s="1572"/>
      <c r="J407" s="1572"/>
      <c r="K407" s="1572"/>
      <c r="L407" s="1572"/>
      <c r="M407" s="1572"/>
      <c r="N407" s="1572"/>
      <c r="O407" s="1572"/>
      <c r="P407" s="1572"/>
      <c r="Q407" s="1572"/>
      <c r="R407" s="1572"/>
      <c r="S407" s="1572"/>
      <c r="T407" s="1572"/>
      <c r="U407" s="1572"/>
      <c r="V407" s="1572"/>
      <c r="W407" s="1572"/>
      <c r="X407" s="1572"/>
      <c r="Y407" s="1572"/>
      <c r="Z407" s="1572"/>
      <c r="AA407" s="1572"/>
      <c r="AB407" s="1572"/>
      <c r="AC407" s="1572"/>
      <c r="AD407" s="1572"/>
      <c r="AE407" s="1572"/>
      <c r="AF407" s="1572"/>
      <c r="AG407" s="1572"/>
      <c r="AH407" s="1572"/>
      <c r="AI407" s="1572"/>
      <c r="AJ407" s="1572"/>
    </row>
    <row r="408" spans="1:36" ht="12.9" customHeight="1">
      <c r="H408" s="1573"/>
      <c r="I408" s="1573"/>
      <c r="J408" s="1573"/>
      <c r="K408" s="1573"/>
      <c r="L408" s="1573"/>
      <c r="M408" s="1573"/>
      <c r="N408" s="1573"/>
      <c r="O408" s="1573"/>
      <c r="P408" s="1573"/>
      <c r="Q408" s="1573"/>
      <c r="R408" s="1573"/>
      <c r="S408" s="1573"/>
      <c r="T408" s="1573"/>
      <c r="U408" s="1573"/>
      <c r="V408" s="1573"/>
      <c r="W408" s="1573"/>
      <c r="X408" s="1573"/>
      <c r="Y408" s="1573"/>
      <c r="Z408" s="1573"/>
      <c r="AA408" s="1573"/>
      <c r="AB408" s="1573"/>
      <c r="AC408" s="1573"/>
      <c r="AD408" s="1573"/>
      <c r="AE408" s="1573"/>
      <c r="AF408" s="1573"/>
      <c r="AG408" s="1573"/>
      <c r="AH408" s="1573"/>
      <c r="AI408" s="1573"/>
      <c r="AJ408" s="1573"/>
    </row>
    <row r="409" spans="1:36" ht="12.9" customHeight="1"/>
    <row r="410" spans="1:36" ht="12.9" customHeight="1">
      <c r="A410" s="3" t="s">
        <v>123</v>
      </c>
      <c r="B410" s="3"/>
      <c r="C410" s="3"/>
      <c r="D410" s="3" t="s">
        <v>902</v>
      </c>
      <c r="AE410" s="5"/>
      <c r="AF410" s="3" t="s">
        <v>1214</v>
      </c>
    </row>
    <row r="411" spans="1:36" ht="12.9" customHeight="1">
      <c r="E411" s="1435"/>
      <c r="F411" s="1435"/>
      <c r="G411" s="1435"/>
      <c r="H411" s="18" t="s">
        <v>903</v>
      </c>
      <c r="I411" s="1435"/>
      <c r="J411" s="1435"/>
      <c r="K411" s="1435"/>
      <c r="L411" t="s">
        <v>904</v>
      </c>
      <c r="N411" s="34" t="s">
        <v>851</v>
      </c>
      <c r="P411" s="1437">
        <v>1.84</v>
      </c>
      <c r="Q411" s="1437"/>
      <c r="R411" s="1437"/>
      <c r="S411" t="s">
        <v>905</v>
      </c>
      <c r="W411" s="1438">
        <f>IF(E411&gt;0,(E411*I411),(P411*43560))</f>
        <v>80150.400000000009</v>
      </c>
      <c r="X411" s="1438"/>
      <c r="Y411" s="1438"/>
      <c r="Z411" t="s">
        <v>906</v>
      </c>
      <c r="AF411" s="1495" cm="1">
        <f t="array" ref="AF411">_xlfn.IFS(P411&gt;0,(AG430/P411),W411&gt;0,(AG430/(W411/43560)),TRUE,0)</f>
        <v>41.304347826086953</v>
      </c>
      <c r="AG411" s="1495"/>
      <c r="AH411" s="1495"/>
    </row>
    <row r="412" spans="1:36" ht="12.9" customHeight="1">
      <c r="E412" t="s">
        <v>203</v>
      </c>
    </row>
    <row r="413" spans="1:36" ht="12.9"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 customHeight="1">
      <c r="E414" s="270" t="s">
        <v>1979</v>
      </c>
      <c r="F414" s="29"/>
      <c r="G414" s="29"/>
      <c r="H414" s="29"/>
      <c r="I414" s="1473">
        <v>1.84</v>
      </c>
      <c r="J414" s="1473"/>
      <c r="K414" s="1473"/>
      <c r="L414" s="29"/>
      <c r="M414" s="270"/>
      <c r="N414" s="29"/>
      <c r="O414" s="29"/>
      <c r="P414" s="1494">
        <f>(CQ628+CS633+CQ647)/I414</f>
        <v>41.304347826086953</v>
      </c>
      <c r="Q414" s="1494"/>
      <c r="R414" s="1494"/>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20">
        <v>3</v>
      </c>
      <c r="Q417" s="1120"/>
      <c r="S417" t="s">
        <v>134</v>
      </c>
      <c r="AE417" s="1120">
        <v>3</v>
      </c>
      <c r="AF417" s="1120"/>
    </row>
    <row r="418" spans="1:36" ht="12.9" customHeight="1">
      <c r="E418" t="s">
        <v>135</v>
      </c>
      <c r="P418" s="1120">
        <v>0</v>
      </c>
      <c r="Q418" s="1120"/>
      <c r="S418" t="s">
        <v>726</v>
      </c>
      <c r="AE418" s="1120" t="s">
        <v>124</v>
      </c>
      <c r="AF418" s="1120"/>
    </row>
    <row r="419" spans="1:36" ht="12.9" customHeight="1">
      <c r="F419" s="36" t="s">
        <v>221</v>
      </c>
    </row>
    <row r="420" spans="1:36" ht="12.9" customHeight="1">
      <c r="F420" s="1340"/>
      <c r="G420" s="1340"/>
      <c r="H420" s="1340"/>
      <c r="I420" s="1340"/>
      <c r="J420" s="1340"/>
      <c r="K420" s="1340"/>
      <c r="L420" s="1340"/>
      <c r="M420" s="1340"/>
      <c r="N420" s="1340"/>
      <c r="O420" s="1340"/>
      <c r="P420" s="1340"/>
      <c r="Q420" s="1340"/>
      <c r="R420" s="1340"/>
      <c r="S420" s="1340"/>
      <c r="T420" s="1340"/>
      <c r="U420" s="1340"/>
      <c r="V420" s="1340"/>
      <c r="W420" s="1340"/>
      <c r="X420" s="1340"/>
      <c r="Y420" s="1340"/>
      <c r="Z420" s="1340"/>
      <c r="AA420" s="1340"/>
      <c r="AB420" s="1340"/>
      <c r="AC420" s="1340"/>
      <c r="AD420" s="1340"/>
      <c r="AE420" s="1340"/>
      <c r="AF420" s="1340"/>
      <c r="AG420" s="1340"/>
      <c r="AH420" s="1340"/>
    </row>
    <row r="421" spans="1:36" ht="12.9" customHeight="1">
      <c r="F421" s="1341"/>
      <c r="G421" s="1341"/>
      <c r="H421" s="1341"/>
      <c r="I421" s="1341"/>
      <c r="J421" s="1341"/>
      <c r="K421" s="1341"/>
      <c r="L421" s="1341"/>
      <c r="M421" s="1341"/>
      <c r="N421" s="1341"/>
      <c r="O421" s="1341"/>
      <c r="P421" s="1341"/>
      <c r="Q421" s="1341"/>
      <c r="R421" s="1341"/>
      <c r="S421" s="1341"/>
      <c r="T421" s="1341"/>
      <c r="U421" s="1341"/>
      <c r="V421" s="1341"/>
      <c r="W421" s="1341"/>
      <c r="X421" s="1341"/>
      <c r="Y421" s="1341"/>
      <c r="Z421" s="1341"/>
      <c r="AA421" s="1341"/>
      <c r="AB421" s="1341"/>
      <c r="AC421" s="1341"/>
      <c r="AD421" s="1341"/>
      <c r="AE421" s="1341"/>
      <c r="AF421" s="1341"/>
      <c r="AG421" s="1341"/>
      <c r="AH421" s="1341"/>
    </row>
    <row r="422" spans="1:36" ht="12.9" customHeight="1">
      <c r="E422" t="s">
        <v>858</v>
      </c>
      <c r="P422" s="1"/>
      <c r="Q422" s="1120" t="s">
        <v>108</v>
      </c>
      <c r="R422" s="1120"/>
      <c r="AE422" s="1"/>
      <c r="AF422" s="1"/>
    </row>
    <row r="423" spans="1:36" ht="12.9" customHeight="1">
      <c r="F423" t="s">
        <v>859</v>
      </c>
      <c r="P423" s="1"/>
      <c r="Q423" s="1"/>
      <c r="AE423" s="1120" t="s">
        <v>124</v>
      </c>
      <c r="AF423" s="1346"/>
    </row>
    <row r="424" spans="1:36" ht="12.9" customHeight="1"/>
    <row r="425" spans="1:36" ht="12.9" customHeight="1">
      <c r="A425" s="3"/>
      <c r="B425" s="3"/>
      <c r="C425" s="3"/>
      <c r="E425" s="5" t="s">
        <v>80</v>
      </c>
      <c r="Z425" s="1120" t="s">
        <v>482</v>
      </c>
      <c r="AA425" s="112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0" t="s">
        <v>124</v>
      </c>
      <c r="AA427" s="1120"/>
    </row>
    <row r="428" spans="1:36" ht="12.9" customHeight="1"/>
    <row r="429" spans="1:36" ht="12.9" customHeight="1">
      <c r="A429" s="3" t="s">
        <v>367</v>
      </c>
      <c r="B429" s="3"/>
      <c r="C429" s="3"/>
      <c r="D429" s="3" t="s">
        <v>172</v>
      </c>
      <c r="AF429" s="54"/>
    </row>
    <row r="430" spans="1:36" ht="12.9"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6"/>
      <c r="AG430" s="1471">
        <v>76</v>
      </c>
      <c r="AH430" s="1471"/>
      <c r="AI430" s="1471"/>
      <c r="AJ430" s="1471"/>
    </row>
    <row r="431" spans="1:36" ht="12.9" customHeight="1">
      <c r="D431" s="1436" t="s">
        <v>2272</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9">
        <v>0</v>
      </c>
      <c r="AH431" s="1160"/>
      <c r="AI431" s="1160"/>
      <c r="AJ431" s="1160"/>
    </row>
    <row r="432" spans="1:36" ht="12.9" customHeight="1">
      <c r="D432" s="1125" t="s">
        <v>1369</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71">
        <v>75</v>
      </c>
      <c r="AH432" s="1471"/>
      <c r="AI432" s="1471"/>
      <c r="AJ432" s="1471"/>
    </row>
    <row r="433" spans="4:36" ht="12.9" customHeight="1">
      <c r="D433" s="1125" t="s">
        <v>1366</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71">
        <v>75</v>
      </c>
      <c r="AH433" s="1471"/>
      <c r="AI433" s="1471"/>
      <c r="AJ433" s="1471"/>
    </row>
    <row r="434" spans="4:36" ht="12.9" customHeight="1">
      <c r="D434" s="1125" t="s">
        <v>1370</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3">
        <f>IF(ISERROR(AG433/AG432),"",AG433/AG432)</f>
        <v>1</v>
      </c>
      <c r="AH434" s="1153"/>
      <c r="AI434" s="1153"/>
      <c r="AJ434" s="1153"/>
    </row>
    <row r="435" spans="4:36" ht="12.9" customHeight="1">
      <c r="D435" s="1125" t="s">
        <v>1368</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30">
        <v>23401</v>
      </c>
      <c r="AH435" s="1430"/>
      <c r="AI435" s="1430"/>
      <c r="AJ435" s="1430"/>
    </row>
    <row r="436" spans="4:36" ht="12.9" customHeight="1">
      <c r="D436" s="1125" t="s">
        <v>1367</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30">
        <v>23401</v>
      </c>
      <c r="AH436" s="1430"/>
      <c r="AI436" s="1430"/>
      <c r="AJ436" s="1430"/>
    </row>
    <row r="437" spans="4:36" ht="12.9" customHeight="1">
      <c r="D437" s="1125" t="s">
        <v>1373</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3">
        <f>IF(ISERROR(AG436/AG435),"",AG436/AG435)</f>
        <v>1</v>
      </c>
      <c r="AH437" s="1153"/>
      <c r="AI437" s="1153"/>
      <c r="AJ437" s="1153"/>
    </row>
    <row r="438" spans="4:36" ht="12.9" customHeight="1">
      <c r="D438" s="1125" t="s">
        <v>1371</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3">
        <f>MIN(IF(AG434&gt;AG437,AG437,AG434),1)</f>
        <v>1</v>
      </c>
      <c r="AH438" s="1153"/>
      <c r="AI438" s="1153"/>
      <c r="AJ438" s="1153"/>
    </row>
    <row r="439" spans="4:36" ht="12.9" customHeight="1">
      <c r="D439" s="1436" t="s">
        <v>2111</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6"/>
      <c r="AG439" s="1430"/>
      <c r="AH439" s="1430"/>
      <c r="AI439" s="1430"/>
      <c r="AJ439" s="1430"/>
    </row>
    <row r="440" spans="4:36" ht="12.9"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30">
        <v>0</v>
      </c>
      <c r="AH440" s="1430"/>
      <c r="AI440" s="1430"/>
      <c r="AJ440" s="1430"/>
    </row>
    <row r="441" spans="4:36" ht="12.9" customHeight="1">
      <c r="D441" s="1436" t="s">
        <v>1736</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30">
        <v>3155</v>
      </c>
      <c r="AH441" s="1430"/>
      <c r="AI441" s="1430"/>
      <c r="AJ441" s="1430"/>
    </row>
    <row r="442" spans="4:36" ht="12.9" customHeight="1">
      <c r="D442" s="1125" t="s">
        <v>1372</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30">
        <v>0</v>
      </c>
      <c r="AH442" s="1430"/>
      <c r="AI442" s="1430"/>
      <c r="AJ442" s="1430"/>
    </row>
    <row r="443" spans="4:36" ht="12.9" customHeight="1">
      <c r="D443" s="1125" t="s">
        <v>1374</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72">
        <f>AG435+AG439+AG441+AG442</f>
        <v>26556</v>
      </c>
      <c r="AH443" s="1472"/>
      <c r="AI443" s="1472"/>
      <c r="AJ443" s="1472"/>
    </row>
    <row r="444" spans="4:36" ht="12.9" customHeight="1">
      <c r="D444" s="1474" t="s">
        <v>1737</v>
      </c>
      <c r="E444" s="1474"/>
      <c r="F444" s="1474"/>
      <c r="G444" s="1474"/>
      <c r="H444" s="1474"/>
      <c r="I444" s="1474"/>
      <c r="J444" s="1474"/>
      <c r="K444" s="1474"/>
      <c r="L444" s="1474"/>
      <c r="M444" s="1474"/>
      <c r="N444" s="1474"/>
      <c r="O444" s="1474"/>
      <c r="P444" s="1474"/>
      <c r="Q444" s="1474"/>
      <c r="R444" s="1474"/>
      <c r="S444" s="1474"/>
      <c r="T444" s="1474"/>
      <c r="U444" s="1474"/>
      <c r="V444" s="1474"/>
      <c r="W444" s="1474"/>
      <c r="X444" s="1474"/>
      <c r="Y444" s="1474"/>
      <c r="Z444" s="1474"/>
      <c r="AA444" s="1474"/>
      <c r="AB444" s="1474"/>
      <c r="AC444" s="1474"/>
      <c r="AD444" s="1474"/>
      <c r="AE444" s="1474"/>
      <c r="AF444" s="1474"/>
      <c r="AG444" s="1474"/>
      <c r="AH444" s="1474"/>
      <c r="AI444" s="1474"/>
      <c r="AJ444" s="1474"/>
    </row>
    <row r="445" spans="4:36" ht="12.9" customHeight="1">
      <c r="D445" s="1475"/>
      <c r="E445" s="1475"/>
      <c r="F445" s="1475"/>
      <c r="G445" s="1475"/>
      <c r="H445" s="1475"/>
      <c r="I445" s="1475"/>
      <c r="J445" s="1475"/>
      <c r="K445" s="1475"/>
      <c r="L445" s="1475"/>
      <c r="M445" s="1475"/>
      <c r="N445" s="1475"/>
      <c r="O445" s="1475"/>
      <c r="P445" s="1475"/>
      <c r="Q445" s="1475"/>
      <c r="R445" s="1475"/>
      <c r="S445" s="1475"/>
      <c r="T445" s="1475"/>
      <c r="U445" s="1475"/>
      <c r="V445" s="1475"/>
      <c r="W445" s="1475"/>
      <c r="X445" s="1475"/>
      <c r="Y445" s="1475"/>
      <c r="Z445" s="1475"/>
      <c r="AA445" s="1475"/>
      <c r="AB445" s="1475"/>
      <c r="AC445" s="1475"/>
      <c r="AD445" s="1475"/>
      <c r="AE445" s="1475"/>
      <c r="AF445" s="1475"/>
      <c r="AG445" s="1475"/>
      <c r="AH445" s="1475"/>
      <c r="AI445" s="1475"/>
      <c r="AJ445" s="1475"/>
    </row>
    <row r="446" spans="4:36" ht="12.9" customHeight="1">
      <c r="D446" s="1467"/>
      <c r="E446" s="1467"/>
      <c r="F446" s="1467"/>
      <c r="G446" s="1467"/>
      <c r="H446" s="1467"/>
      <c r="I446" s="1467"/>
      <c r="J446" s="1467"/>
      <c r="K446" s="1467"/>
      <c r="L446" s="1467"/>
      <c r="M446" s="1467"/>
      <c r="N446" s="1467"/>
      <c r="O446" s="1467"/>
      <c r="P446" s="1467"/>
      <c r="Q446" s="1467"/>
      <c r="R446" s="1467"/>
      <c r="S446" s="1467"/>
      <c r="T446" s="1467"/>
      <c r="U446" s="1467"/>
      <c r="V446" s="1467"/>
      <c r="W446" s="1467"/>
      <c r="X446" s="1467"/>
      <c r="Y446" s="1467"/>
      <c r="Z446" s="1467"/>
      <c r="AA446" s="1467"/>
      <c r="AB446" s="1467"/>
      <c r="AC446" s="1467"/>
      <c r="AD446" s="1467"/>
      <c r="AE446" s="1467"/>
      <c r="AF446" s="1467"/>
      <c r="AG446" s="1467"/>
      <c r="AH446" s="1467"/>
      <c r="AI446" s="1467"/>
      <c r="AJ446" s="1467"/>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541769.9938652853</v>
      </c>
      <c r="AD447" s="1161"/>
      <c r="AE447" s="1161"/>
      <c r="AF447" s="1161"/>
      <c r="AG447" s="1481"/>
      <c r="AH447" s="1481"/>
      <c r="AI447" s="1481"/>
      <c r="AJ447" s="1481"/>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541769.9938652853</v>
      </c>
      <c r="AD448" s="1161"/>
      <c r="AE448" s="1161"/>
      <c r="AF448" s="1161"/>
      <c r="AG448" s="1481"/>
      <c r="AH448" s="1481"/>
      <c r="AI448" s="1481"/>
      <c r="AJ448" s="1481"/>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523523.57907830534</v>
      </c>
      <c r="AD449" s="1161"/>
      <c r="AE449" s="1161"/>
      <c r="AF449" s="1161"/>
      <c r="AG449" s="362"/>
      <c r="AH449" s="362"/>
      <c r="AI449" s="362"/>
      <c r="AJ449" s="362"/>
    </row>
    <row r="450" spans="1:38" ht="12.9" customHeight="1">
      <c r="D450" s="373"/>
      <c r="E450" s="307"/>
      <c r="F450" s="1574" t="str">
        <f>IF(AG430=0,"",IF(AC447&gt;650000,"Please provide a justification of cost per unit in Tab 12 for all projects with per unit costs of greater than $650,000.",""))</f>
        <v/>
      </c>
      <c r="G450" s="1574"/>
      <c r="H450" s="1574"/>
      <c r="I450" s="1574"/>
      <c r="J450" s="1574"/>
      <c r="K450" s="1574"/>
      <c r="L450" s="1574"/>
      <c r="M450" s="1574"/>
      <c r="N450" s="1574"/>
      <c r="O450" s="1574"/>
      <c r="P450" s="1574"/>
      <c r="Q450" s="1574"/>
      <c r="R450" s="1574"/>
      <c r="S450" s="1574"/>
      <c r="T450" s="1574"/>
      <c r="U450" s="1574"/>
      <c r="V450" s="1574"/>
      <c r="W450" s="1574"/>
      <c r="X450" s="1574"/>
      <c r="Y450" s="1574"/>
      <c r="Z450" s="1574"/>
      <c r="AA450" s="1574"/>
      <c r="AB450" s="1574"/>
      <c r="AC450" s="293"/>
      <c r="AD450" s="293"/>
      <c r="AE450" s="293"/>
      <c r="AF450" s="293"/>
      <c r="AG450" s="362"/>
      <c r="AH450" s="362"/>
      <c r="AI450" s="362"/>
      <c r="AJ450" s="362"/>
    </row>
    <row r="451" spans="1:38" ht="12.9" customHeight="1">
      <c r="D451" s="373"/>
      <c r="E451" s="307"/>
      <c r="F451" s="1574"/>
      <c r="G451" s="1574"/>
      <c r="H451" s="1574"/>
      <c r="I451" s="1574"/>
      <c r="J451" s="1574"/>
      <c r="K451" s="1574"/>
      <c r="L451" s="1574"/>
      <c r="M451" s="1574"/>
      <c r="N451" s="1574"/>
      <c r="O451" s="1574"/>
      <c r="P451" s="1574"/>
      <c r="Q451" s="1574"/>
      <c r="R451" s="1574"/>
      <c r="S451" s="1574"/>
      <c r="T451" s="1574"/>
      <c r="U451" s="1574"/>
      <c r="V451" s="1574"/>
      <c r="W451" s="1574"/>
      <c r="X451" s="1574"/>
      <c r="Y451" s="1574"/>
      <c r="Z451" s="1574"/>
      <c r="AA451" s="1574"/>
      <c r="AB451" s="1574"/>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2" t="s">
        <v>2103</v>
      </c>
      <c r="E460" s="1123"/>
      <c r="F460" s="1123"/>
      <c r="G460" s="1123"/>
      <c r="H460" s="1123"/>
      <c r="I460" s="1123"/>
      <c r="J460" s="1123"/>
      <c r="K460" s="1123"/>
      <c r="L460" s="1123"/>
      <c r="M460" s="1123"/>
      <c r="N460" s="1123"/>
      <c r="O460" s="1123"/>
      <c r="P460" s="1123"/>
      <c r="Q460" s="1123"/>
      <c r="R460" s="1123"/>
      <c r="S460" s="1123"/>
      <c r="T460" s="1123"/>
      <c r="U460" s="1123"/>
      <c r="V460" s="1124"/>
      <c r="W460" s="1128">
        <v>75</v>
      </c>
      <c r="X460" s="1129"/>
      <c r="Y460" s="1130"/>
      <c r="Z460" s="310"/>
      <c r="AA460" s="310"/>
      <c r="AB460" s="310"/>
      <c r="AC460" s="310"/>
      <c r="AD460" s="310"/>
      <c r="AE460" s="310"/>
      <c r="AF460" s="310"/>
      <c r="AG460" s="310"/>
      <c r="AH460" s="310"/>
      <c r="AI460" s="310"/>
      <c r="AJ460" s="41"/>
      <c r="AK460" s="41"/>
      <c r="AL460" s="41"/>
    </row>
    <row r="461" spans="1:38" ht="12.9"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2.9"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v>0</v>
      </c>
      <c r="X462" s="1129"/>
      <c r="Y462" s="1130"/>
      <c r="Z462" s="310"/>
      <c r="AA462" s="310"/>
      <c r="AB462" s="310"/>
      <c r="AC462" s="310"/>
      <c r="AD462" s="310"/>
      <c r="AE462" s="310"/>
      <c r="AF462" s="310"/>
      <c r="AG462" s="310"/>
      <c r="AH462" s="310"/>
      <c r="AI462" s="310"/>
      <c r="AJ462" s="41"/>
      <c r="AK462" s="41"/>
      <c r="AL462" s="41"/>
    </row>
    <row r="463" spans="1:38" ht="12.9"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2.9" customHeight="1">
      <c r="A464" s="41"/>
      <c r="B464" s="41"/>
      <c r="C464" s="41"/>
      <c r="D464" s="1488" t="s">
        <v>1109</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2.9"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v>0</v>
      </c>
      <c r="X465" s="1129"/>
      <c r="Y465" s="1130"/>
      <c r="Z465" s="310"/>
      <c r="AA465" s="310"/>
      <c r="AB465" s="310"/>
      <c r="AC465" s="310"/>
      <c r="AD465" s="310"/>
      <c r="AE465" s="310"/>
      <c r="AF465" s="310"/>
      <c r="AG465" s="310"/>
      <c r="AH465" s="310"/>
      <c r="AI465" s="310"/>
      <c r="AJ465" s="41"/>
      <c r="AK465" s="41"/>
      <c r="AL465" s="41"/>
    </row>
    <row r="466" spans="1:97" ht="12.9" customHeight="1">
      <c r="A466" s="557"/>
      <c r="B466" s="557"/>
      <c r="C466" s="557"/>
      <c r="D466" s="1488" t="s">
        <v>1308</v>
      </c>
      <c r="E466" s="1492"/>
      <c r="F466" s="1492"/>
      <c r="G466" s="1492"/>
      <c r="H466" s="1492"/>
      <c r="I466" s="1492"/>
      <c r="J466" s="1492"/>
      <c r="K466" s="1492"/>
      <c r="L466" s="1492"/>
      <c r="M466" s="1492"/>
      <c r="N466" s="1492"/>
      <c r="O466" s="1492"/>
      <c r="P466" s="1492"/>
      <c r="Q466" s="1492"/>
      <c r="R466" s="1492"/>
      <c r="S466" s="1492"/>
      <c r="T466" s="1492"/>
      <c r="U466" s="1492"/>
      <c r="V466" s="1493"/>
      <c r="W466" s="1468">
        <v>0</v>
      </c>
      <c r="X466" s="1469"/>
      <c r="Y466" s="1470"/>
      <c r="Z466" s="558"/>
      <c r="AA466" s="558"/>
      <c r="AB466" s="558"/>
      <c r="AC466" s="558"/>
      <c r="AD466" s="559"/>
      <c r="AE466" s="559"/>
      <c r="AF466" s="559"/>
      <c r="AG466" s="559"/>
      <c r="AH466" s="559"/>
      <c r="AI466" s="559"/>
      <c r="AJ466" s="362"/>
    </row>
    <row r="467" spans="1:97" ht="12.9" customHeight="1">
      <c r="A467" s="557"/>
      <c r="B467" s="557"/>
      <c r="C467" s="557"/>
      <c r="D467" s="1122" t="s">
        <v>2281</v>
      </c>
      <c r="E467" s="1123"/>
      <c r="F467" s="1123"/>
      <c r="G467" s="1123"/>
      <c r="H467" s="1123"/>
      <c r="I467" s="1123"/>
      <c r="J467" s="1123"/>
      <c r="K467" s="1123"/>
      <c r="L467" s="1123"/>
      <c r="M467" s="1123"/>
      <c r="N467" s="1123"/>
      <c r="O467" s="1123"/>
      <c r="P467" s="1123"/>
      <c r="Q467" s="1123"/>
      <c r="R467" s="1123"/>
      <c r="S467" s="1123"/>
      <c r="T467" s="1123"/>
      <c r="U467" s="1123"/>
      <c r="V467" s="1124"/>
      <c r="W467" s="1468">
        <v>0</v>
      </c>
      <c r="X467" s="1469"/>
      <c r="Y467" s="1470"/>
      <c r="Z467" s="558"/>
      <c r="AA467" s="558"/>
      <c r="AB467" s="558"/>
      <c r="AC467" s="558"/>
      <c r="AD467" s="559"/>
      <c r="AE467" s="559"/>
      <c r="AF467" s="559"/>
      <c r="AG467" s="559"/>
      <c r="AH467" s="559"/>
      <c r="AI467" s="559"/>
      <c r="AJ467" s="362"/>
    </row>
    <row r="468" spans="1:97" ht="12.9" customHeight="1">
      <c r="A468" s="41"/>
      <c r="B468" s="41"/>
      <c r="C468" s="41"/>
      <c r="D468" s="1122" t="s">
        <v>2216</v>
      </c>
      <c r="E468" s="1492"/>
      <c r="F468" s="1492"/>
      <c r="G468" s="1492"/>
      <c r="H468" s="1492"/>
      <c r="I468" s="1492"/>
      <c r="J468" s="1492"/>
      <c r="K468" s="1492"/>
      <c r="L468" s="1492"/>
      <c r="M468" s="1492"/>
      <c r="N468" s="1492"/>
      <c r="O468" s="1492"/>
      <c r="P468" s="1492"/>
      <c r="Q468" s="1492"/>
      <c r="R468" s="1492"/>
      <c r="S468" s="1492"/>
      <c r="T468" s="1492"/>
      <c r="U468" s="1492"/>
      <c r="V468" s="1493"/>
      <c r="W468" s="1468">
        <v>0</v>
      </c>
      <c r="X468" s="1469"/>
      <c r="Y468" s="147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6"/>
      <c r="H469" s="1157"/>
      <c r="I469" s="1157"/>
      <c r="J469" s="1157"/>
      <c r="K469" s="1157"/>
      <c r="L469" s="1157"/>
      <c r="M469" s="1157"/>
      <c r="N469" s="1157"/>
      <c r="O469" s="1157"/>
      <c r="P469" s="1157"/>
      <c r="Q469" s="1157"/>
      <c r="R469" s="1157"/>
      <c r="S469" s="1157"/>
      <c r="T469" s="1157"/>
      <c r="U469" s="1157"/>
      <c r="V469" s="1158"/>
      <c r="W469" s="1128">
        <v>0</v>
      </c>
      <c r="X469" s="1129"/>
      <c r="Y469" s="1130"/>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c r="E471" s="1562"/>
      <c r="F471" s="1562"/>
      <c r="G471" s="1562"/>
      <c r="H471" s="1562"/>
      <c r="I471" s="1562"/>
      <c r="J471" s="1562"/>
      <c r="K471" s="1562"/>
      <c r="L471" s="1562"/>
      <c r="M471" s="1562"/>
      <c r="N471" s="1562"/>
      <c r="O471" s="1562"/>
      <c r="P471" s="1562"/>
      <c r="Q471" s="1562"/>
      <c r="R471" s="1562"/>
      <c r="S471" s="1562"/>
      <c r="T471" s="1562"/>
      <c r="U471" s="1562"/>
      <c r="V471" s="1562"/>
      <c r="W471" s="1562"/>
      <c r="X471" s="1562"/>
      <c r="Y471" s="1562"/>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3"/>
      <c r="E472" s="1563"/>
      <c r="F472" s="1563"/>
      <c r="G472" s="1563"/>
      <c r="H472" s="1563"/>
      <c r="I472" s="1563"/>
      <c r="J472" s="1563"/>
      <c r="K472" s="1563"/>
      <c r="L472" s="1563"/>
      <c r="M472" s="1563"/>
      <c r="N472" s="1563"/>
      <c r="O472" s="1563"/>
      <c r="P472" s="1563"/>
      <c r="Q472" s="1563"/>
      <c r="R472" s="1563"/>
      <c r="S472" s="1563"/>
      <c r="T472" s="1563"/>
      <c r="U472" s="1563"/>
      <c r="V472" s="1563"/>
      <c r="W472" s="1563"/>
      <c r="X472" s="1563"/>
      <c r="Y472" s="1563"/>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3"/>
      <c r="E473" s="1563"/>
      <c r="F473" s="1563"/>
      <c r="G473" s="1563"/>
      <c r="H473" s="1563"/>
      <c r="I473" s="1563"/>
      <c r="J473" s="1563"/>
      <c r="K473" s="1563"/>
      <c r="L473" s="1563"/>
      <c r="M473" s="1563"/>
      <c r="N473" s="1563"/>
      <c r="O473" s="1563"/>
      <c r="P473" s="1563"/>
      <c r="Q473" s="1563"/>
      <c r="R473" s="1563"/>
      <c r="S473" s="1563"/>
      <c r="T473" s="1563"/>
      <c r="U473" s="1563"/>
      <c r="V473" s="1563"/>
      <c r="W473" s="1563"/>
      <c r="X473" s="1563"/>
      <c r="Y473" s="1563"/>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7" t="s">
        <v>238</v>
      </c>
      <c r="R481" s="1428"/>
      <c r="S481" s="1428"/>
      <c r="T481" s="1428"/>
      <c r="U481" s="1428"/>
      <c r="V481" s="1428"/>
      <c r="W481" s="1428"/>
      <c r="X481" s="1428"/>
      <c r="Y481" s="1428"/>
      <c r="Z481" s="1428"/>
      <c r="AA481" s="1428"/>
      <c r="AB481" s="1428"/>
      <c r="AC481" s="1428"/>
      <c r="AD481" s="1428"/>
      <c r="AE481" s="1428"/>
      <c r="AF481" s="1428"/>
      <c r="AG481" s="1428"/>
      <c r="AH481" s="1428"/>
      <c r="AI481" s="1428"/>
      <c r="AJ481" s="1428"/>
      <c r="AK481" s="142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1" t="s">
        <v>2358</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1" t="s">
        <v>2437</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1" t="s">
        <v>2437</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2" t="s">
        <v>242</v>
      </c>
      <c r="C485" s="1483"/>
      <c r="D485" s="1483"/>
      <c r="E485" s="1483"/>
      <c r="F485" s="1483"/>
      <c r="G485" s="1483"/>
      <c r="H485" s="1483"/>
      <c r="I485" s="1483"/>
      <c r="J485" s="1483"/>
      <c r="K485" s="1483"/>
      <c r="L485" s="1483"/>
      <c r="M485" s="1483"/>
      <c r="N485" s="1483"/>
      <c r="O485" s="1483"/>
      <c r="P485" s="1484"/>
      <c r="Q485" s="1496" t="s">
        <v>482</v>
      </c>
      <c r="R485" s="1497"/>
      <c r="S485" s="1500" t="s">
        <v>53</v>
      </c>
      <c r="T485" s="1501"/>
      <c r="U485" s="1501"/>
      <c r="V485" s="1501"/>
      <c r="W485" s="1501"/>
      <c r="X485" s="1501"/>
      <c r="Y485" s="1501"/>
      <c r="Z485" s="1501"/>
      <c r="AA485" s="1501"/>
      <c r="AB485" s="1501"/>
      <c r="AC485" s="1501"/>
      <c r="AD485" s="1501"/>
      <c r="AE485" s="1501"/>
      <c r="AF485" s="1501"/>
      <c r="AG485" s="1501"/>
      <c r="AH485" s="1501"/>
      <c r="AI485" s="1501"/>
      <c r="AJ485" s="1501"/>
      <c r="AK485" s="15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5"/>
      <c r="C486" s="1486"/>
      <c r="D486" s="1486"/>
      <c r="E486" s="1486"/>
      <c r="F486" s="1486"/>
      <c r="G486" s="1486"/>
      <c r="H486" s="1486"/>
      <c r="I486" s="1486"/>
      <c r="J486" s="1486"/>
      <c r="K486" s="1486"/>
      <c r="L486" s="1486"/>
      <c r="M486" s="1486"/>
      <c r="N486" s="1486"/>
      <c r="O486" s="1486"/>
      <c r="P486" s="1487"/>
      <c r="Q486" s="1498"/>
      <c r="R486" s="1499"/>
      <c r="S486" s="1503"/>
      <c r="T486" s="1504"/>
      <c r="U486" s="1504"/>
      <c r="V486" s="1504"/>
      <c r="W486" s="1504"/>
      <c r="X486" s="1504"/>
      <c r="Y486" s="1504"/>
      <c r="Z486" s="1504"/>
      <c r="AA486" s="1504"/>
      <c r="AB486" s="1504"/>
      <c r="AC486" s="1504"/>
      <c r="AD486" s="1504"/>
      <c r="AE486" s="1504"/>
      <c r="AF486" s="1504"/>
      <c r="AG486" s="1504"/>
      <c r="AH486" s="1504"/>
      <c r="AI486" s="1504"/>
      <c r="AJ486" s="1504"/>
      <c r="AK486" s="15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506" t="s">
        <v>482</v>
      </c>
      <c r="R487" s="1507"/>
      <c r="S487" s="1507"/>
      <c r="T487" s="1507"/>
      <c r="U487" s="1507"/>
      <c r="V487" s="1507"/>
      <c r="W487" s="1507"/>
      <c r="X487" s="1507"/>
      <c r="Y487" s="1507"/>
      <c r="Z487" s="1507"/>
      <c r="AA487" s="1507"/>
      <c r="AB487" s="1507"/>
      <c r="AC487" s="1507"/>
      <c r="AD487" s="1507"/>
      <c r="AE487" s="1507"/>
      <c r="AF487" s="1507"/>
      <c r="AG487" s="1507"/>
      <c r="AH487" s="1507"/>
      <c r="AI487" s="1507"/>
      <c r="AJ487" s="1507"/>
      <c r="AK487" s="150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1" t="s">
        <v>2438</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1" t="s">
        <v>2439</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85">
        <v>89</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43">
        <v>0</v>
      </c>
      <c r="N491" s="1149"/>
      <c r="O491" s="1149"/>
      <c r="P491" s="1344"/>
      <c r="Q491" s="214" t="s">
        <v>1984</v>
      </c>
      <c r="R491" s="9"/>
      <c r="S491" s="9"/>
      <c r="T491" s="9"/>
      <c r="U491" s="9"/>
      <c r="V491" s="9"/>
      <c r="W491" s="9"/>
      <c r="X491" s="9"/>
      <c r="Y491" s="9"/>
      <c r="Z491" s="9"/>
      <c r="AA491" s="9"/>
      <c r="AB491" s="9"/>
      <c r="AC491" s="9"/>
      <c r="AD491" s="9"/>
      <c r="AE491" s="9"/>
      <c r="AF491" s="9"/>
      <c r="AG491" s="9"/>
      <c r="AH491" s="1343">
        <v>89</v>
      </c>
      <c r="AI491" s="1149"/>
      <c r="AJ491" s="1149"/>
      <c r="AK491" s="134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7" t="s">
        <v>246</v>
      </c>
      <c r="AD495" s="1428"/>
      <c r="AE495" s="1428"/>
      <c r="AF495" s="1428"/>
      <c r="AG495" s="1428"/>
      <c r="AH495" s="1428"/>
      <c r="AI495" s="1428"/>
      <c r="AJ495" s="1428"/>
      <c r="AK495" s="142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7" t="s">
        <v>247</v>
      </c>
      <c r="AD496" s="1428"/>
      <c r="AE496" s="1428"/>
      <c r="AF496" s="1428"/>
      <c r="AG496" s="56" t="s">
        <v>248</v>
      </c>
      <c r="AH496" s="1428" t="s">
        <v>249</v>
      </c>
      <c r="AI496" s="1428"/>
      <c r="AJ496" s="1428"/>
      <c r="AK496" s="142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6" t="s">
        <v>250</v>
      </c>
      <c r="C497" s="1137"/>
      <c r="D497" s="1137"/>
      <c r="E497" s="1137"/>
      <c r="F497" s="1137"/>
      <c r="G497" s="1137"/>
      <c r="H497" s="1138"/>
      <c r="I497" s="7" t="s">
        <v>671</v>
      </c>
      <c r="J497" s="7"/>
      <c r="K497" s="7"/>
      <c r="L497" s="7"/>
      <c r="M497" s="7"/>
      <c r="N497" s="7"/>
      <c r="O497" s="7"/>
      <c r="P497" s="7"/>
      <c r="Q497" s="7"/>
      <c r="R497" s="7"/>
      <c r="S497" s="7"/>
      <c r="T497" s="7"/>
      <c r="U497" s="7"/>
      <c r="V497" s="7"/>
      <c r="W497" s="7"/>
      <c r="AC497" s="1121">
        <v>8</v>
      </c>
      <c r="AD497" s="1118"/>
      <c r="AE497" s="1118"/>
      <c r="AF497" s="1118"/>
      <c r="AG497" s="18" t="s">
        <v>248</v>
      </c>
      <c r="AH497" s="1147">
        <v>2024</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9"/>
      <c r="C498" s="1140"/>
      <c r="D498" s="1140"/>
      <c r="E498" s="1140"/>
      <c r="F498" s="1140"/>
      <c r="G498" s="1140"/>
      <c r="H498" s="1141"/>
      <c r="I498" s="54" t="s">
        <v>672</v>
      </c>
      <c r="J498" s="54"/>
      <c r="K498" s="54"/>
      <c r="L498" s="54"/>
      <c r="M498" s="54"/>
      <c r="N498" s="54"/>
      <c r="O498" s="54"/>
      <c r="P498" s="54"/>
      <c r="Q498" s="54"/>
      <c r="R498" s="54"/>
      <c r="S498" s="54"/>
      <c r="T498" s="54"/>
      <c r="U498" s="54"/>
      <c r="V498" s="54"/>
      <c r="W498" s="54"/>
      <c r="X498" s="54"/>
      <c r="Y498" s="54"/>
      <c r="Z498" s="54"/>
      <c r="AA498" s="54"/>
      <c r="AB498" s="54"/>
      <c r="AC498" s="1121">
        <v>8</v>
      </c>
      <c r="AD498" s="1118"/>
      <c r="AE498" s="1118"/>
      <c r="AF498" s="1118"/>
      <c r="AG498" s="47" t="s">
        <v>248</v>
      </c>
      <c r="AH498" s="1147">
        <v>2024</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6" t="s">
        <v>673</v>
      </c>
      <c r="C499" s="1137"/>
      <c r="D499" s="1137"/>
      <c r="E499" s="1137"/>
      <c r="F499" s="1137"/>
      <c r="G499" s="1137"/>
      <c r="H499" s="1138"/>
      <c r="I499" s="7" t="s">
        <v>674</v>
      </c>
      <c r="J499" s="7"/>
      <c r="K499" s="7"/>
      <c r="L499" s="7"/>
      <c r="M499" s="7"/>
      <c r="N499" s="7"/>
      <c r="O499" s="7"/>
      <c r="P499" s="7"/>
      <c r="Q499" s="7"/>
      <c r="R499" s="7"/>
      <c r="S499" s="7"/>
      <c r="T499" s="7"/>
      <c r="U499" s="7"/>
      <c r="V499" s="7"/>
      <c r="W499" s="7"/>
      <c r="AC499" s="1121" t="s">
        <v>124</v>
      </c>
      <c r="AD499" s="1118"/>
      <c r="AE499" s="1118"/>
      <c r="AF499" s="1118"/>
      <c r="AG499" s="18" t="s">
        <v>248</v>
      </c>
      <c r="AH499" s="1147"/>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9"/>
      <c r="C500" s="1140"/>
      <c r="D500" s="1140"/>
      <c r="E500" s="1140"/>
      <c r="F500" s="1140"/>
      <c r="G500" s="1140"/>
      <c r="H500" s="1141"/>
      <c r="I500" t="s">
        <v>675</v>
      </c>
      <c r="AC500" s="1121" t="s">
        <v>124</v>
      </c>
      <c r="AD500" s="1118"/>
      <c r="AE500" s="1118"/>
      <c r="AF500" s="1118"/>
      <c r="AG500" s="18" t="s">
        <v>248</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9"/>
      <c r="C501" s="1140"/>
      <c r="D501" s="1140"/>
      <c r="E501" s="1140"/>
      <c r="F501" s="1140"/>
      <c r="G501" s="1140"/>
      <c r="H501" s="1141"/>
      <c r="I501" t="s">
        <v>676</v>
      </c>
      <c r="AC501" s="1121" t="s">
        <v>124</v>
      </c>
      <c r="AD501" s="1118"/>
      <c r="AE501" s="1118"/>
      <c r="AF501" s="1118"/>
      <c r="AG501" s="18" t="s">
        <v>248</v>
      </c>
      <c r="AH501" s="1147"/>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9"/>
      <c r="C502" s="1140"/>
      <c r="D502" s="1140"/>
      <c r="E502" s="1140"/>
      <c r="F502" s="1140"/>
      <c r="G502" s="1140"/>
      <c r="H502" s="1141"/>
      <c r="I502" t="s">
        <v>677</v>
      </c>
      <c r="AC502" s="1121" t="s">
        <v>124</v>
      </c>
      <c r="AD502" s="1118"/>
      <c r="AE502" s="1118"/>
      <c r="AF502" s="1118"/>
      <c r="AG502" s="18" t="s">
        <v>248</v>
      </c>
      <c r="AH502" s="1147"/>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9"/>
      <c r="C503" s="1140"/>
      <c r="D503" s="1140"/>
      <c r="E503" s="1140"/>
      <c r="F503" s="1140"/>
      <c r="G503" s="1140"/>
      <c r="H503" s="1141"/>
      <c r="I503" s="41" t="s">
        <v>678</v>
      </c>
      <c r="AC503" s="1080">
        <v>12</v>
      </c>
      <c r="AD503" s="1081"/>
      <c r="AE503" s="1081"/>
      <c r="AF503" s="1081"/>
      <c r="AG503" s="18" t="s">
        <v>248</v>
      </c>
      <c r="AH503" s="1147">
        <v>2024</v>
      </c>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9"/>
      <c r="C504" s="1140"/>
      <c r="D504" s="1140"/>
      <c r="E504" s="1140"/>
      <c r="F504" s="1140"/>
      <c r="G504" s="1140"/>
      <c r="H504" s="1141"/>
      <c r="I504" s="410" t="s">
        <v>283</v>
      </c>
      <c r="J504" s="54"/>
      <c r="K504" s="54"/>
      <c r="L504" s="1154"/>
      <c r="M504" s="1133"/>
      <c r="N504" s="1133"/>
      <c r="O504" s="1133"/>
      <c r="P504" s="1133"/>
      <c r="Q504" s="1133"/>
      <c r="R504" s="1133"/>
      <c r="S504" s="1133"/>
      <c r="T504" s="1133"/>
      <c r="U504" s="1133"/>
      <c r="V504" s="1133"/>
      <c r="W504" s="1133"/>
      <c r="X504" s="1133"/>
      <c r="Y504" s="1133"/>
      <c r="Z504" s="1133"/>
      <c r="AA504" s="1133"/>
      <c r="AB504" s="1155"/>
      <c r="AC504" s="1434" t="s">
        <v>124</v>
      </c>
      <c r="AD504" s="1324"/>
      <c r="AE504" s="1324"/>
      <c r="AF504" s="1324"/>
      <c r="AG504" s="47" t="s">
        <v>248</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9"/>
      <c r="C505" s="1140"/>
      <c r="D505" s="1140"/>
      <c r="E505" s="1140"/>
      <c r="F505" s="1140"/>
      <c r="G505" s="1140"/>
      <c r="H505" s="1141"/>
      <c r="I505" s="41" t="s">
        <v>1985</v>
      </c>
      <c r="AC505" s="1431" t="s">
        <v>108</v>
      </c>
      <c r="AD505" s="1431"/>
      <c r="AE505" s="1431"/>
      <c r="AF505" s="1431"/>
      <c r="AG505" s="18"/>
      <c r="AH505" s="1432"/>
      <c r="AI505" s="1432"/>
      <c r="AJ505" s="1432"/>
      <c r="AK505" s="14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9"/>
      <c r="C506" s="1140"/>
      <c r="D506" s="1140"/>
      <c r="E506" s="1140"/>
      <c r="F506" s="1140"/>
      <c r="G506" s="1140"/>
      <c r="H506" s="1141"/>
      <c r="I506" t="s">
        <v>1986</v>
      </c>
      <c r="AC506" s="1080">
        <v>2</v>
      </c>
      <c r="AD506" s="1081"/>
      <c r="AE506" s="1081"/>
      <c r="AF506" s="1082"/>
      <c r="AG506" s="18"/>
      <c r="AH506" s="1432"/>
      <c r="AI506" s="1432"/>
      <c r="AJ506" s="1432"/>
      <c r="AK506" s="14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9"/>
      <c r="C507" s="1140"/>
      <c r="D507" s="1140"/>
      <c r="E507" s="1140"/>
      <c r="F507" s="1140"/>
      <c r="G507" s="1140"/>
      <c r="H507" s="1141"/>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9"/>
      <c r="C508" s="1140"/>
      <c r="D508" s="1140"/>
      <c r="E508" s="1140"/>
      <c r="F508" s="1140"/>
      <c r="G508" s="1140"/>
      <c r="H508" s="1141"/>
      <c r="I508" s="838" t="s">
        <v>1988</v>
      </c>
      <c r="J508" s="54"/>
      <c r="K508" s="54"/>
      <c r="L508" s="54"/>
      <c r="M508" s="54"/>
      <c r="N508" s="54"/>
      <c r="O508" s="54"/>
      <c r="P508" s="54"/>
      <c r="Q508" s="54"/>
      <c r="R508" s="54"/>
      <c r="S508" s="54"/>
      <c r="T508" s="54"/>
      <c r="U508" s="54"/>
      <c r="V508" s="54"/>
      <c r="W508" s="54"/>
      <c r="X508" s="54"/>
      <c r="Y508" s="54"/>
      <c r="Z508" s="54"/>
      <c r="AA508" s="54"/>
      <c r="AB508" s="54"/>
      <c r="AC508" s="1489">
        <v>1</v>
      </c>
      <c r="AD508" s="1490"/>
      <c r="AE508" s="1490"/>
      <c r="AF508" s="1491"/>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6" t="s">
        <v>679</v>
      </c>
      <c r="C509" s="1137"/>
      <c r="D509" s="1137"/>
      <c r="E509" s="1137"/>
      <c r="F509" s="1137"/>
      <c r="G509" s="1137"/>
      <c r="H509" s="1138"/>
      <c r="I509" s="7" t="s">
        <v>680</v>
      </c>
      <c r="J509" s="7"/>
      <c r="K509" s="7"/>
      <c r="L509" s="7"/>
      <c r="M509" s="7"/>
      <c r="N509" s="7"/>
      <c r="O509" s="7"/>
      <c r="P509" s="7"/>
      <c r="Q509" s="7"/>
      <c r="R509" s="7"/>
      <c r="S509" s="7"/>
      <c r="T509" s="7"/>
      <c r="U509" s="7"/>
      <c r="V509" s="7"/>
      <c r="W509" s="7"/>
      <c r="AC509" s="1121" t="s">
        <v>124</v>
      </c>
      <c r="AD509" s="1118"/>
      <c r="AE509" s="1118"/>
      <c r="AF509" s="1118"/>
      <c r="AG509" s="18" t="s">
        <v>248</v>
      </c>
      <c r="AH509" s="1147"/>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9"/>
      <c r="C510" s="1140"/>
      <c r="D510" s="1140"/>
      <c r="E510" s="1140"/>
      <c r="F510" s="1140"/>
      <c r="G510" s="1140"/>
      <c r="H510" s="1141"/>
      <c r="I510" t="s">
        <v>681</v>
      </c>
      <c r="AC510" s="1121">
        <v>6</v>
      </c>
      <c r="AD510" s="1118"/>
      <c r="AE510" s="1118"/>
      <c r="AF510" s="1118"/>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9"/>
      <c r="C511" s="1140"/>
      <c r="D511" s="1140"/>
      <c r="E511" s="1140"/>
      <c r="F511" s="1140"/>
      <c r="G511" s="1140"/>
      <c r="H511" s="1141"/>
      <c r="I511" s="54" t="s">
        <v>682</v>
      </c>
      <c r="J511" s="54"/>
      <c r="K511" s="54"/>
      <c r="L511" s="54"/>
      <c r="M511" s="54"/>
      <c r="N511" s="54"/>
      <c r="O511" s="54"/>
      <c r="P511" s="54"/>
      <c r="Q511" s="54"/>
      <c r="R511" s="54"/>
      <c r="S511" s="54"/>
      <c r="T511" s="54"/>
      <c r="U511" s="54"/>
      <c r="V511" s="54"/>
      <c r="W511" s="54"/>
      <c r="X511" s="54"/>
      <c r="Y511" s="54"/>
      <c r="Z511" s="54"/>
      <c r="AA511" s="54"/>
      <c r="AB511" s="54"/>
      <c r="AC511" s="1121">
        <v>12</v>
      </c>
      <c r="AD511" s="1118"/>
      <c r="AE511" s="1118"/>
      <c r="AF511" s="1118"/>
      <c r="AG511" s="47" t="s">
        <v>248</v>
      </c>
      <c r="AH511" s="1147">
        <v>2024</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6" t="s">
        <v>683</v>
      </c>
      <c r="C512" s="1137"/>
      <c r="D512" s="1137"/>
      <c r="E512" s="1137"/>
      <c r="F512" s="1137"/>
      <c r="G512" s="1137"/>
      <c r="H512" s="1138"/>
      <c r="I512" s="7" t="s">
        <v>680</v>
      </c>
      <c r="J512" s="7"/>
      <c r="K512" s="7"/>
      <c r="L512" s="7"/>
      <c r="M512" s="7"/>
      <c r="N512" s="7"/>
      <c r="O512" s="7"/>
      <c r="P512" s="7"/>
      <c r="Q512" s="7"/>
      <c r="R512" s="7"/>
      <c r="S512" s="7"/>
      <c r="T512" s="7"/>
      <c r="U512" s="7"/>
      <c r="V512" s="7"/>
      <c r="W512" s="7"/>
      <c r="X512" s="7"/>
      <c r="Y512" s="7"/>
      <c r="Z512" s="7"/>
      <c r="AA512" s="7"/>
      <c r="AB512" s="7"/>
      <c r="AC512" s="1314" t="s">
        <v>124</v>
      </c>
      <c r="AD512" s="1315"/>
      <c r="AE512" s="1315"/>
      <c r="AF512" s="1315"/>
      <c r="AG512" s="230" t="s">
        <v>248</v>
      </c>
      <c r="AH512" s="1147"/>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9"/>
      <c r="C513" s="1140"/>
      <c r="D513" s="1140"/>
      <c r="E513" s="1140"/>
      <c r="F513" s="1140"/>
      <c r="G513" s="1140"/>
      <c r="H513" s="1141"/>
      <c r="I513" t="s">
        <v>681</v>
      </c>
      <c r="AC513" s="1121" t="s">
        <v>124</v>
      </c>
      <c r="AD513" s="1118"/>
      <c r="AE513" s="1118"/>
      <c r="AF513" s="1118"/>
      <c r="AG513" s="18" t="s">
        <v>248</v>
      </c>
      <c r="AH513" s="1147"/>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2"/>
      <c r="C514" s="1143"/>
      <c r="D514" s="1143"/>
      <c r="E514" s="1143"/>
      <c r="F514" s="1143"/>
      <c r="G514" s="1143"/>
      <c r="H514" s="1144"/>
      <c r="I514" s="54" t="s">
        <v>682</v>
      </c>
      <c r="J514" s="54"/>
      <c r="K514" s="54"/>
      <c r="L514" s="54"/>
      <c r="M514" s="54"/>
      <c r="N514" s="54"/>
      <c r="O514" s="54"/>
      <c r="P514" s="54"/>
      <c r="Q514" s="54"/>
      <c r="R514" s="54"/>
      <c r="S514" s="54"/>
      <c r="T514" s="54"/>
      <c r="U514" s="54"/>
      <c r="V514" s="54"/>
      <c r="W514" s="54"/>
      <c r="X514" s="54"/>
      <c r="Y514" s="54"/>
      <c r="Z514" s="54"/>
      <c r="AA514" s="54"/>
      <c r="AB514" s="54"/>
      <c r="AC514" s="1121" t="s">
        <v>124</v>
      </c>
      <c r="AD514" s="1118"/>
      <c r="AE514" s="1118"/>
      <c r="AF514" s="1118"/>
      <c r="AG514" s="47" t="s">
        <v>248</v>
      </c>
      <c r="AH514" s="1147"/>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6" t="s">
        <v>684</v>
      </c>
      <c r="C515" s="1137"/>
      <c r="D515" s="1137"/>
      <c r="E515" s="1137"/>
      <c r="F515" s="1137"/>
      <c r="G515" s="1137"/>
      <c r="H515" s="1138"/>
      <c r="I515" s="6" t="s">
        <v>685</v>
      </c>
      <c r="J515" s="7"/>
      <c r="K515" s="7"/>
      <c r="L515" s="7"/>
      <c r="M515" s="7"/>
      <c r="N515" s="7"/>
      <c r="O515" s="1154" t="s">
        <v>2359</v>
      </c>
      <c r="P515" s="1133"/>
      <c r="Q515" s="1133"/>
      <c r="R515" s="1133"/>
      <c r="S515" s="1133"/>
      <c r="T515" s="1133"/>
      <c r="U515" s="1133"/>
      <c r="V515" s="1133"/>
      <c r="W515" s="1133"/>
      <c r="X515" s="1133"/>
      <c r="Y515" s="1133"/>
      <c r="Z515" s="1133"/>
      <c r="AA515" s="1133"/>
      <c r="AB515" s="64"/>
      <c r="AC515" s="1314" t="s">
        <v>124</v>
      </c>
      <c r="AD515" s="1315"/>
      <c r="AE515" s="1315"/>
      <c r="AF515" s="1315"/>
      <c r="AG515" s="230" t="s">
        <v>248</v>
      </c>
      <c r="AH515" s="1147"/>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9"/>
      <c r="C516" s="1140"/>
      <c r="D516" s="1140"/>
      <c r="E516" s="1140"/>
      <c r="F516" s="1140"/>
      <c r="G516" s="1140"/>
      <c r="H516" s="1141"/>
      <c r="I516" s="204" t="s">
        <v>686</v>
      </c>
      <c r="AB516" s="71"/>
      <c r="AC516" s="1121">
        <v>1</v>
      </c>
      <c r="AD516" s="1118"/>
      <c r="AE516" s="1118"/>
      <c r="AF516" s="1118"/>
      <c r="AG516" s="18" t="s">
        <v>248</v>
      </c>
      <c r="AH516" s="1147">
        <v>2023</v>
      </c>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9"/>
      <c r="C517" s="1140"/>
      <c r="D517" s="1140"/>
      <c r="E517" s="1140"/>
      <c r="F517" s="1140"/>
      <c r="G517" s="1140"/>
      <c r="H517" s="1141"/>
      <c r="I517" s="53" t="s">
        <v>687</v>
      </c>
      <c r="J517" s="54"/>
      <c r="K517" s="54"/>
      <c r="L517" s="54"/>
      <c r="M517" s="54"/>
      <c r="N517" s="54"/>
      <c r="O517" s="54"/>
      <c r="P517" s="54"/>
      <c r="Q517" s="54"/>
      <c r="R517" s="54"/>
      <c r="S517" s="54"/>
      <c r="T517" s="54"/>
      <c r="U517" s="54"/>
      <c r="V517" s="54"/>
      <c r="W517" s="54"/>
      <c r="X517" s="54"/>
      <c r="Y517" s="54"/>
      <c r="Z517" s="54"/>
      <c r="AA517" s="54"/>
      <c r="AB517" s="55"/>
      <c r="AC517" s="1121">
        <v>5</v>
      </c>
      <c r="AD517" s="1118"/>
      <c r="AE517" s="1118"/>
      <c r="AF517" s="1118"/>
      <c r="AG517" s="47" t="s">
        <v>248</v>
      </c>
      <c r="AH517" s="1147">
        <v>2024</v>
      </c>
      <c r="AI517" s="1147"/>
      <c r="AJ517" s="1147"/>
      <c r="AK517" s="1148"/>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9"/>
      <c r="C518" s="1140"/>
      <c r="D518" s="1140"/>
      <c r="E518" s="1140"/>
      <c r="F518" s="1140"/>
      <c r="G518" s="1140"/>
      <c r="H518" s="1141"/>
      <c r="I518" s="7" t="s">
        <v>688</v>
      </c>
      <c r="J518" s="7"/>
      <c r="K518" s="7"/>
      <c r="L518" s="7"/>
      <c r="M518" s="7"/>
      <c r="N518" s="7"/>
      <c r="O518" s="1154" t="s">
        <v>2348</v>
      </c>
      <c r="P518" s="1133"/>
      <c r="Q518" s="1133"/>
      <c r="R518" s="1133"/>
      <c r="S518" s="1133"/>
      <c r="T518" s="1133"/>
      <c r="U518" s="1133"/>
      <c r="V518" s="1133"/>
      <c r="W518" s="1133"/>
      <c r="X518" s="1133"/>
      <c r="Y518" s="1133"/>
      <c r="Z518" s="1133"/>
      <c r="AA518" s="1133"/>
      <c r="AC518" s="1121" t="s">
        <v>124</v>
      </c>
      <c r="AD518" s="1118"/>
      <c r="AE518" s="1118"/>
      <c r="AF518" s="1118"/>
      <c r="AG518" s="18" t="s">
        <v>248</v>
      </c>
      <c r="AH518" s="1147"/>
      <c r="AI518" s="1147"/>
      <c r="AJ518" s="1147"/>
      <c r="AK518" s="1148"/>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9"/>
      <c r="C519" s="1140"/>
      <c r="D519" s="1140"/>
      <c r="E519" s="1140"/>
      <c r="F519" s="1140"/>
      <c r="G519" s="1140"/>
      <c r="H519" s="1141"/>
      <c r="I519" t="s">
        <v>686</v>
      </c>
      <c r="AC519" s="1121" t="s">
        <v>124</v>
      </c>
      <c r="AD519" s="1118"/>
      <c r="AE519" s="1118"/>
      <c r="AF519" s="1118"/>
      <c r="AG519" s="18" t="s">
        <v>248</v>
      </c>
      <c r="AH519" s="1147"/>
      <c r="AI519" s="1147"/>
      <c r="AJ519" s="1147"/>
      <c r="AK519" s="1148"/>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9"/>
      <c r="C520" s="1140"/>
      <c r="D520" s="1140"/>
      <c r="E520" s="1140"/>
      <c r="F520" s="1140"/>
      <c r="G520" s="1140"/>
      <c r="H520" s="1141"/>
      <c r="I520" s="54" t="s">
        <v>687</v>
      </c>
      <c r="J520" s="54"/>
      <c r="K520" s="54"/>
      <c r="L520" s="54"/>
      <c r="M520" s="54"/>
      <c r="N520" s="54"/>
      <c r="O520" s="54"/>
      <c r="P520" s="54"/>
      <c r="Q520" s="54"/>
      <c r="R520" s="54"/>
      <c r="S520" s="54"/>
      <c r="T520" s="54"/>
      <c r="U520" s="54"/>
      <c r="V520" s="54"/>
      <c r="W520" s="54"/>
      <c r="X520" s="54"/>
      <c r="Y520" s="54"/>
      <c r="Z520" s="54"/>
      <c r="AA520" s="54"/>
      <c r="AB520" s="54"/>
      <c r="AC520" s="1121">
        <v>7</v>
      </c>
      <c r="AD520" s="1118"/>
      <c r="AE520" s="1118"/>
      <c r="AF520" s="1118"/>
      <c r="AG520" s="47" t="s">
        <v>248</v>
      </c>
      <c r="AH520" s="1147">
        <v>2023</v>
      </c>
      <c r="AI520" s="1147"/>
      <c r="AJ520" s="1147"/>
      <c r="AK520" s="1148"/>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9"/>
      <c r="C521" s="1140"/>
      <c r="D521" s="1140"/>
      <c r="E521" s="1140"/>
      <c r="F521" s="1140"/>
      <c r="G521" s="1140"/>
      <c r="H521" s="1141"/>
      <c r="I521" s="7" t="s">
        <v>688</v>
      </c>
      <c r="J521" s="7"/>
      <c r="K521" s="7"/>
      <c r="L521" s="7"/>
      <c r="M521" s="7"/>
      <c r="N521" s="7"/>
      <c r="O521" s="1154" t="s">
        <v>2440</v>
      </c>
      <c r="P521" s="1133"/>
      <c r="Q521" s="1133"/>
      <c r="R521" s="1133"/>
      <c r="S521" s="1133"/>
      <c r="T521" s="1133"/>
      <c r="U521" s="1133"/>
      <c r="V521" s="1133"/>
      <c r="W521" s="1133"/>
      <c r="X521" s="1133"/>
      <c r="Y521" s="1133"/>
      <c r="Z521" s="1133"/>
      <c r="AA521" s="1133"/>
      <c r="AC521" s="1121" t="s">
        <v>124</v>
      </c>
      <c r="AD521" s="1118"/>
      <c r="AE521" s="1118"/>
      <c r="AF521" s="1118"/>
      <c r="AG521" s="18" t="s">
        <v>248</v>
      </c>
      <c r="AH521" s="1147"/>
      <c r="AI521" s="1147"/>
      <c r="AJ521" s="1147"/>
      <c r="AK521" s="1148"/>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9"/>
      <c r="C522" s="1140"/>
      <c r="D522" s="1140"/>
      <c r="E522" s="1140"/>
      <c r="F522" s="1140"/>
      <c r="G522" s="1140"/>
      <c r="H522" s="1141"/>
      <c r="I522" t="s">
        <v>686</v>
      </c>
      <c r="AC522" s="1121" t="s">
        <v>124</v>
      </c>
      <c r="AD522" s="1118"/>
      <c r="AE522" s="1118"/>
      <c r="AF522" s="1118"/>
      <c r="AG522" s="18" t="s">
        <v>248</v>
      </c>
      <c r="AH522" s="1147"/>
      <c r="AI522" s="1147"/>
      <c r="AJ522" s="1147"/>
      <c r="AK522" s="1148"/>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9"/>
      <c r="C523" s="1140"/>
      <c r="D523" s="1140"/>
      <c r="E523" s="1140"/>
      <c r="F523" s="1140"/>
      <c r="G523" s="1140"/>
      <c r="H523" s="1141"/>
      <c r="I523" s="54" t="s">
        <v>687</v>
      </c>
      <c r="J523" s="54"/>
      <c r="K523" s="54"/>
      <c r="L523" s="54"/>
      <c r="M523" s="54"/>
      <c r="N523" s="54"/>
      <c r="O523" s="54"/>
      <c r="P523" s="54"/>
      <c r="Q523" s="54"/>
      <c r="R523" s="54"/>
      <c r="S523" s="54"/>
      <c r="T523" s="54"/>
      <c r="U523" s="54"/>
      <c r="V523" s="54"/>
      <c r="W523" s="54"/>
      <c r="X523" s="54"/>
      <c r="Y523" s="54"/>
      <c r="Z523" s="54"/>
      <c r="AA523" s="54"/>
      <c r="AB523" s="54"/>
      <c r="AC523" s="1121">
        <v>7</v>
      </c>
      <c r="AD523" s="1118"/>
      <c r="AE523" s="1118"/>
      <c r="AF523" s="1118"/>
      <c r="AG523" s="47" t="s">
        <v>248</v>
      </c>
      <c r="AH523" s="1147">
        <v>2023</v>
      </c>
      <c r="AI523" s="1147"/>
      <c r="AJ523" s="1147"/>
      <c r="AK523" s="1148"/>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9"/>
      <c r="C524" s="1140"/>
      <c r="D524" s="1140"/>
      <c r="E524" s="1140"/>
      <c r="F524" s="1140"/>
      <c r="G524" s="1140"/>
      <c r="H524" s="1141"/>
      <c r="I524" s="7" t="s">
        <v>688</v>
      </c>
      <c r="J524" s="7"/>
      <c r="K524" s="7"/>
      <c r="L524" s="7"/>
      <c r="M524" s="7"/>
      <c r="N524" s="7"/>
      <c r="O524" s="1154" t="s">
        <v>2275</v>
      </c>
      <c r="P524" s="1133"/>
      <c r="Q524" s="1133"/>
      <c r="R524" s="1133"/>
      <c r="S524" s="1133"/>
      <c r="T524" s="1133"/>
      <c r="U524" s="1133"/>
      <c r="V524" s="1133"/>
      <c r="W524" s="1133"/>
      <c r="X524" s="1133"/>
      <c r="Y524" s="1133"/>
      <c r="Z524" s="1133"/>
      <c r="AA524" s="1133"/>
      <c r="AC524" s="1121" t="s">
        <v>124</v>
      </c>
      <c r="AD524" s="1118"/>
      <c r="AE524" s="1118"/>
      <c r="AF524" s="1118"/>
      <c r="AG524" s="18" t="s">
        <v>248</v>
      </c>
      <c r="AH524" s="1147"/>
      <c r="AI524" s="1147"/>
      <c r="AJ524" s="1147"/>
      <c r="AK524" s="1148"/>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9"/>
      <c r="C525" s="1140"/>
      <c r="D525" s="1140"/>
      <c r="E525" s="1140"/>
      <c r="F525" s="1140"/>
      <c r="G525" s="1140"/>
      <c r="H525" s="1141"/>
      <c r="I525" t="s">
        <v>686</v>
      </c>
      <c r="AC525" s="1121">
        <v>9</v>
      </c>
      <c r="AD525" s="1118"/>
      <c r="AE525" s="1118"/>
      <c r="AF525" s="1118"/>
      <c r="AG525" s="18" t="s">
        <v>248</v>
      </c>
      <c r="AH525" s="1147">
        <v>2023</v>
      </c>
      <c r="AI525" s="1147"/>
      <c r="AJ525" s="1147"/>
      <c r="AK525" s="1148"/>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9"/>
      <c r="C526" s="1140"/>
      <c r="D526" s="1140"/>
      <c r="E526" s="1140"/>
      <c r="F526" s="1140"/>
      <c r="G526" s="1140"/>
      <c r="H526" s="1141"/>
      <c r="I526" s="54" t="s">
        <v>687</v>
      </c>
      <c r="J526" s="54"/>
      <c r="K526" s="54"/>
      <c r="L526" s="54"/>
      <c r="M526" s="54"/>
      <c r="N526" s="54"/>
      <c r="O526" s="54"/>
      <c r="P526" s="54"/>
      <c r="Q526" s="54"/>
      <c r="R526" s="54"/>
      <c r="S526" s="54"/>
      <c r="T526" s="54"/>
      <c r="U526" s="54"/>
      <c r="V526" s="54"/>
      <c r="W526" s="54"/>
      <c r="X526" s="54"/>
      <c r="Y526" s="54"/>
      <c r="Z526" s="54"/>
      <c r="AA526" s="54"/>
      <c r="AB526" s="54"/>
      <c r="AC526" s="1121">
        <v>1</v>
      </c>
      <c r="AD526" s="1118"/>
      <c r="AE526" s="1118"/>
      <c r="AF526" s="1118"/>
      <c r="AG526" s="47" t="s">
        <v>248</v>
      </c>
      <c r="AH526" s="1147">
        <v>2024</v>
      </c>
      <c r="AI526" s="1147"/>
      <c r="AJ526" s="1147"/>
      <c r="AK526" s="1148"/>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9"/>
      <c r="C527" s="1140"/>
      <c r="D527" s="1140"/>
      <c r="E527" s="1140"/>
      <c r="F527" s="1140"/>
      <c r="G527" s="1140"/>
      <c r="H527" s="1141"/>
      <c r="I527" s="7" t="s">
        <v>688</v>
      </c>
      <c r="J527" s="7"/>
      <c r="K527" s="7"/>
      <c r="L527" s="7"/>
      <c r="M527" s="7"/>
      <c r="N527" s="7"/>
      <c r="O527" s="1154" t="s">
        <v>2441</v>
      </c>
      <c r="P527" s="1133"/>
      <c r="Q527" s="1133"/>
      <c r="R527" s="1133"/>
      <c r="S527" s="1133"/>
      <c r="T527" s="1133"/>
      <c r="U527" s="1133"/>
      <c r="V527" s="1133"/>
      <c r="W527" s="1133"/>
      <c r="X527" s="1133"/>
      <c r="Y527" s="1133"/>
      <c r="Z527" s="1133"/>
      <c r="AA527" s="1133"/>
      <c r="AC527" s="1121" t="s">
        <v>124</v>
      </c>
      <c r="AD527" s="1118"/>
      <c r="AE527" s="1118"/>
      <c r="AF527" s="1118"/>
      <c r="AG527" s="18" t="s">
        <v>248</v>
      </c>
      <c r="AH527" s="1147"/>
      <c r="AI527" s="1147"/>
      <c r="AJ527" s="1147"/>
      <c r="AK527" s="1148"/>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9"/>
      <c r="C528" s="1140"/>
      <c r="D528" s="1140"/>
      <c r="E528" s="1140"/>
      <c r="F528" s="1140"/>
      <c r="G528" s="1140"/>
      <c r="H528" s="1141"/>
      <c r="I528" t="s">
        <v>686</v>
      </c>
      <c r="AC528" s="1121" t="s">
        <v>124</v>
      </c>
      <c r="AD528" s="1118"/>
      <c r="AE528" s="1118"/>
      <c r="AF528" s="1118"/>
      <c r="AG528" s="47" t="s">
        <v>248</v>
      </c>
      <c r="AH528" s="1147"/>
      <c r="AI528" s="1147"/>
      <c r="AJ528" s="1147"/>
      <c r="AK528" s="1148"/>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9"/>
      <c r="C529" s="1140"/>
      <c r="D529" s="1140"/>
      <c r="E529" s="1140"/>
      <c r="F529" s="1140"/>
      <c r="G529" s="1140"/>
      <c r="H529" s="1141"/>
      <c r="I529" s="54" t="s">
        <v>687</v>
      </c>
      <c r="J529" s="54"/>
      <c r="K529" s="54"/>
      <c r="L529" s="54"/>
      <c r="M529" s="54"/>
      <c r="N529" s="54"/>
      <c r="O529" s="54"/>
      <c r="P529" s="54"/>
      <c r="Q529" s="54"/>
      <c r="R529" s="54"/>
      <c r="S529" s="54"/>
      <c r="T529" s="54"/>
      <c r="U529" s="54"/>
      <c r="V529" s="54"/>
      <c r="W529" s="54"/>
      <c r="X529" s="54"/>
      <c r="Y529" s="54"/>
      <c r="Z529" s="54"/>
      <c r="AA529" s="54"/>
      <c r="AB529" s="54"/>
      <c r="AC529" s="1121">
        <v>7</v>
      </c>
      <c r="AD529" s="1118"/>
      <c r="AE529" s="1118"/>
      <c r="AF529" s="1118"/>
      <c r="AG529" s="18" t="s">
        <v>248</v>
      </c>
      <c r="AH529" s="1147">
        <v>2024</v>
      </c>
      <c r="AI529" s="1147"/>
      <c r="AJ529" s="1147"/>
      <c r="AK529" s="1148"/>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9"/>
      <c r="C530" s="1140"/>
      <c r="D530" s="1140"/>
      <c r="E530" s="1140"/>
      <c r="F530" s="1140"/>
      <c r="G530" s="1140"/>
      <c r="H530" s="1141"/>
      <c r="I530" s="7" t="s">
        <v>688</v>
      </c>
      <c r="J530" s="7"/>
      <c r="K530" s="7"/>
      <c r="L530" s="7"/>
      <c r="M530" s="7"/>
      <c r="N530" s="7"/>
      <c r="O530" s="1154" t="s">
        <v>562</v>
      </c>
      <c r="P530" s="1133"/>
      <c r="Q530" s="1133"/>
      <c r="R530" s="1133"/>
      <c r="S530" s="1133"/>
      <c r="T530" s="1133"/>
      <c r="U530" s="1133"/>
      <c r="V530" s="1133"/>
      <c r="W530" s="1133"/>
      <c r="X530" s="1133"/>
      <c r="Y530" s="1133"/>
      <c r="Z530" s="1133"/>
      <c r="AA530" s="1133"/>
      <c r="AC530" s="1121" t="s">
        <v>124</v>
      </c>
      <c r="AD530" s="1118"/>
      <c r="AE530" s="1118"/>
      <c r="AF530" s="1118"/>
      <c r="AG530" s="47" t="s">
        <v>248</v>
      </c>
      <c r="AH530" s="1147"/>
      <c r="AI530" s="1147"/>
      <c r="AJ530" s="1147"/>
      <c r="AK530" s="1148"/>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9"/>
      <c r="C531" s="1140"/>
      <c r="D531" s="1140"/>
      <c r="E531" s="1140"/>
      <c r="F531" s="1140"/>
      <c r="G531" s="1140"/>
      <c r="H531" s="1141"/>
      <c r="I531" t="s">
        <v>686</v>
      </c>
      <c r="AC531" s="1121" t="s">
        <v>124</v>
      </c>
      <c r="AD531" s="1118"/>
      <c r="AE531" s="1118"/>
      <c r="AF531" s="1118"/>
      <c r="AG531" s="18" t="s">
        <v>248</v>
      </c>
      <c r="AH531" s="1147"/>
      <c r="AI531" s="1147"/>
      <c r="AJ531" s="1147"/>
      <c r="AK531" s="1148"/>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9"/>
      <c r="C532" s="1140"/>
      <c r="D532" s="1140"/>
      <c r="E532" s="1140"/>
      <c r="F532" s="1140"/>
      <c r="G532" s="1140"/>
      <c r="H532" s="1141"/>
      <c r="I532" s="54" t="s">
        <v>687</v>
      </c>
      <c r="J532" s="54"/>
      <c r="K532" s="54"/>
      <c r="L532" s="54"/>
      <c r="M532" s="54"/>
      <c r="N532" s="54"/>
      <c r="O532" s="54"/>
      <c r="P532" s="54"/>
      <c r="Q532" s="54"/>
      <c r="R532" s="54"/>
      <c r="S532" s="54"/>
      <c r="T532" s="54"/>
      <c r="U532" s="54"/>
      <c r="V532" s="54"/>
      <c r="W532" s="54"/>
      <c r="X532" s="54"/>
      <c r="Y532" s="54"/>
      <c r="Z532" s="54"/>
      <c r="AA532" s="54"/>
      <c r="AB532" s="54"/>
      <c r="AC532" s="1121" t="s">
        <v>124</v>
      </c>
      <c r="AD532" s="1118"/>
      <c r="AE532" s="1118"/>
      <c r="AF532" s="1118"/>
      <c r="AG532" s="47" t="s">
        <v>248</v>
      </c>
      <c r="AH532" s="1147"/>
      <c r="AI532" s="1147"/>
      <c r="AJ532" s="1147"/>
      <c r="AK532" s="1148"/>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9"/>
      <c r="C533" s="1140"/>
      <c r="D533" s="1140"/>
      <c r="E533" s="1140"/>
      <c r="F533" s="1140"/>
      <c r="G533" s="1140"/>
      <c r="H533" s="1141"/>
      <c r="I533" s="7" t="s">
        <v>735</v>
      </c>
      <c r="J533" s="7"/>
      <c r="K533" s="7"/>
      <c r="L533" s="7"/>
      <c r="M533" s="7"/>
      <c r="N533" s="7"/>
      <c r="O533" s="7"/>
      <c r="P533" s="7"/>
      <c r="Q533" s="7"/>
      <c r="R533" s="7"/>
      <c r="S533" s="7"/>
      <c r="T533" s="7"/>
      <c r="U533" s="7"/>
      <c r="V533" s="7"/>
      <c r="W533" s="7"/>
      <c r="AC533" s="1121">
        <v>3</v>
      </c>
      <c r="AD533" s="1118"/>
      <c r="AE533" s="1118"/>
      <c r="AF533" s="1118"/>
      <c r="AG533" s="47" t="s">
        <v>248</v>
      </c>
      <c r="AH533" s="1147">
        <v>2025</v>
      </c>
      <c r="AI533" s="1147"/>
      <c r="AJ533" s="1147"/>
      <c r="AK533" s="1148"/>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9"/>
      <c r="C534" s="1140"/>
      <c r="D534" s="1140"/>
      <c r="E534" s="1140"/>
      <c r="F534" s="1140"/>
      <c r="G534" s="1140"/>
      <c r="H534" s="1141"/>
      <c r="I534" t="s">
        <v>736</v>
      </c>
      <c r="AC534" s="1121">
        <v>1</v>
      </c>
      <c r="AD534" s="1118"/>
      <c r="AE534" s="1118"/>
      <c r="AF534" s="1118"/>
      <c r="AG534" s="18" t="s">
        <v>248</v>
      </c>
      <c r="AH534" s="1147">
        <v>2025</v>
      </c>
      <c r="AI534" s="1147"/>
      <c r="AJ534" s="1147"/>
      <c r="AK534" s="1148"/>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9"/>
      <c r="C535" s="1140"/>
      <c r="D535" s="1140"/>
      <c r="E535" s="1140"/>
      <c r="F535" s="1140"/>
      <c r="G535" s="1140"/>
      <c r="H535" s="1141"/>
      <c r="I535" t="s">
        <v>737</v>
      </c>
      <c r="AC535" s="1121">
        <v>1</v>
      </c>
      <c r="AD535" s="1118"/>
      <c r="AE535" s="1118"/>
      <c r="AF535" s="1118"/>
      <c r="AG535" s="47" t="s">
        <v>248</v>
      </c>
      <c r="AH535" s="1147">
        <v>2026</v>
      </c>
      <c r="AI535" s="1147"/>
      <c r="AJ535" s="1147"/>
      <c r="AK535" s="1148"/>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9"/>
      <c r="C536" s="1140"/>
      <c r="D536" s="1140"/>
      <c r="E536" s="1140"/>
      <c r="F536" s="1140"/>
      <c r="G536" s="1140"/>
      <c r="H536" s="1141"/>
      <c r="I536" t="s">
        <v>738</v>
      </c>
      <c r="AC536" s="1121">
        <v>1</v>
      </c>
      <c r="AD536" s="1118"/>
      <c r="AE536" s="1118"/>
      <c r="AF536" s="1118"/>
      <c r="AG536" s="47" t="s">
        <v>248</v>
      </c>
      <c r="AH536" s="1147">
        <v>2026</v>
      </c>
      <c r="AI536" s="1147"/>
      <c r="AJ536" s="1147"/>
      <c r="AK536" s="1148"/>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2"/>
      <c r="C537" s="1143"/>
      <c r="D537" s="1143"/>
      <c r="E537" s="1143"/>
      <c r="F537" s="1143"/>
      <c r="G537" s="1143"/>
      <c r="H537" s="1144"/>
      <c r="I537" s="54" t="s">
        <v>1365</v>
      </c>
      <c r="J537" s="54"/>
      <c r="K537" s="54"/>
      <c r="L537" s="54"/>
      <c r="M537" s="54"/>
      <c r="N537" s="54"/>
      <c r="O537" s="54"/>
      <c r="P537" s="54"/>
      <c r="Q537" s="54"/>
      <c r="R537" s="54"/>
      <c r="S537" s="54"/>
      <c r="T537" s="54"/>
      <c r="U537" s="54"/>
      <c r="V537" s="54"/>
      <c r="W537" s="54"/>
      <c r="X537" s="54"/>
      <c r="Y537" s="54"/>
      <c r="Z537" s="54"/>
      <c r="AA537" s="54"/>
      <c r="AB537" s="54"/>
      <c r="AC537" s="1121">
        <v>3</v>
      </c>
      <c r="AD537" s="1118"/>
      <c r="AE537" s="1118"/>
      <c r="AF537" s="1118"/>
      <c r="AG537" s="47" t="s">
        <v>248</v>
      </c>
      <c r="AH537" s="1147">
        <v>2026</v>
      </c>
      <c r="AI537" s="1147"/>
      <c r="AJ537" s="1147"/>
      <c r="AK537" s="1148"/>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6" t="s">
        <v>2194</v>
      </c>
      <c r="C546" s="1137"/>
      <c r="D546" s="1137"/>
      <c r="E546" s="1137"/>
      <c r="F546" s="1137"/>
      <c r="G546" s="1137"/>
      <c r="H546" s="1137"/>
      <c r="I546" s="1137"/>
      <c r="J546" s="1137"/>
      <c r="K546" s="1137"/>
      <c r="L546" s="1137"/>
      <c r="M546" s="1150" t="s">
        <v>2168</v>
      </c>
      <c r="N546" s="1150"/>
      <c r="O546" s="1150"/>
      <c r="P546" s="1150"/>
      <c r="Q546" s="1136" t="s">
        <v>440</v>
      </c>
      <c r="R546" s="1137"/>
      <c r="S546" s="1138"/>
      <c r="T546" s="1136" t="s">
        <v>1989</v>
      </c>
      <c r="U546" s="1137"/>
      <c r="V546" s="1138"/>
      <c r="W546" s="1136" t="s">
        <v>740</v>
      </c>
      <c r="X546" s="1137"/>
      <c r="Y546" s="1138"/>
      <c r="Z546" s="1136" t="s">
        <v>1991</v>
      </c>
      <c r="AA546" s="1137"/>
      <c r="AB546" s="1137"/>
      <c r="AC546" s="1137"/>
      <c r="AD546" s="1138"/>
      <c r="AE546" s="1136" t="s">
        <v>1990</v>
      </c>
      <c r="AF546" s="1137"/>
      <c r="AG546" s="1137"/>
      <c r="AH546" s="1138"/>
      <c r="AI546" s="1136" t="s">
        <v>1992</v>
      </c>
      <c r="AJ546" s="1137"/>
      <c r="AK546" s="1137"/>
      <c r="AL546" s="1138"/>
      <c r="AM546" s="1136" t="s">
        <v>741</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9"/>
      <c r="C547" s="1140"/>
      <c r="D547" s="1140"/>
      <c r="E547" s="1140"/>
      <c r="F547" s="1140"/>
      <c r="G547" s="1140"/>
      <c r="H547" s="1140"/>
      <c r="I547" s="1140"/>
      <c r="J547" s="1140"/>
      <c r="K547" s="1140"/>
      <c r="L547" s="1140"/>
      <c r="M547" s="1150"/>
      <c r="N547" s="1150"/>
      <c r="O547" s="1150"/>
      <c r="P547" s="1150"/>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2"/>
      <c r="C548" s="1143"/>
      <c r="D548" s="1143"/>
      <c r="E548" s="1143"/>
      <c r="F548" s="1143"/>
      <c r="G548" s="1143"/>
      <c r="H548" s="1143"/>
      <c r="I548" s="1143"/>
      <c r="J548" s="1143"/>
      <c r="K548" s="1143"/>
      <c r="L548" s="1143"/>
      <c r="M548" s="1150"/>
      <c r="N548" s="1150"/>
      <c r="O548" s="1150"/>
      <c r="P548" s="1150"/>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9" t="s">
        <v>2443</v>
      </c>
      <c r="D549" s="1099"/>
      <c r="E549" s="1099"/>
      <c r="F549" s="1099"/>
      <c r="G549" s="1099"/>
      <c r="H549" s="1099"/>
      <c r="I549" s="1099"/>
      <c r="J549" s="1099"/>
      <c r="K549" s="1099"/>
      <c r="L549" s="1099"/>
      <c r="M549" s="1098" t="s">
        <v>2178</v>
      </c>
      <c r="N549" s="1098"/>
      <c r="O549" s="1098"/>
      <c r="P549" s="1098"/>
      <c r="Q549" s="1104">
        <f>12+6</f>
        <v>18</v>
      </c>
      <c r="R549" s="1104"/>
      <c r="S549" s="1105"/>
      <c r="T549" s="1103"/>
      <c r="U549" s="1104"/>
      <c r="V549" s="1105"/>
      <c r="W549" s="1442">
        <f>[1]EVERYTHING!$I$22</f>
        <v>7.7499999999999999E-2</v>
      </c>
      <c r="X549" s="1443"/>
      <c r="Y549" s="1444"/>
      <c r="Z549" s="1445" t="s">
        <v>2365</v>
      </c>
      <c r="AA549" s="1445"/>
      <c r="AB549" s="1445"/>
      <c r="AC549" s="1445"/>
      <c r="AD549" s="1445"/>
      <c r="AE549" s="1446">
        <v>1</v>
      </c>
      <c r="AF549" s="1447"/>
      <c r="AG549" s="1447"/>
      <c r="AH549" s="1448"/>
      <c r="AI549" s="1439"/>
      <c r="AJ549" s="1440"/>
      <c r="AK549" s="1440"/>
      <c r="AL549" s="1441"/>
      <c r="AM549" s="1221">
        <f>[1]EVERYTHING!$H$22</f>
        <v>15106036.971548483</v>
      </c>
      <c r="AN549" s="1222"/>
      <c r="AO549" s="1222"/>
      <c r="AP549" s="1222"/>
      <c r="AQ549" s="1222"/>
      <c r="AR549" s="1222"/>
      <c r="AS549" s="122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9" t="s">
        <v>2360</v>
      </c>
      <c r="D550" s="1099"/>
      <c r="E550" s="1099"/>
      <c r="F550" s="1099"/>
      <c r="G550" s="1099"/>
      <c r="H550" s="1099"/>
      <c r="I550" s="1099"/>
      <c r="J550" s="1099"/>
      <c r="K550" s="1099"/>
      <c r="L550" s="1099"/>
      <c r="M550" s="1098" t="s">
        <v>2180</v>
      </c>
      <c r="N550" s="1098"/>
      <c r="O550" s="1098"/>
      <c r="P550" s="1098"/>
      <c r="Q550" s="1103">
        <v>660</v>
      </c>
      <c r="R550" s="1104"/>
      <c r="S550" s="1105"/>
      <c r="T550" s="1103"/>
      <c r="U550" s="1104"/>
      <c r="V550" s="1105"/>
      <c r="W550" s="1442">
        <v>0.03</v>
      </c>
      <c r="X550" s="1443"/>
      <c r="Y550" s="1444"/>
      <c r="Z550" s="1445" t="s">
        <v>2361</v>
      </c>
      <c r="AA550" s="1445"/>
      <c r="AB550" s="1445"/>
      <c r="AC550" s="1445"/>
      <c r="AD550" s="1445"/>
      <c r="AE550" s="1446">
        <v>2</v>
      </c>
      <c r="AF550" s="1447"/>
      <c r="AG550" s="1447"/>
      <c r="AH550" s="1448"/>
      <c r="AI550" s="1439"/>
      <c r="AJ550" s="1440"/>
      <c r="AK550" s="1440"/>
      <c r="AL550" s="1441"/>
      <c r="AM550" s="1221">
        <f>[1]EVERYTHING!$H$12</f>
        <v>17414328</v>
      </c>
      <c r="AN550" s="1222"/>
      <c r="AO550" s="1222"/>
      <c r="AP550" s="1222"/>
      <c r="AQ550" s="1222"/>
      <c r="AR550" s="1222"/>
      <c r="AS550" s="1223"/>
      <c r="AT550" s="946" t="str">
        <f>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9" t="s">
        <v>2359</v>
      </c>
      <c r="D551" s="1099"/>
      <c r="E551" s="1099"/>
      <c r="F551" s="1099"/>
      <c r="G551" s="1099"/>
      <c r="H551" s="1099"/>
      <c r="I551" s="1099"/>
      <c r="J551" s="1099"/>
      <c r="K551" s="1099"/>
      <c r="L551" s="1099"/>
      <c r="M551" s="1098" t="s">
        <v>2180</v>
      </c>
      <c r="N551" s="1098"/>
      <c r="O551" s="1098"/>
      <c r="P551" s="1098"/>
      <c r="Q551" s="1103">
        <v>660</v>
      </c>
      <c r="R551" s="1104"/>
      <c r="S551" s="1105"/>
      <c r="T551" s="1103"/>
      <c r="U551" s="1104"/>
      <c r="V551" s="1105"/>
      <c r="W551" s="1442">
        <v>0</v>
      </c>
      <c r="X551" s="1443"/>
      <c r="Y551" s="1444"/>
      <c r="Z551" s="1445" t="s">
        <v>2361</v>
      </c>
      <c r="AA551" s="1445"/>
      <c r="AB551" s="1445"/>
      <c r="AC551" s="1445"/>
      <c r="AD551" s="1445"/>
      <c r="AE551" s="1446">
        <v>3</v>
      </c>
      <c r="AF551" s="1447"/>
      <c r="AG551" s="1447"/>
      <c r="AH551" s="1448"/>
      <c r="AI551" s="1439"/>
      <c r="AJ551" s="1440"/>
      <c r="AK551" s="1440"/>
      <c r="AL551" s="1441"/>
      <c r="AM551" s="1221">
        <f>[1]EVERYTHING!$H$11</f>
        <v>2600000</v>
      </c>
      <c r="AN551" s="1222"/>
      <c r="AO551" s="1222"/>
      <c r="AP551" s="1222"/>
      <c r="AQ551" s="1222"/>
      <c r="AR551" s="1222"/>
      <c r="AS551" s="1223"/>
      <c r="AT551" s="946"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9" t="s">
        <v>2348</v>
      </c>
      <c r="D552" s="1099"/>
      <c r="E552" s="1099"/>
      <c r="F552" s="1099"/>
      <c r="G552" s="1099"/>
      <c r="H552" s="1099"/>
      <c r="I552" s="1099"/>
      <c r="J552" s="1099"/>
      <c r="K552" s="1099"/>
      <c r="L552" s="1099"/>
      <c r="M552" s="1098" t="s">
        <v>2180</v>
      </c>
      <c r="N552" s="1098"/>
      <c r="O552" s="1098"/>
      <c r="P552" s="1098"/>
      <c r="Q552" s="1103">
        <v>660</v>
      </c>
      <c r="R552" s="1104"/>
      <c r="S552" s="1105"/>
      <c r="T552" s="1103"/>
      <c r="U552" s="1104"/>
      <c r="V552" s="1105"/>
      <c r="W552" s="1442">
        <v>0</v>
      </c>
      <c r="X552" s="1443"/>
      <c r="Y552" s="1444"/>
      <c r="Z552" s="1445" t="s">
        <v>2361</v>
      </c>
      <c r="AA552" s="1445"/>
      <c r="AB552" s="1445"/>
      <c r="AC552" s="1445"/>
      <c r="AD552" s="1445"/>
      <c r="AE552" s="1446">
        <v>4</v>
      </c>
      <c r="AF552" s="1447"/>
      <c r="AG552" s="1447"/>
      <c r="AH552" s="1448"/>
      <c r="AI552" s="1439"/>
      <c r="AJ552" s="1440"/>
      <c r="AK552" s="1440"/>
      <c r="AL552" s="1441"/>
      <c r="AM552" s="1221">
        <f>[1]EVERYTHING!$H$8</f>
        <v>400000</v>
      </c>
      <c r="AN552" s="1222"/>
      <c r="AO552" s="1222"/>
      <c r="AP552" s="1222"/>
      <c r="AQ552" s="1222"/>
      <c r="AR552" s="1222"/>
      <c r="AS552" s="1223"/>
      <c r="AT552" s="946" t="str">
        <f>IF(AND(NOT(C551=""),C552="",NOT(C553="")),"!","")</f>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9" t="s">
        <v>2367</v>
      </c>
      <c r="D553" s="1099"/>
      <c r="E553" s="1099"/>
      <c r="F553" s="1099"/>
      <c r="G553" s="1099"/>
      <c r="H553" s="1099"/>
      <c r="I553" s="1099"/>
      <c r="J553" s="1099"/>
      <c r="K553" s="1099"/>
      <c r="L553" s="1099"/>
      <c r="M553" s="1098" t="s">
        <v>2175</v>
      </c>
      <c r="N553" s="1098"/>
      <c r="O553" s="1098"/>
      <c r="P553" s="1098"/>
      <c r="Q553" s="1103"/>
      <c r="R553" s="1104"/>
      <c r="S553" s="1105"/>
      <c r="T553" s="1103"/>
      <c r="U553" s="1104"/>
      <c r="V553" s="1105"/>
      <c r="W553" s="1442"/>
      <c r="X553" s="1443"/>
      <c r="Y553" s="1444"/>
      <c r="Z553" s="1445"/>
      <c r="AA553" s="1445"/>
      <c r="AB553" s="1445"/>
      <c r="AC553" s="1445"/>
      <c r="AD553" s="1445"/>
      <c r="AE553" s="1446"/>
      <c r="AF553" s="1447"/>
      <c r="AG553" s="1447"/>
      <c r="AH553" s="1448"/>
      <c r="AI553" s="1439"/>
      <c r="AJ553" s="1440"/>
      <c r="AK553" s="1440"/>
      <c r="AL553" s="1441"/>
      <c r="AM553" s="1221">
        <f>[1]EVERYTHING!$L$17</f>
        <v>1998419.1533761681</v>
      </c>
      <c r="AN553" s="1222"/>
      <c r="AO553" s="1222"/>
      <c r="AP553" s="1222"/>
      <c r="AQ553" s="1222"/>
      <c r="AR553" s="1222"/>
      <c r="AS553" s="1223"/>
      <c r="AT553" s="946" t="str">
        <f>IF(AND(NOT(C552=""),C553="",NOT(C554="")),"!","")</f>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9" t="s">
        <v>2456</v>
      </c>
      <c r="D554" s="1099"/>
      <c r="E554" s="1099"/>
      <c r="F554" s="1099"/>
      <c r="G554" s="1099"/>
      <c r="H554" s="1099"/>
      <c r="I554" s="1099"/>
      <c r="J554" s="1099"/>
      <c r="K554" s="1099"/>
      <c r="L554" s="1099"/>
      <c r="M554" s="1098" t="s">
        <v>2180</v>
      </c>
      <c r="N554" s="1098"/>
      <c r="O554" s="1098"/>
      <c r="P554" s="1098"/>
      <c r="Q554" s="1103">
        <v>660</v>
      </c>
      <c r="R554" s="1104"/>
      <c r="S554" s="1105"/>
      <c r="T554" s="1103"/>
      <c r="U554" s="1104"/>
      <c r="V554" s="1105"/>
      <c r="W554" s="1442">
        <v>0</v>
      </c>
      <c r="X554" s="1443"/>
      <c r="Y554" s="1444"/>
      <c r="Z554" s="1445" t="s">
        <v>2361</v>
      </c>
      <c r="AA554" s="1445"/>
      <c r="AB554" s="1445"/>
      <c r="AC554" s="1445"/>
      <c r="AD554" s="1445"/>
      <c r="AE554" s="1446">
        <v>5</v>
      </c>
      <c r="AF554" s="1447"/>
      <c r="AG554" s="1447"/>
      <c r="AH554" s="1448"/>
      <c r="AI554" s="1439"/>
      <c r="AJ554" s="1440"/>
      <c r="AK554" s="1440"/>
      <c r="AL554" s="1441"/>
      <c r="AM554" s="1221">
        <f>[1]EVERYTHING!$H$9</f>
        <v>800000</v>
      </c>
      <c r="AN554" s="1222"/>
      <c r="AO554" s="1222"/>
      <c r="AP554" s="1222"/>
      <c r="AQ554" s="1222"/>
      <c r="AR554" s="1222"/>
      <c r="AS554" s="122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9" t="s">
        <v>2366</v>
      </c>
      <c r="D555" s="1099"/>
      <c r="E555" s="1099"/>
      <c r="F555" s="1099"/>
      <c r="G555" s="1099"/>
      <c r="H555" s="1099"/>
      <c r="I555" s="1099"/>
      <c r="J555" s="1099"/>
      <c r="K555" s="1099"/>
      <c r="L555" s="1099"/>
      <c r="M555" s="1098" t="s">
        <v>2174</v>
      </c>
      <c r="N555" s="1098"/>
      <c r="O555" s="1098"/>
      <c r="P555" s="1098"/>
      <c r="Q555" s="1103"/>
      <c r="R555" s="1104"/>
      <c r="S555" s="1105"/>
      <c r="T555" s="1103"/>
      <c r="U555" s="1104"/>
      <c r="V555" s="1105"/>
      <c r="W555" s="1442"/>
      <c r="X555" s="1443"/>
      <c r="Y555" s="1444"/>
      <c r="Z555" s="1445"/>
      <c r="AA555" s="1445"/>
      <c r="AB555" s="1445"/>
      <c r="AC555" s="1445"/>
      <c r="AD555" s="1445"/>
      <c r="AE555" s="1446"/>
      <c r="AF555" s="1447"/>
      <c r="AG555" s="1447"/>
      <c r="AH555" s="1448"/>
      <c r="AI555" s="1439"/>
      <c r="AJ555" s="1440"/>
      <c r="AK555" s="1440"/>
      <c r="AL555" s="1441"/>
      <c r="AM555" s="1221">
        <f>[1]EVERYTHING!$H$16</f>
        <v>1000</v>
      </c>
      <c r="AN555" s="1222"/>
      <c r="AO555" s="1222"/>
      <c r="AP555" s="1222"/>
      <c r="AQ555" s="1222"/>
      <c r="AR555" s="1222"/>
      <c r="AS555" s="1223"/>
      <c r="AT555" s="946" t="str">
        <f t="shared" ref="AT555:AT560" si="0">IF(AND(NOT(C554=""),C555="",NOT(C556="")),"!","")</f>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9" t="s">
        <v>2454</v>
      </c>
      <c r="D556" s="1099"/>
      <c r="E556" s="1099"/>
      <c r="F556" s="1099"/>
      <c r="G556" s="1099"/>
      <c r="H556" s="1099"/>
      <c r="I556" s="1099"/>
      <c r="J556" s="1099"/>
      <c r="K556" s="1099"/>
      <c r="L556" s="1099"/>
      <c r="M556" s="1098" t="s">
        <v>1977</v>
      </c>
      <c r="N556" s="1098"/>
      <c r="O556" s="1098"/>
      <c r="P556" s="1098"/>
      <c r="Q556" s="1103"/>
      <c r="R556" s="1104"/>
      <c r="S556" s="1105"/>
      <c r="T556" s="1103"/>
      <c r="U556" s="1104"/>
      <c r="V556" s="1105"/>
      <c r="W556" s="1442"/>
      <c r="X556" s="1443"/>
      <c r="Y556" s="1444"/>
      <c r="Z556" s="1445" t="s">
        <v>1977</v>
      </c>
      <c r="AA556" s="1445"/>
      <c r="AB556" s="1445"/>
      <c r="AC556" s="1445"/>
      <c r="AD556" s="1445"/>
      <c r="AE556" s="1446"/>
      <c r="AF556" s="1447"/>
      <c r="AG556" s="1447"/>
      <c r="AH556" s="1448"/>
      <c r="AI556" s="1439"/>
      <c r="AJ556" s="1440"/>
      <c r="AK556" s="1440"/>
      <c r="AL556" s="1441"/>
      <c r="AM556" s="1221">
        <v>2854736</v>
      </c>
      <c r="AN556" s="1222"/>
      <c r="AO556" s="1222"/>
      <c r="AP556" s="1222"/>
      <c r="AQ556" s="1222"/>
      <c r="AR556" s="1222"/>
      <c r="AS556" s="122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9"/>
      <c r="D557" s="1099"/>
      <c r="E557" s="1099"/>
      <c r="F557" s="1099"/>
      <c r="G557" s="1099"/>
      <c r="H557" s="1099"/>
      <c r="I557" s="1099"/>
      <c r="J557" s="1099"/>
      <c r="K557" s="1099"/>
      <c r="L557" s="1099"/>
      <c r="M557" s="1098" t="s">
        <v>1977</v>
      </c>
      <c r="N557" s="1098"/>
      <c r="O557" s="1098"/>
      <c r="P557" s="1098"/>
      <c r="Q557" s="1103"/>
      <c r="R557" s="1104"/>
      <c r="S557" s="1105"/>
      <c r="T557" s="1103"/>
      <c r="U557" s="1104"/>
      <c r="V557" s="1105"/>
      <c r="W557" s="1442"/>
      <c r="X557" s="1443"/>
      <c r="Y557" s="1444"/>
      <c r="Z557" s="1445" t="s">
        <v>1977</v>
      </c>
      <c r="AA557" s="1445"/>
      <c r="AB557" s="1445"/>
      <c r="AC557" s="1445"/>
      <c r="AD557" s="1445"/>
      <c r="AE557" s="1446"/>
      <c r="AF557" s="1447"/>
      <c r="AG557" s="1447"/>
      <c r="AH557" s="1448"/>
      <c r="AI557" s="1439"/>
      <c r="AJ557" s="1440"/>
      <c r="AK557" s="1440"/>
      <c r="AL557" s="1441"/>
      <c r="AM557" s="1221"/>
      <c r="AN557" s="1222"/>
      <c r="AO557" s="1222"/>
      <c r="AP557" s="1222"/>
      <c r="AQ557" s="1222"/>
      <c r="AR557" s="1222"/>
      <c r="AS557" s="122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9"/>
      <c r="D558" s="1099"/>
      <c r="E558" s="1099"/>
      <c r="F558" s="1099"/>
      <c r="G558" s="1099"/>
      <c r="H558" s="1099"/>
      <c r="I558" s="1099"/>
      <c r="J558" s="1099"/>
      <c r="K558" s="1099"/>
      <c r="L558" s="1099"/>
      <c r="M558" s="1098" t="s">
        <v>1977</v>
      </c>
      <c r="N558" s="1098"/>
      <c r="O558" s="1098"/>
      <c r="P558" s="1098"/>
      <c r="Q558" s="1103"/>
      <c r="R558" s="1104"/>
      <c r="S558" s="1105"/>
      <c r="T558" s="1103"/>
      <c r="U558" s="1104"/>
      <c r="V558" s="1105"/>
      <c r="W558" s="1442"/>
      <c r="X558" s="1443"/>
      <c r="Y558" s="1444"/>
      <c r="Z558" s="1445" t="s">
        <v>1977</v>
      </c>
      <c r="AA558" s="1445"/>
      <c r="AB558" s="1445"/>
      <c r="AC558" s="1445"/>
      <c r="AD558" s="1445"/>
      <c r="AE558" s="1446"/>
      <c r="AF558" s="1447"/>
      <c r="AG558" s="1447"/>
      <c r="AH558" s="1448"/>
      <c r="AI558" s="1439"/>
      <c r="AJ558" s="1440"/>
      <c r="AK558" s="1440"/>
      <c r="AL558" s="1441"/>
      <c r="AM558" s="1221"/>
      <c r="AN558" s="1222"/>
      <c r="AO558" s="1222"/>
      <c r="AP558" s="1222"/>
      <c r="AQ558" s="1222"/>
      <c r="AR558" s="1222"/>
      <c r="AS558" s="122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1977</v>
      </c>
      <c r="N559" s="1098"/>
      <c r="O559" s="1098"/>
      <c r="P559" s="1098"/>
      <c r="Q559" s="1103"/>
      <c r="R559" s="1104"/>
      <c r="S559" s="1105"/>
      <c r="T559" s="1103"/>
      <c r="U559" s="1104"/>
      <c r="V559" s="1105"/>
      <c r="W559" s="1442"/>
      <c r="X559" s="1443"/>
      <c r="Y559" s="1444"/>
      <c r="Z559" s="1445" t="s">
        <v>1977</v>
      </c>
      <c r="AA559" s="1445"/>
      <c r="AB559" s="1445"/>
      <c r="AC559" s="1445"/>
      <c r="AD559" s="1445"/>
      <c r="AE559" s="1446"/>
      <c r="AF559" s="1447"/>
      <c r="AG559" s="1447"/>
      <c r="AH559" s="1448"/>
      <c r="AI559" s="1439"/>
      <c r="AJ559" s="1440"/>
      <c r="AK559" s="1440"/>
      <c r="AL559" s="1441"/>
      <c r="AM559" s="1221"/>
      <c r="AN559" s="1222"/>
      <c r="AO559" s="1222"/>
      <c r="AP559" s="1222"/>
      <c r="AQ559" s="1222"/>
      <c r="AR559" s="1222"/>
      <c r="AS559" s="122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1977</v>
      </c>
      <c r="N560" s="1098"/>
      <c r="O560" s="1098"/>
      <c r="P560" s="1098"/>
      <c r="Q560" s="1103"/>
      <c r="R560" s="1104"/>
      <c r="S560" s="1105"/>
      <c r="T560" s="1103"/>
      <c r="U560" s="1104"/>
      <c r="V560" s="1105"/>
      <c r="W560" s="1442"/>
      <c r="X560" s="1443"/>
      <c r="Y560" s="1444"/>
      <c r="Z560" s="1445" t="s">
        <v>1977</v>
      </c>
      <c r="AA560" s="1445"/>
      <c r="AB560" s="1445"/>
      <c r="AC560" s="1445"/>
      <c r="AD560" s="1445"/>
      <c r="AE560" s="1446"/>
      <c r="AF560" s="1447"/>
      <c r="AG560" s="1447"/>
      <c r="AH560" s="1448"/>
      <c r="AI560" s="1439"/>
      <c r="AJ560" s="1440"/>
      <c r="AK560" s="1440"/>
      <c r="AL560" s="1441"/>
      <c r="AM560" s="1221"/>
      <c r="AN560" s="1222"/>
      <c r="AO560" s="1222"/>
      <c r="AP560" s="1222"/>
      <c r="AQ560" s="1222"/>
      <c r="AR560" s="1222"/>
      <c r="AS560" s="122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6" t="s">
        <v>357</v>
      </c>
      <c r="C561" s="1107"/>
      <c r="D561" s="1107"/>
      <c r="E561" s="1107"/>
      <c r="F561" s="1107"/>
      <c r="G561" s="1107"/>
      <c r="H561" s="1107"/>
      <c r="I561" s="1107"/>
      <c r="J561" s="1107"/>
      <c r="K561" s="1107"/>
      <c r="L561" s="1107"/>
      <c r="M561" s="1107"/>
      <c r="N561" s="1107"/>
      <c r="O561" s="1107"/>
      <c r="P561" s="1107"/>
      <c r="Q561" s="1107"/>
      <c r="R561" s="1107"/>
      <c r="S561" s="1107"/>
      <c r="T561" s="1107"/>
      <c r="U561" s="1108"/>
      <c r="V561" s="1107"/>
      <c r="W561" s="1107"/>
      <c r="X561" s="1107"/>
      <c r="Y561" s="1107"/>
      <c r="Z561" s="1107"/>
      <c r="AA561" s="1107"/>
      <c r="AB561" s="1107"/>
      <c r="AC561" s="1107"/>
      <c r="AD561" s="1107"/>
      <c r="AE561" s="1107"/>
      <c r="AF561" s="1107"/>
      <c r="AG561" s="1107"/>
      <c r="AH561" s="1107"/>
      <c r="AI561" s="1107"/>
      <c r="AJ561" s="1107"/>
      <c r="AK561" s="1107"/>
      <c r="AL561" s="1109"/>
      <c r="AM561" s="1232">
        <f>SUM(AM549:AS560)</f>
        <v>41174520.124924652</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90" t="str">
        <f>C549</f>
        <v>Construction Loan - Banc of CA</v>
      </c>
      <c r="H563" s="1190"/>
      <c r="I563" s="1190"/>
      <c r="J563" s="1190"/>
      <c r="K563" s="1190"/>
      <c r="L563" s="1190"/>
      <c r="M563" s="1190"/>
      <c r="N563" s="1190"/>
      <c r="O563" s="1190"/>
      <c r="P563" s="1190"/>
      <c r="Q563" s="1190"/>
      <c r="R563" s="1190"/>
      <c r="S563" s="12"/>
      <c r="T563" s="61" t="s">
        <v>901</v>
      </c>
      <c r="U563" t="s">
        <v>82</v>
      </c>
      <c r="Z563" s="1190" t="str">
        <f>C550</f>
        <v>HCD-Homekey</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2396</v>
      </c>
      <c r="H564" s="1056"/>
      <c r="I564" s="1056"/>
      <c r="J564" s="1056"/>
      <c r="K564" s="1056"/>
      <c r="L564" s="1056"/>
      <c r="M564" s="1056"/>
      <c r="N564" s="1056"/>
      <c r="O564" s="1056"/>
      <c r="P564" s="1056"/>
      <c r="Q564" s="1056"/>
      <c r="R564" s="1056"/>
      <c r="S564" s="12"/>
      <c r="T564" s="4"/>
      <c r="U564" t="s">
        <v>372</v>
      </c>
      <c r="Z564" s="1056" t="s">
        <v>2447</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116</v>
      </c>
      <c r="H565" s="1056"/>
      <c r="I565" s="1056"/>
      <c r="J565" s="1056"/>
      <c r="K565" s="1056"/>
      <c r="L565" s="1056"/>
      <c r="M565" s="1056"/>
      <c r="N565" s="1056"/>
      <c r="O565" s="1056"/>
      <c r="P565" s="1056"/>
      <c r="Q565" s="1056"/>
      <c r="R565" s="1056"/>
      <c r="T565" s="4"/>
      <c r="U565" t="s">
        <v>430</v>
      </c>
      <c r="Z565" s="1054" t="s">
        <v>110</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2398</v>
      </c>
      <c r="H566" s="1056"/>
      <c r="I566" s="1056"/>
      <c r="J566" s="1056"/>
      <c r="K566" s="1056"/>
      <c r="L566" s="1056"/>
      <c r="M566" s="1056"/>
      <c r="N566" s="1056"/>
      <c r="O566" s="1056"/>
      <c r="P566" s="1056"/>
      <c r="Q566" s="1056"/>
      <c r="R566" s="1056"/>
      <c r="S566" s="12"/>
      <c r="T566" s="4"/>
      <c r="U566" t="s">
        <v>833</v>
      </c>
      <c r="Z566" s="1054" t="s">
        <v>2448</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321" t="s">
        <v>2442</v>
      </c>
      <c r="H567" s="1059"/>
      <c r="I567" s="1059"/>
      <c r="J567" s="1059"/>
      <c r="K567" s="1059"/>
      <c r="L567" s="1059"/>
      <c r="O567" s="42" t="s">
        <v>818</v>
      </c>
      <c r="P567" s="1320"/>
      <c r="Q567" s="1320"/>
      <c r="R567" s="1320"/>
      <c r="S567" s="14"/>
      <c r="T567" s="4"/>
      <c r="U567" t="s">
        <v>650</v>
      </c>
      <c r="Z567" s="1321" t="s">
        <v>2449</v>
      </c>
      <c r="AA567" s="1059"/>
      <c r="AB567" s="1059"/>
      <c r="AC567" s="1059"/>
      <c r="AD567" s="1059"/>
      <c r="AE567" s="1059"/>
      <c r="AH567" s="42" t="s">
        <v>818</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2364</v>
      </c>
      <c r="I568" s="1056"/>
      <c r="J568" s="1056"/>
      <c r="K568" s="1056"/>
      <c r="L568" s="1056"/>
      <c r="M568" s="1056"/>
      <c r="N568" s="1056"/>
      <c r="O568" s="1056"/>
      <c r="P568" s="1056"/>
      <c r="Q568" s="1056"/>
      <c r="R568" s="1056"/>
      <c r="S568" s="12"/>
      <c r="T568" s="4"/>
      <c r="U568" t="s">
        <v>834</v>
      </c>
      <c r="AA568" s="1056" t="s">
        <v>2446</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20" t="s">
        <v>108</v>
      </c>
      <c r="O569" s="1120"/>
      <c r="T569" s="4"/>
      <c r="U569" t="s">
        <v>836</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90" t="str">
        <f>C551</f>
        <v>County of San Luis Obispo</v>
      </c>
      <c r="H571" s="1190"/>
      <c r="I571" s="1190"/>
      <c r="J571" s="1190"/>
      <c r="K571" s="1190"/>
      <c r="L571" s="1190"/>
      <c r="M571" s="1190"/>
      <c r="N571" s="1190"/>
      <c r="O571" s="1190"/>
      <c r="P571" s="1190"/>
      <c r="Q571" s="1190"/>
      <c r="R571" s="1190"/>
      <c r="T571" s="61" t="s">
        <v>431</v>
      </c>
      <c r="U571" t="s">
        <v>82</v>
      </c>
      <c r="Z571" s="1190" t="str">
        <f>C552</f>
        <v>City of San Luis Obispo</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2458</v>
      </c>
      <c r="H572" s="1056"/>
      <c r="I572" s="1056"/>
      <c r="J572" s="1056"/>
      <c r="K572" s="1056"/>
      <c r="L572" s="1056"/>
      <c r="M572" s="1056"/>
      <c r="N572" s="1056"/>
      <c r="O572" s="1056"/>
      <c r="P572" s="1056"/>
      <c r="Q572" s="1056"/>
      <c r="R572" s="1056"/>
      <c r="T572" s="4"/>
      <c r="U572" t="s">
        <v>372</v>
      </c>
      <c r="Z572" s="1056" t="s">
        <v>2450</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116</v>
      </c>
      <c r="H573" s="1054"/>
      <c r="I573" s="1054"/>
      <c r="J573" s="1054"/>
      <c r="K573" s="1054"/>
      <c r="L573" s="1054"/>
      <c r="M573" s="1054"/>
      <c r="N573" s="1054"/>
      <c r="O573" s="1054"/>
      <c r="P573" s="1054"/>
      <c r="Q573" s="1054"/>
      <c r="R573" s="1054"/>
      <c r="T573" s="4"/>
      <c r="U573" t="s">
        <v>430</v>
      </c>
      <c r="Z573" s="1054" t="s">
        <v>116</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2444</v>
      </c>
      <c r="H574" s="1054"/>
      <c r="I574" s="1054"/>
      <c r="J574" s="1054"/>
      <c r="K574" s="1054"/>
      <c r="L574" s="1054"/>
      <c r="M574" s="1054"/>
      <c r="N574" s="1054"/>
      <c r="O574" s="1054"/>
      <c r="P574" s="1054"/>
      <c r="Q574" s="1054"/>
      <c r="R574" s="1054"/>
      <c r="T574" s="4"/>
      <c r="U574" t="s">
        <v>833</v>
      </c>
      <c r="Z574" s="1054" t="s">
        <v>2451</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321" t="s">
        <v>2445</v>
      </c>
      <c r="H575" s="1059"/>
      <c r="I575" s="1059"/>
      <c r="J575" s="1059"/>
      <c r="K575" s="1059"/>
      <c r="L575" s="1059"/>
      <c r="O575" s="42" t="s">
        <v>818</v>
      </c>
      <c r="P575" s="1320"/>
      <c r="Q575" s="1320"/>
      <c r="R575" s="1320"/>
      <c r="T575" s="4"/>
      <c r="U575" t="s">
        <v>650</v>
      </c>
      <c r="Z575" s="1321" t="s">
        <v>2452</v>
      </c>
      <c r="AA575" s="1059"/>
      <c r="AB575" s="1059"/>
      <c r="AC575" s="1059"/>
      <c r="AD575" s="1059"/>
      <c r="AE575" s="1059"/>
      <c r="AH575" s="42" t="s">
        <v>818</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2446</v>
      </c>
      <c r="I576" s="1056"/>
      <c r="J576" s="1056"/>
      <c r="K576" s="1056"/>
      <c r="L576" s="1056"/>
      <c r="M576" s="1056"/>
      <c r="N576" s="1056"/>
      <c r="O576" s="1056"/>
      <c r="P576" s="1056"/>
      <c r="Q576" s="1056"/>
      <c r="R576" s="1056"/>
      <c r="T576" s="4"/>
      <c r="U576" t="s">
        <v>834</v>
      </c>
      <c r="AA576" s="1056" t="s">
        <v>2446</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7" t="s">
        <v>108</v>
      </c>
      <c r="O577" s="1147"/>
      <c r="T577" s="4"/>
      <c r="U577" t="s">
        <v>836</v>
      </c>
      <c r="AG577" s="1147" t="s">
        <v>482</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0" t="str">
        <f>C553</f>
        <v>LP Equity</v>
      </c>
      <c r="H579" s="1190"/>
      <c r="I579" s="1190"/>
      <c r="J579" s="1190"/>
      <c r="K579" s="1190"/>
      <c r="L579" s="1190"/>
      <c r="M579" s="1190"/>
      <c r="N579" s="1190"/>
      <c r="O579" s="1190"/>
      <c r="P579" s="1190"/>
      <c r="Q579" s="1190"/>
      <c r="R579" s="1190"/>
      <c r="T579" s="61" t="s">
        <v>434</v>
      </c>
      <c r="U579" t="s">
        <v>82</v>
      </c>
      <c r="Z579" s="1190" t="str">
        <f>C554</f>
        <v>Sponsor Loan - PSHHC - Balayko</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t="s">
        <v>2388</v>
      </c>
      <c r="H580" s="1056"/>
      <c r="I580" s="1056"/>
      <c r="J580" s="1056"/>
      <c r="K580" s="1056"/>
      <c r="L580" s="1056"/>
      <c r="M580" s="1056"/>
      <c r="N580" s="1056"/>
      <c r="O580" s="1056"/>
      <c r="P580" s="1056"/>
      <c r="Q580" s="1056"/>
      <c r="R580" s="1056"/>
      <c r="T580" s="4"/>
      <c r="U580" t="s">
        <v>372</v>
      </c>
      <c r="Z580" s="1056" t="s">
        <v>2327</v>
      </c>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t="s">
        <v>116</v>
      </c>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t="s">
        <v>2388</v>
      </c>
      <c r="H582" s="1056"/>
      <c r="I582" s="1056"/>
      <c r="J582" s="1056"/>
      <c r="K582" s="1056"/>
      <c r="L582" s="1056"/>
      <c r="M582" s="1056"/>
      <c r="N582" s="1056"/>
      <c r="O582" s="1056"/>
      <c r="P582" s="1056"/>
      <c r="Q582" s="1056"/>
      <c r="R582" s="1056"/>
      <c r="T582" s="4"/>
      <c r="U582" t="s">
        <v>833</v>
      </c>
      <c r="Z582" s="1054" t="s">
        <v>2323</v>
      </c>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9"/>
      <c r="H583" s="1059"/>
      <c r="I583" s="1059"/>
      <c r="J583" s="1059"/>
      <c r="K583" s="1059"/>
      <c r="L583" s="1059"/>
      <c r="O583" s="42" t="s">
        <v>818</v>
      </c>
      <c r="P583" s="1320"/>
      <c r="Q583" s="1320"/>
      <c r="R583" s="1320"/>
      <c r="T583" s="4"/>
      <c r="U583" t="s">
        <v>650</v>
      </c>
      <c r="Z583" s="1321" t="s">
        <v>2329</v>
      </c>
      <c r="AA583" s="1059"/>
      <c r="AB583" s="1059"/>
      <c r="AC583" s="1059"/>
      <c r="AD583" s="1059"/>
      <c r="AE583" s="1059"/>
      <c r="AH583" s="42" t="s">
        <v>818</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t="s">
        <v>2453</v>
      </c>
      <c r="I584" s="1056"/>
      <c r="J584" s="1056"/>
      <c r="K584" s="1056"/>
      <c r="L584" s="1056"/>
      <c r="M584" s="1056"/>
      <c r="N584" s="1056"/>
      <c r="O584" s="1056"/>
      <c r="P584" s="1056"/>
      <c r="Q584" s="1056"/>
      <c r="R584" s="1056"/>
      <c r="T584" s="4"/>
      <c r="U584" t="s">
        <v>834</v>
      </c>
      <c r="AA584" s="1056" t="s">
        <v>2446</v>
      </c>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7" t="s">
        <v>482</v>
      </c>
      <c r="O585" s="1147"/>
      <c r="T585" s="4"/>
      <c r="U585" t="s">
        <v>836</v>
      </c>
      <c r="AG585" s="1147" t="s">
        <v>108</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90" t="str">
        <f>C555</f>
        <v>GP Equity</v>
      </c>
      <c r="H587" s="1190"/>
      <c r="I587" s="1190"/>
      <c r="J587" s="1190"/>
      <c r="K587" s="1190"/>
      <c r="L587" s="1190"/>
      <c r="M587" s="1190"/>
      <c r="N587" s="1190"/>
      <c r="O587" s="1190"/>
      <c r="P587" s="1190"/>
      <c r="Q587" s="1190"/>
      <c r="R587" s="1190"/>
      <c r="T587" s="61" t="s">
        <v>743</v>
      </c>
      <c r="U587" t="s">
        <v>82</v>
      </c>
      <c r="Z587" s="1190" t="str">
        <f>C556</f>
        <v>Costs Deferred to Conversion</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t="s">
        <v>2327</v>
      </c>
      <c r="H588" s="1056"/>
      <c r="I588" s="1056"/>
      <c r="J588" s="1056"/>
      <c r="K588" s="1056"/>
      <c r="L588" s="1056"/>
      <c r="M588" s="1056"/>
      <c r="N588" s="1056"/>
      <c r="O588" s="1056"/>
      <c r="P588" s="1056"/>
      <c r="Q588" s="1056"/>
      <c r="R588" s="1056"/>
      <c r="T588" s="4"/>
      <c r="U588" t="s">
        <v>372</v>
      </c>
      <c r="Z588" s="1056" t="s">
        <v>2327</v>
      </c>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t="s">
        <v>116</v>
      </c>
      <c r="H589" s="1056"/>
      <c r="I589" s="1056"/>
      <c r="J589" s="1056"/>
      <c r="K589" s="1056"/>
      <c r="L589" s="1056"/>
      <c r="M589" s="1056"/>
      <c r="N589" s="1056"/>
      <c r="O589" s="1056"/>
      <c r="P589" s="1056"/>
      <c r="Q589" s="1056"/>
      <c r="R589" s="1056"/>
      <c r="S589"/>
      <c r="T589" s="4"/>
      <c r="U589" t="s">
        <v>430</v>
      </c>
      <c r="V589"/>
      <c r="W589"/>
      <c r="X589"/>
      <c r="Y589"/>
      <c r="Z589" s="1054" t="s">
        <v>116</v>
      </c>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t="s">
        <v>2323</v>
      </c>
      <c r="H590" s="1056"/>
      <c r="I590" s="1056"/>
      <c r="J590" s="1056"/>
      <c r="K590" s="1056"/>
      <c r="L590" s="1056"/>
      <c r="M590" s="1056"/>
      <c r="N590" s="1056"/>
      <c r="O590" s="1056"/>
      <c r="P590" s="1056"/>
      <c r="Q590" s="1056"/>
      <c r="R590" s="1056"/>
      <c r="S590"/>
      <c r="T590" s="4"/>
      <c r="U590" t="s">
        <v>833</v>
      </c>
      <c r="V590"/>
      <c r="W590"/>
      <c r="X590"/>
      <c r="Y590"/>
      <c r="Z590" s="1054" t="s">
        <v>2323</v>
      </c>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9" t="s">
        <v>2329</v>
      </c>
      <c r="H591" s="1059"/>
      <c r="I591" s="1059"/>
      <c r="J591" s="1059"/>
      <c r="K591" s="1059"/>
      <c r="L591" s="1059"/>
      <c r="M591"/>
      <c r="N591"/>
      <c r="O591" s="42" t="s">
        <v>818</v>
      </c>
      <c r="P591" s="1320"/>
      <c r="Q591" s="1320"/>
      <c r="R591" s="1320"/>
      <c r="S591"/>
      <c r="T591" s="4"/>
      <c r="U591" t="s">
        <v>650</v>
      </c>
      <c r="V591"/>
      <c r="W591"/>
      <c r="X591"/>
      <c r="Y591"/>
      <c r="Z591" s="1059" t="s">
        <v>2329</v>
      </c>
      <c r="AA591" s="1059"/>
      <c r="AB591" s="1059"/>
      <c r="AC591" s="1059"/>
      <c r="AD591" s="1059"/>
      <c r="AE591" s="1059"/>
      <c r="AF591"/>
      <c r="AG591"/>
      <c r="AH591" s="42" t="s">
        <v>818</v>
      </c>
      <c r="AI591" s="1320"/>
      <c r="AJ591" s="1320"/>
      <c r="AK591" s="1320"/>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60</v>
      </c>
      <c r="BO591" s="1070"/>
      <c r="BP591" s="1070"/>
      <c r="BQ591" s="1070"/>
      <c r="BR591" s="1071"/>
      <c r="BS591" s="1069">
        <f t="shared" ref="BS591" si="2">IF(B695="1 Bedroom",G695,0)</f>
        <v>0</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t="s">
        <v>2366</v>
      </c>
      <c r="I592" s="1056"/>
      <c r="J592" s="1056"/>
      <c r="K592" s="1056"/>
      <c r="L592" s="1056"/>
      <c r="M592" s="1056"/>
      <c r="N592" s="1056"/>
      <c r="O592" s="1056"/>
      <c r="P592" s="1056"/>
      <c r="Q592" s="1056"/>
      <c r="R592" s="1056"/>
      <c r="S592"/>
      <c r="T592" s="4"/>
      <c r="U592" t="s">
        <v>834</v>
      </c>
      <c r="V592"/>
      <c r="W592"/>
      <c r="X592"/>
      <c r="Y592"/>
      <c r="Z592"/>
      <c r="AA592" s="1056" t="s">
        <v>2455</v>
      </c>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60</v>
      </c>
      <c r="BL592" s="1072"/>
      <c r="BN592" s="1069">
        <f t="shared" ref="BN592:BN625" si="9">IF(B696="SRO/Studio",G696,0)</f>
        <v>0</v>
      </c>
      <c r="BO592" s="1070"/>
      <c r="BP592" s="1070"/>
      <c r="BQ592" s="1070"/>
      <c r="BR592" s="1071"/>
      <c r="BS592" s="1069">
        <f t="shared" ref="BS592:BS625" si="10">IF(B696="1 Bedroom",G696,0)</f>
        <v>5</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60</v>
      </c>
      <c r="CT592" s="1067"/>
      <c r="CU592" s="1067"/>
      <c r="CV592" s="1067"/>
      <c r="CW592" s="1068"/>
      <c r="CX592" s="1066">
        <f>IF(AND(B695="1 Bedroom",AH695&lt;=0.3),G695,0)</f>
        <v>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836</v>
      </c>
      <c r="C593"/>
      <c r="D593"/>
      <c r="E593"/>
      <c r="F593"/>
      <c r="G593"/>
      <c r="H593"/>
      <c r="I593"/>
      <c r="J593"/>
      <c r="K593"/>
      <c r="L593"/>
      <c r="M593"/>
      <c r="N593" s="1147" t="s">
        <v>108</v>
      </c>
      <c r="O593" s="1147"/>
      <c r="P593"/>
      <c r="Q593"/>
      <c r="R593"/>
      <c r="S593"/>
      <c r="T593" s="4"/>
      <c r="U593" t="s">
        <v>836</v>
      </c>
      <c r="V593"/>
      <c r="W593"/>
      <c r="X593"/>
      <c r="Y593"/>
      <c r="Z593"/>
      <c r="AA593"/>
      <c r="AB593"/>
      <c r="AC593"/>
      <c r="AD593"/>
      <c r="AE593"/>
      <c r="AF593"/>
      <c r="AG593" s="1147" t="s">
        <v>108</v>
      </c>
      <c r="AH593" s="1147"/>
      <c r="AI593"/>
      <c r="AJ593"/>
      <c r="AK593"/>
      <c r="AL593"/>
      <c r="AZ593" s="5" t="s">
        <v>780</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5</v>
      </c>
      <c r="BL593" s="1072"/>
      <c r="BN593" s="1069">
        <f t="shared" si="9"/>
        <v>10</v>
      </c>
      <c r="BO593" s="1070"/>
      <c r="BP593" s="1070"/>
      <c r="BQ593" s="1070"/>
      <c r="BR593" s="1071"/>
      <c r="BS593" s="1069">
        <f t="shared" si="10"/>
        <v>0</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5</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781</v>
      </c>
      <c r="BA594" s="41"/>
      <c r="BB594" s="41"/>
      <c r="BC594" s="41"/>
      <c r="BD594" s="41"/>
      <c r="BE594" s="1075">
        <f t="shared" si="15"/>
        <v>0</v>
      </c>
      <c r="BF594" s="1076"/>
      <c r="BG594" s="1069">
        <f t="shared" si="7"/>
        <v>0</v>
      </c>
      <c r="BH594" s="1072"/>
      <c r="BI594" s="1075">
        <f t="shared" si="16"/>
        <v>1</v>
      </c>
      <c r="BJ594" s="1076"/>
      <c r="BK594" s="1069">
        <f t="shared" si="8"/>
        <v>10</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10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546</v>
      </c>
      <c r="B595" t="s">
        <v>82</v>
      </c>
      <c r="G595" s="1190">
        <f>C557</f>
        <v>0</v>
      </c>
      <c r="H595" s="1190"/>
      <c r="I595" s="1190"/>
      <c r="J595" s="1190"/>
      <c r="K595" s="1190"/>
      <c r="L595" s="1190"/>
      <c r="M595" s="1190"/>
      <c r="N595" s="1190"/>
      <c r="O595" s="1190"/>
      <c r="P595" s="1190"/>
      <c r="Q595" s="1190"/>
      <c r="R595" s="1190"/>
      <c r="T595" s="61" t="s">
        <v>174</v>
      </c>
      <c r="U595" t="s">
        <v>82</v>
      </c>
      <c r="Z595" s="1190">
        <f>C558</f>
        <v>0</v>
      </c>
      <c r="AA595" s="1190"/>
      <c r="AB595" s="1190"/>
      <c r="AC595" s="1190"/>
      <c r="AD595" s="1190"/>
      <c r="AE595" s="1190"/>
      <c r="AF595" s="1190"/>
      <c r="AG595" s="1190"/>
      <c r="AH595" s="1190"/>
      <c r="AI595" s="1190"/>
      <c r="AJ595" s="1190"/>
      <c r="AK595" s="1190"/>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650</v>
      </c>
      <c r="G599" s="1059"/>
      <c r="H599" s="1059"/>
      <c r="I599" s="1059"/>
      <c r="J599" s="1059"/>
      <c r="K599" s="1059"/>
      <c r="L599" s="1059"/>
      <c r="O599" s="42" t="s">
        <v>818</v>
      </c>
      <c r="P599" s="1320"/>
      <c r="Q599" s="1320"/>
      <c r="R599" s="1320"/>
      <c r="T599" s="4"/>
      <c r="U599" t="s">
        <v>650</v>
      </c>
      <c r="Z599" s="1059"/>
      <c r="AA599" s="1059"/>
      <c r="AB599" s="1059"/>
      <c r="AC599" s="1059"/>
      <c r="AD599" s="1059"/>
      <c r="AE599" s="1059"/>
      <c r="AH599" s="42" t="s">
        <v>818</v>
      </c>
      <c r="AI599" s="1320"/>
      <c r="AJ599" s="1320"/>
      <c r="AK599" s="1320"/>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836</v>
      </c>
      <c r="C601"/>
      <c r="D601"/>
      <c r="E601"/>
      <c r="F601"/>
      <c r="G601"/>
      <c r="H601"/>
      <c r="I601"/>
      <c r="J601"/>
      <c r="K601"/>
      <c r="L601"/>
      <c r="M601"/>
      <c r="N601" s="1147" t="s">
        <v>482</v>
      </c>
      <c r="O601" s="1147"/>
      <c r="P601"/>
      <c r="Q601"/>
      <c r="R601"/>
      <c r="S601"/>
      <c r="T601" s="4"/>
      <c r="U601" t="s">
        <v>836</v>
      </c>
      <c r="V601"/>
      <c r="W601"/>
      <c r="X601"/>
      <c r="Y601"/>
      <c r="Z601"/>
      <c r="AA601"/>
      <c r="AB601"/>
      <c r="AC601"/>
      <c r="AD601"/>
      <c r="AE601"/>
      <c r="AF601"/>
      <c r="AG601" s="1147" t="s">
        <v>482</v>
      </c>
      <c r="AH601" s="1147"/>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82</v>
      </c>
      <c r="G603" s="1190">
        <f>C559</f>
        <v>0</v>
      </c>
      <c r="H603" s="1190"/>
      <c r="I603" s="1190"/>
      <c r="J603" s="1190"/>
      <c r="K603" s="1190"/>
      <c r="L603" s="1190"/>
      <c r="M603" s="1190"/>
      <c r="N603" s="1190"/>
      <c r="O603" s="1190"/>
      <c r="P603" s="1190"/>
      <c r="Q603" s="1190"/>
      <c r="R603" s="1190"/>
      <c r="T603" s="61" t="s">
        <v>33</v>
      </c>
      <c r="U603" t="s">
        <v>82</v>
      </c>
      <c r="Z603" s="1190">
        <f>C560</f>
        <v>0</v>
      </c>
      <c r="AA603" s="1190"/>
      <c r="AB603" s="1190"/>
      <c r="AC603" s="1190"/>
      <c r="AD603" s="1190"/>
      <c r="AE603" s="1190"/>
      <c r="AF603" s="1190"/>
      <c r="AG603" s="1190"/>
      <c r="AH603" s="1190"/>
      <c r="AI603" s="1190"/>
      <c r="AJ603" s="1190"/>
      <c r="AK603" s="1190"/>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650</v>
      </c>
      <c r="G607" s="1059"/>
      <c r="H607" s="1059"/>
      <c r="I607" s="1059"/>
      <c r="J607" s="1059"/>
      <c r="K607" s="1059"/>
      <c r="L607" s="1059"/>
      <c r="O607" s="42" t="s">
        <v>818</v>
      </c>
      <c r="P607" s="1320"/>
      <c r="Q607" s="1320"/>
      <c r="R607" s="1320"/>
      <c r="U607" t="s">
        <v>650</v>
      </c>
      <c r="Z607" s="1059"/>
      <c r="AA607" s="1059"/>
      <c r="AB607" s="1059"/>
      <c r="AC607" s="1059"/>
      <c r="AD607" s="1059"/>
      <c r="AE607" s="1059"/>
      <c r="AH607" s="42" t="s">
        <v>818</v>
      </c>
      <c r="AI607" s="1320"/>
      <c r="AJ607" s="1320"/>
      <c r="AK607" s="1320"/>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836</v>
      </c>
      <c r="N609" s="1120" t="s">
        <v>482</v>
      </c>
      <c r="O609" s="1120"/>
      <c r="U609" t="s">
        <v>836</v>
      </c>
      <c r="AG609" s="1120" t="s">
        <v>482</v>
      </c>
      <c r="AH609" s="1120"/>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2125</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10" t="s">
        <v>2194</v>
      </c>
      <c r="C618" s="1111"/>
      <c r="D618" s="1111"/>
      <c r="E618" s="1111"/>
      <c r="F618" s="1111"/>
      <c r="G618" s="1111"/>
      <c r="H618" s="1111"/>
      <c r="I618" s="1111"/>
      <c r="J618" s="1111"/>
      <c r="K618" s="1111"/>
      <c r="L618" s="1111"/>
      <c r="M618" s="1150" t="s">
        <v>2168</v>
      </c>
      <c r="N618" s="1150"/>
      <c r="O618" s="1150"/>
      <c r="P618" s="1150"/>
      <c r="Q618" s="1136" t="s">
        <v>2198</v>
      </c>
      <c r="R618" s="1137"/>
      <c r="S618" s="1138"/>
      <c r="T618" s="1136" t="s">
        <v>2197</v>
      </c>
      <c r="U618" s="1137"/>
      <c r="V618" s="1138"/>
      <c r="W618" s="1414" t="s">
        <v>740</v>
      </c>
      <c r="X618" s="1414"/>
      <c r="Y618" s="1415"/>
      <c r="Z618" s="1150" t="s">
        <v>2195</v>
      </c>
      <c r="AA618" s="1150"/>
      <c r="AB618" s="1150"/>
      <c r="AC618" s="1405" t="s">
        <v>1990</v>
      </c>
      <c r="AD618" s="1406"/>
      <c r="AE618" s="1407"/>
      <c r="AF618" s="1136" t="s">
        <v>2126</v>
      </c>
      <c r="AG618" s="1137"/>
      <c r="AH618" s="1137"/>
      <c r="AI618" s="1137"/>
      <c r="AJ618" s="1138"/>
      <c r="AK618" s="1287" t="s">
        <v>2127</v>
      </c>
      <c r="AL618" s="1288"/>
      <c r="AM618" s="1288"/>
      <c r="AN618" s="1289"/>
      <c r="AO618" s="1150" t="s">
        <v>741</v>
      </c>
      <c r="AP618" s="1150"/>
      <c r="AQ618" s="1150"/>
      <c r="AR618" s="1150"/>
      <c r="AS618" s="1150"/>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12"/>
      <c r="C619" s="1113"/>
      <c r="D619" s="1113"/>
      <c r="E619" s="1113"/>
      <c r="F619" s="1113"/>
      <c r="G619" s="1113"/>
      <c r="H619" s="1113"/>
      <c r="I619" s="1113"/>
      <c r="J619" s="1113"/>
      <c r="K619" s="1113"/>
      <c r="L619" s="1113"/>
      <c r="M619" s="1150"/>
      <c r="N619" s="1150"/>
      <c r="O619" s="1150"/>
      <c r="P619" s="1150"/>
      <c r="Q619" s="1139"/>
      <c r="R619" s="1140"/>
      <c r="S619" s="1141"/>
      <c r="T619" s="1139"/>
      <c r="U619" s="1140"/>
      <c r="V619" s="1141"/>
      <c r="W619" s="1416"/>
      <c r="X619" s="1416"/>
      <c r="Y619" s="1417"/>
      <c r="Z619" s="1150"/>
      <c r="AA619" s="1150"/>
      <c r="AB619" s="1150"/>
      <c r="AC619" s="1408"/>
      <c r="AD619" s="1409"/>
      <c r="AE619" s="1410"/>
      <c r="AF619" s="1139"/>
      <c r="AG619" s="1140"/>
      <c r="AH619" s="1140"/>
      <c r="AI619" s="1140"/>
      <c r="AJ619" s="1141"/>
      <c r="AK619" s="1290"/>
      <c r="AL619" s="1291"/>
      <c r="AM619" s="1291"/>
      <c r="AN619" s="1292"/>
      <c r="AO619" s="1150"/>
      <c r="AP619" s="1150"/>
      <c r="AQ619" s="1150"/>
      <c r="AR619" s="1150"/>
      <c r="AS619" s="1150"/>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4"/>
      <c r="C620" s="1115"/>
      <c r="D620" s="1115"/>
      <c r="E620" s="1115"/>
      <c r="F620" s="1115"/>
      <c r="G620" s="1115"/>
      <c r="H620" s="1115"/>
      <c r="I620" s="1115"/>
      <c r="J620" s="1115"/>
      <c r="K620" s="1115"/>
      <c r="L620" s="1115"/>
      <c r="M620" s="1150"/>
      <c r="N620" s="1150"/>
      <c r="O620" s="1150"/>
      <c r="P620" s="1150"/>
      <c r="Q620" s="1142"/>
      <c r="R620" s="1143"/>
      <c r="S620" s="1144"/>
      <c r="T620" s="1142"/>
      <c r="U620" s="1143"/>
      <c r="V620" s="1144"/>
      <c r="W620" s="1418"/>
      <c r="X620" s="1418"/>
      <c r="Y620" s="1419"/>
      <c r="Z620" s="1150"/>
      <c r="AA620" s="1150"/>
      <c r="AB620" s="1150"/>
      <c r="AC620" s="1411"/>
      <c r="AD620" s="1412"/>
      <c r="AE620" s="1413"/>
      <c r="AF620" s="1142"/>
      <c r="AG620" s="1143"/>
      <c r="AH620" s="1143"/>
      <c r="AI620" s="1143"/>
      <c r="AJ620" s="1144"/>
      <c r="AK620" s="1293"/>
      <c r="AL620" s="1294"/>
      <c r="AM620" s="1294"/>
      <c r="AN620" s="1295"/>
      <c r="AO620" s="1150"/>
      <c r="AP620" s="1150"/>
      <c r="AQ620" s="1150"/>
      <c r="AR620" s="1150"/>
      <c r="AS620" s="1150"/>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900</v>
      </c>
      <c r="C621" s="1100" t="s">
        <v>2360</v>
      </c>
      <c r="D621" s="1101"/>
      <c r="E621" s="1101"/>
      <c r="F621" s="1101"/>
      <c r="G621" s="1101"/>
      <c r="H621" s="1101"/>
      <c r="I621" s="1101"/>
      <c r="J621" s="1101"/>
      <c r="K621" s="1101"/>
      <c r="L621" s="1102"/>
      <c r="M621" s="1283" t="s">
        <v>2180</v>
      </c>
      <c r="N621" s="1283"/>
      <c r="O621" s="1283"/>
      <c r="P621" s="1283"/>
      <c r="Q621" s="1358">
        <v>660</v>
      </c>
      <c r="R621" s="1359"/>
      <c r="S621" s="1360"/>
      <c r="T621" s="1384"/>
      <c r="U621" s="1385"/>
      <c r="V621" s="1386"/>
      <c r="W621" s="1296">
        <v>0.03</v>
      </c>
      <c r="X621" s="1297"/>
      <c r="Y621" s="1298"/>
      <c r="Z621" s="1361" t="s">
        <v>788</v>
      </c>
      <c r="AA621" s="1362"/>
      <c r="AB621" s="1363"/>
      <c r="AC621" s="1343">
        <v>1</v>
      </c>
      <c r="AD621" s="1149"/>
      <c r="AE621" s="1344"/>
      <c r="AF621" s="1168"/>
      <c r="AG621" s="1169"/>
      <c r="AH621" s="1169"/>
      <c r="AI621" s="1169"/>
      <c r="AJ621" s="1170"/>
      <c r="AK621" s="1284"/>
      <c r="AL621" s="1285"/>
      <c r="AM621" s="1285"/>
      <c r="AN621" s="1286"/>
      <c r="AO621" s="1224">
        <f>[1]EVERYTHING!$H$12</f>
        <v>17414328</v>
      </c>
      <c r="AP621" s="1224"/>
      <c r="AQ621" s="1224"/>
      <c r="AR621" s="1224"/>
      <c r="AS621" s="1224"/>
      <c r="AT621" s="946" t="str">
        <f t="shared" ref="AT621:AT626" si="33">IF(AND(NOT(C620=""),C621="",NOT(C622="")),"!","")</f>
        <v/>
      </c>
      <c r="AU621" s="43"/>
      <c r="AV621" s="43"/>
      <c r="AW621" s="43"/>
      <c r="AX621" s="43"/>
      <c r="AY621" s="43"/>
      <c r="BA621" s="41" t="s">
        <v>1977</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901</v>
      </c>
      <c r="C622" s="1100" t="s">
        <v>2359</v>
      </c>
      <c r="D622" s="1101"/>
      <c r="E622" s="1101"/>
      <c r="F622" s="1101"/>
      <c r="G622" s="1101"/>
      <c r="H622" s="1101"/>
      <c r="I622" s="1101"/>
      <c r="J622" s="1101"/>
      <c r="K622" s="1101"/>
      <c r="L622" s="1102"/>
      <c r="M622" s="1283" t="s">
        <v>2180</v>
      </c>
      <c r="N622" s="1283"/>
      <c r="O622" s="1283"/>
      <c r="P622" s="1283"/>
      <c r="Q622" s="1358">
        <v>660</v>
      </c>
      <c r="R622" s="1359"/>
      <c r="S622" s="1360"/>
      <c r="T622" s="1384"/>
      <c r="U622" s="1385"/>
      <c r="V622" s="1386"/>
      <c r="W622" s="1296">
        <v>0</v>
      </c>
      <c r="X622" s="1297"/>
      <c r="Y622" s="1298"/>
      <c r="Z622" s="1361" t="s">
        <v>788</v>
      </c>
      <c r="AA622" s="1362"/>
      <c r="AB622" s="1363"/>
      <c r="AC622" s="1343">
        <v>2</v>
      </c>
      <c r="AD622" s="1149"/>
      <c r="AE622" s="1344"/>
      <c r="AF622" s="1168"/>
      <c r="AG622" s="1169"/>
      <c r="AH622" s="1169"/>
      <c r="AI622" s="1169"/>
      <c r="AJ622" s="1170"/>
      <c r="AK622" s="1284"/>
      <c r="AL622" s="1285"/>
      <c r="AM622" s="1285"/>
      <c r="AN622" s="1286"/>
      <c r="AO622" s="1224">
        <f>[1]EVERYTHING!$H$11</f>
        <v>2600000</v>
      </c>
      <c r="AP622" s="1224"/>
      <c r="AQ622" s="1224"/>
      <c r="AR622" s="1224"/>
      <c r="AS622" s="1224"/>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907</v>
      </c>
      <c r="C623" s="1100" t="s">
        <v>2348</v>
      </c>
      <c r="D623" s="1101"/>
      <c r="E623" s="1101"/>
      <c r="F623" s="1101"/>
      <c r="G623" s="1101"/>
      <c r="H623" s="1101"/>
      <c r="I623" s="1101"/>
      <c r="J623" s="1101"/>
      <c r="K623" s="1101"/>
      <c r="L623" s="1102"/>
      <c r="M623" s="1283" t="s">
        <v>2180</v>
      </c>
      <c r="N623" s="1283"/>
      <c r="O623" s="1283"/>
      <c r="P623" s="1283"/>
      <c r="Q623" s="1358">
        <v>660</v>
      </c>
      <c r="R623" s="1359"/>
      <c r="S623" s="1360"/>
      <c r="T623" s="1384"/>
      <c r="U623" s="1385"/>
      <c r="V623" s="1386"/>
      <c r="W623" s="1296">
        <v>0</v>
      </c>
      <c r="X623" s="1297"/>
      <c r="Y623" s="1298"/>
      <c r="Z623" s="1361" t="s">
        <v>788</v>
      </c>
      <c r="AA623" s="1362"/>
      <c r="AB623" s="1363"/>
      <c r="AC623" s="1343">
        <v>3</v>
      </c>
      <c r="AD623" s="1149"/>
      <c r="AE623" s="1344"/>
      <c r="AF623" s="1168"/>
      <c r="AG623" s="1169"/>
      <c r="AH623" s="1169"/>
      <c r="AI623" s="1169"/>
      <c r="AJ623" s="1170"/>
      <c r="AK623" s="1284"/>
      <c r="AL623" s="1285"/>
      <c r="AM623" s="1285"/>
      <c r="AN623" s="1286"/>
      <c r="AO623" s="1224">
        <f>[1]EVERYTHING!$H$8</f>
        <v>400000</v>
      </c>
      <c r="AP623" s="1224"/>
      <c r="AQ623" s="1224"/>
      <c r="AR623" s="1224"/>
      <c r="AS623" s="1224"/>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431</v>
      </c>
      <c r="C624" s="1100" t="s">
        <v>2457</v>
      </c>
      <c r="D624" s="1101"/>
      <c r="E624" s="1101"/>
      <c r="F624" s="1101"/>
      <c r="G624" s="1101"/>
      <c r="H624" s="1101"/>
      <c r="I624" s="1101"/>
      <c r="J624" s="1101"/>
      <c r="K624" s="1101"/>
      <c r="L624" s="1102"/>
      <c r="M624" s="1283" t="s">
        <v>2180</v>
      </c>
      <c r="N624" s="1283"/>
      <c r="O624" s="1283"/>
      <c r="P624" s="1283"/>
      <c r="Q624" s="1358">
        <v>660</v>
      </c>
      <c r="R624" s="1359"/>
      <c r="S624" s="1360"/>
      <c r="T624" s="1384"/>
      <c r="U624" s="1385"/>
      <c r="V624" s="1386"/>
      <c r="W624" s="1296">
        <v>0</v>
      </c>
      <c r="X624" s="1297"/>
      <c r="Y624" s="1298"/>
      <c r="Z624" s="1361" t="s">
        <v>499</v>
      </c>
      <c r="AA624" s="1362"/>
      <c r="AB624" s="1363"/>
      <c r="AC624" s="1343">
        <v>5</v>
      </c>
      <c r="AD624" s="1149"/>
      <c r="AE624" s="1344"/>
      <c r="AF624" s="1168"/>
      <c r="AG624" s="1169"/>
      <c r="AH624" s="1169"/>
      <c r="AI624" s="1169"/>
      <c r="AJ624" s="1170"/>
      <c r="AK624" s="1284"/>
      <c r="AL624" s="1285"/>
      <c r="AM624" s="1285"/>
      <c r="AN624" s="1286"/>
      <c r="AO624" s="1224">
        <f>[1]EVERYTHING!$H$10</f>
        <v>150000</v>
      </c>
      <c r="AP624" s="1224"/>
      <c r="AQ624" s="1224"/>
      <c r="AR624" s="1224"/>
      <c r="AS624" s="1224"/>
      <c r="AT624" s="946" t="str">
        <f t="shared" si="33"/>
        <v/>
      </c>
      <c r="AU624" s="43"/>
      <c r="AV624" s="43"/>
      <c r="AW624" s="43"/>
      <c r="AX624" s="43"/>
      <c r="AY624" s="43"/>
      <c r="AZ624" s="43"/>
      <c r="BA624" s="41" t="s">
        <v>2196</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171</v>
      </c>
      <c r="C625" s="1100" t="s">
        <v>2456</v>
      </c>
      <c r="D625" s="1101"/>
      <c r="E625" s="1101"/>
      <c r="F625" s="1101"/>
      <c r="G625" s="1101"/>
      <c r="H625" s="1101"/>
      <c r="I625" s="1101"/>
      <c r="J625" s="1101"/>
      <c r="K625" s="1101"/>
      <c r="L625" s="1102"/>
      <c r="M625" s="1283" t="s">
        <v>2180</v>
      </c>
      <c r="N625" s="1283"/>
      <c r="O625" s="1283"/>
      <c r="P625" s="1283"/>
      <c r="Q625" s="1358">
        <v>660</v>
      </c>
      <c r="R625" s="1359"/>
      <c r="S625" s="1360"/>
      <c r="T625" s="1384"/>
      <c r="U625" s="1385"/>
      <c r="V625" s="1386"/>
      <c r="W625" s="1296">
        <v>0</v>
      </c>
      <c r="X625" s="1297"/>
      <c r="Y625" s="1298"/>
      <c r="Z625" s="1361" t="s">
        <v>499</v>
      </c>
      <c r="AA625" s="1362"/>
      <c r="AB625" s="1363"/>
      <c r="AC625" s="1343">
        <v>4</v>
      </c>
      <c r="AD625" s="1149"/>
      <c r="AE625" s="1344"/>
      <c r="AF625" s="1168"/>
      <c r="AG625" s="1169"/>
      <c r="AH625" s="1169"/>
      <c r="AI625" s="1169"/>
      <c r="AJ625" s="1170"/>
      <c r="AK625" s="1284"/>
      <c r="AL625" s="1285"/>
      <c r="AM625" s="1285"/>
      <c r="AN625" s="1286"/>
      <c r="AO625" s="1224">
        <f>[1]EVERYTHING!$H$9</f>
        <v>800000</v>
      </c>
      <c r="AP625" s="1224"/>
      <c r="AQ625" s="1224"/>
      <c r="AR625" s="1224"/>
      <c r="AS625" s="1224"/>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434</v>
      </c>
      <c r="C626" s="1098" t="s">
        <v>2366</v>
      </c>
      <c r="D626" s="1098"/>
      <c r="E626" s="1098"/>
      <c r="F626" s="1098"/>
      <c r="G626" s="1098"/>
      <c r="H626" s="1098"/>
      <c r="I626" s="1098"/>
      <c r="J626" s="1098"/>
      <c r="K626" s="1098"/>
      <c r="L626" s="1098"/>
      <c r="M626" s="1283" t="s">
        <v>2174</v>
      </c>
      <c r="N626" s="1283"/>
      <c r="O626" s="1283"/>
      <c r="P626" s="1283"/>
      <c r="Q626" s="1358"/>
      <c r="R626" s="1359"/>
      <c r="S626" s="1360"/>
      <c r="T626" s="1384"/>
      <c r="U626" s="1385"/>
      <c r="V626" s="1386"/>
      <c r="W626" s="1296"/>
      <c r="X626" s="1297"/>
      <c r="Y626" s="1298"/>
      <c r="Z626" s="1361" t="s">
        <v>499</v>
      </c>
      <c r="AA626" s="1362"/>
      <c r="AB626" s="1363"/>
      <c r="AC626" s="1343"/>
      <c r="AD626" s="1149"/>
      <c r="AE626" s="1344"/>
      <c r="AF626" s="1168"/>
      <c r="AG626" s="1169"/>
      <c r="AH626" s="1169"/>
      <c r="AI626" s="1169"/>
      <c r="AJ626" s="1170"/>
      <c r="AK626" s="1284"/>
      <c r="AL626" s="1285"/>
      <c r="AM626" s="1285"/>
      <c r="AN626" s="1286"/>
      <c r="AO626" s="1224">
        <f>[1]EVERYTHING!$H$16</f>
        <v>1000</v>
      </c>
      <c r="AP626" s="1224"/>
      <c r="AQ626" s="1224"/>
      <c r="AR626" s="1224"/>
      <c r="AS626" s="1224"/>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70</v>
      </c>
      <c r="BO626" s="1309"/>
      <c r="BP626" s="1309"/>
      <c r="BQ626" s="1309"/>
      <c r="BR626" s="1076"/>
      <c r="BS626" s="1075">
        <f t="shared" ref="BS626" si="34">SUM(BS591:BW625)</f>
        <v>5</v>
      </c>
      <c r="BT626" s="1309"/>
      <c r="BU626" s="1309"/>
      <c r="BV626" s="1309"/>
      <c r="BW626" s="1076"/>
      <c r="BX626" s="1075">
        <f t="shared" ref="BX626" si="35">SUM(BX591:CB625)</f>
        <v>0</v>
      </c>
      <c r="BY626" s="1309"/>
      <c r="BZ626" s="1309"/>
      <c r="CA626" s="1309"/>
      <c r="CB626" s="1076"/>
      <c r="CC626" s="1075">
        <f t="shared" ref="CC626" si="36">SUM(CC591:CG625)</f>
        <v>0</v>
      </c>
      <c r="CD626" s="1309"/>
      <c r="CE626" s="1309"/>
      <c r="CF626" s="1309"/>
      <c r="CG626" s="1076"/>
      <c r="CH626" s="1075">
        <f t="shared" ref="CH626" si="37">SUM(CH591:CL625)</f>
        <v>0</v>
      </c>
      <c r="CI626" s="1309"/>
      <c r="CJ626" s="1309"/>
      <c r="CK626" s="1309"/>
      <c r="CL626" s="1076"/>
      <c r="CM626" s="1075">
        <f t="shared" ref="CM626" si="38">SUM(CM591:CQ625)</f>
        <v>0</v>
      </c>
      <c r="CN626" s="1309"/>
      <c r="CO626" s="1309"/>
      <c r="CP626" s="1309"/>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742</v>
      </c>
      <c r="C627" s="1098"/>
      <c r="D627" s="1098"/>
      <c r="E627" s="1098"/>
      <c r="F627" s="1098"/>
      <c r="G627" s="1098"/>
      <c r="H627" s="1098"/>
      <c r="I627" s="1098"/>
      <c r="J627" s="1098"/>
      <c r="K627" s="1098"/>
      <c r="L627" s="1098"/>
      <c r="M627" s="1283" t="s">
        <v>1977</v>
      </c>
      <c r="N627" s="1283"/>
      <c r="O627" s="1283"/>
      <c r="P627" s="1283"/>
      <c r="Q627" s="1358"/>
      <c r="R627" s="1359"/>
      <c r="S627" s="1360"/>
      <c r="T627" s="1384"/>
      <c r="U627" s="1385"/>
      <c r="V627" s="1386"/>
      <c r="W627" s="1296"/>
      <c r="X627" s="1297"/>
      <c r="Y627" s="1298"/>
      <c r="Z627" s="1361" t="s">
        <v>1977</v>
      </c>
      <c r="AA627" s="1362"/>
      <c r="AB627" s="1363"/>
      <c r="AC627" s="1343"/>
      <c r="AD627" s="1149"/>
      <c r="AE627" s="1344"/>
      <c r="AF627" s="1168"/>
      <c r="AG627" s="1169"/>
      <c r="AH627" s="1169"/>
      <c r="AI627" s="1169"/>
      <c r="AJ627" s="1170"/>
      <c r="AK627" s="1284"/>
      <c r="AL627" s="1285"/>
      <c r="AM627" s="1285"/>
      <c r="AN627" s="1286"/>
      <c r="AO627" s="1224"/>
      <c r="AP627" s="1224"/>
      <c r="AQ627" s="1224"/>
      <c r="AR627" s="1224"/>
      <c r="AS627" s="1224"/>
      <c r="AT627" s="946" t="str">
        <f t="shared" ref="AT627:AT632" si="39">IF(AND(NOT(C626=""),C627="",NOT(C628="")),"!","")</f>
        <v/>
      </c>
      <c r="AU627" s="43"/>
      <c r="AV627" s="43"/>
      <c r="AW627" s="43"/>
      <c r="AX627" s="43"/>
      <c r="AY627" s="43"/>
      <c r="AZ627" s="43"/>
      <c r="BE627" s="41"/>
      <c r="BF627" s="41"/>
      <c r="BG627" s="1075">
        <f>SUM(BG592:BH626)</f>
        <v>0</v>
      </c>
      <c r="BH627" s="1076"/>
      <c r="BI627" s="41"/>
      <c r="BJ627" s="41"/>
      <c r="BK627" s="1075">
        <f>SUM(BK592:BL626)</f>
        <v>75</v>
      </c>
      <c r="BL627" s="1076"/>
      <c r="BN627" s="41" t="s">
        <v>1723</v>
      </c>
      <c r="BO627" s="41"/>
      <c r="BP627" s="41"/>
      <c r="BQ627" s="41"/>
      <c r="BR627" s="467">
        <f>BN626*1</f>
        <v>70</v>
      </c>
      <c r="BS627" s="41"/>
      <c r="BT627" s="41"/>
      <c r="BU627" s="41"/>
      <c r="BV627" s="41"/>
      <c r="BW627" s="467">
        <f>BS626*1</f>
        <v>5</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70</v>
      </c>
      <c r="CT627" s="1309"/>
      <c r="CU627" s="1309"/>
      <c r="CV627" s="1309"/>
      <c r="CW627" s="1076"/>
      <c r="CX627" s="1075">
        <f>SUM(CX592:DB626)</f>
        <v>5</v>
      </c>
      <c r="CY627" s="1309"/>
      <c r="CZ627" s="1309"/>
      <c r="DA627" s="1309"/>
      <c r="DB627" s="1076"/>
      <c r="DC627" s="1075">
        <f>SUM(DC592:DG626)</f>
        <v>0</v>
      </c>
      <c r="DD627" s="1309"/>
      <c r="DE627" s="1309"/>
      <c r="DF627" s="1309"/>
      <c r="DG627" s="1076"/>
      <c r="DH627" s="1075">
        <f>SUM(DH592:DL626)</f>
        <v>0</v>
      </c>
      <c r="DI627" s="1309"/>
      <c r="DJ627" s="1309"/>
      <c r="DK627" s="1309"/>
      <c r="DL627" s="1076"/>
      <c r="DM627" s="1075">
        <f>SUM(DM592:DQ626)</f>
        <v>0</v>
      </c>
      <c r="DN627" s="1309"/>
      <c r="DO627" s="1309"/>
      <c r="DP627" s="1309"/>
      <c r="DQ627" s="1076"/>
      <c r="DR627" s="1075">
        <f>SUM(DR592:DV626)</f>
        <v>0</v>
      </c>
      <c r="DS627" s="1309"/>
      <c r="DT627" s="1309"/>
      <c r="DU627" s="1309"/>
      <c r="DV627" s="1076"/>
    </row>
    <row r="628" spans="1:126" ht="12.9" customHeight="1" thickBot="1">
      <c r="B628" s="58" t="s">
        <v>743</v>
      </c>
      <c r="C628" s="1098"/>
      <c r="D628" s="1098"/>
      <c r="E628" s="1098"/>
      <c r="F628" s="1098"/>
      <c r="G628" s="1098"/>
      <c r="H628" s="1098"/>
      <c r="I628" s="1098"/>
      <c r="J628" s="1098"/>
      <c r="K628" s="1098"/>
      <c r="L628" s="1098"/>
      <c r="M628" s="1283" t="s">
        <v>1977</v>
      </c>
      <c r="N628" s="1283"/>
      <c r="O628" s="1283"/>
      <c r="P628" s="1283"/>
      <c r="Q628" s="1358"/>
      <c r="R628" s="1359"/>
      <c r="S628" s="1360"/>
      <c r="T628" s="1384"/>
      <c r="U628" s="1385"/>
      <c r="V628" s="1386"/>
      <c r="W628" s="1296"/>
      <c r="X628" s="1297"/>
      <c r="Y628" s="1298"/>
      <c r="Z628" s="1361" t="s">
        <v>1977</v>
      </c>
      <c r="AA628" s="1362"/>
      <c r="AB628" s="1363"/>
      <c r="AC628" s="1343"/>
      <c r="AD628" s="1149"/>
      <c r="AE628" s="1344"/>
      <c r="AF628" s="1168"/>
      <c r="AG628" s="1169"/>
      <c r="AH628" s="1169"/>
      <c r="AI628" s="1169"/>
      <c r="AJ628" s="1170"/>
      <c r="AK628" s="1284"/>
      <c r="AL628" s="1285"/>
      <c r="AM628" s="1285"/>
      <c r="AN628" s="1286"/>
      <c r="AO628" s="1224"/>
      <c r="AP628" s="1224"/>
      <c r="AQ628" s="1224"/>
      <c r="AR628" s="1224"/>
      <c r="AS628" s="1224"/>
      <c r="AT628" s="946" t="str">
        <f t="shared" si="39"/>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75</v>
      </c>
      <c r="CR628" s="41"/>
      <c r="CS628" s="41"/>
    </row>
    <row r="629" spans="1:126" ht="12.9" customHeight="1">
      <c r="B629" s="58" t="s">
        <v>546</v>
      </c>
      <c r="C629" s="1098"/>
      <c r="D629" s="1098"/>
      <c r="E629" s="1098"/>
      <c r="F629" s="1098"/>
      <c r="G629" s="1098"/>
      <c r="H629" s="1098"/>
      <c r="I629" s="1098"/>
      <c r="J629" s="1098"/>
      <c r="K629" s="1098"/>
      <c r="L629" s="1098"/>
      <c r="M629" s="1283" t="s">
        <v>1977</v>
      </c>
      <c r="N629" s="1283"/>
      <c r="O629" s="1283"/>
      <c r="P629" s="1283"/>
      <c r="Q629" s="1358"/>
      <c r="R629" s="1359"/>
      <c r="S629" s="1360"/>
      <c r="T629" s="1384"/>
      <c r="U629" s="1385"/>
      <c r="V629" s="1386"/>
      <c r="W629" s="1296"/>
      <c r="X629" s="1297"/>
      <c r="Y629" s="1298"/>
      <c r="Z629" s="1361" t="s">
        <v>1977</v>
      </c>
      <c r="AA629" s="1362"/>
      <c r="AB629" s="1363"/>
      <c r="AC629" s="1343"/>
      <c r="AD629" s="1149"/>
      <c r="AE629" s="1344"/>
      <c r="AF629" s="1168"/>
      <c r="AG629" s="1169"/>
      <c r="AH629" s="1169"/>
      <c r="AI629" s="1169"/>
      <c r="AJ629" s="1170"/>
      <c r="AK629" s="1284"/>
      <c r="AL629" s="1285"/>
      <c r="AM629" s="1285"/>
      <c r="AN629" s="1286"/>
      <c r="AO629" s="1224"/>
      <c r="AP629" s="1224"/>
      <c r="AQ629" s="1224"/>
      <c r="AR629" s="1224"/>
      <c r="AS629" s="1224"/>
      <c r="AT629" s="946" t="str">
        <f t="shared" si="39"/>
        <v/>
      </c>
      <c r="AU629" s="41"/>
      <c r="AV629" s="41"/>
      <c r="AW629" s="41"/>
      <c r="AX629" s="41"/>
      <c r="AY629" s="41"/>
      <c r="AZ629" s="41"/>
      <c r="BN629" s="1069">
        <f>IF(J752="SRO/Studio",O752,0)</f>
        <v>0</v>
      </c>
      <c r="BO629" s="1070"/>
      <c r="BP629" s="1070"/>
      <c r="BQ629" s="1070"/>
      <c r="BR629" s="1072"/>
      <c r="BS629" s="1069">
        <f>IF(J752="1 Bedroom",O752,0)</f>
        <v>1</v>
      </c>
      <c r="BT629" s="1070"/>
      <c r="BU629" s="1070"/>
      <c r="BV629" s="1070"/>
      <c r="BW629" s="1072"/>
      <c r="BX629" s="1069">
        <f>IF(J752="2 Bedrooms",O752,0)</f>
        <v>0</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174</v>
      </c>
      <c r="C630" s="1098"/>
      <c r="D630" s="1098"/>
      <c r="E630" s="1098"/>
      <c r="F630" s="1098"/>
      <c r="G630" s="1098"/>
      <c r="H630" s="1098"/>
      <c r="I630" s="1098"/>
      <c r="J630" s="1098"/>
      <c r="K630" s="1098"/>
      <c r="L630" s="1098"/>
      <c r="M630" s="1283" t="s">
        <v>1977</v>
      </c>
      <c r="N630" s="1283"/>
      <c r="O630" s="1283"/>
      <c r="P630" s="1283"/>
      <c r="Q630" s="1358"/>
      <c r="R630" s="1359"/>
      <c r="S630" s="1360"/>
      <c r="T630" s="1384"/>
      <c r="U630" s="1385"/>
      <c r="V630" s="1386"/>
      <c r="W630" s="1296"/>
      <c r="X630" s="1297"/>
      <c r="Y630" s="1298"/>
      <c r="Z630" s="1361" t="s">
        <v>1977</v>
      </c>
      <c r="AA630" s="1362"/>
      <c r="AB630" s="1363"/>
      <c r="AC630" s="1343"/>
      <c r="AD630" s="1149"/>
      <c r="AE630" s="1344"/>
      <c r="AF630" s="1168"/>
      <c r="AG630" s="1169"/>
      <c r="AH630" s="1169"/>
      <c r="AI630" s="1169"/>
      <c r="AJ630" s="1170"/>
      <c r="AK630" s="1284"/>
      <c r="AL630" s="1285"/>
      <c r="AM630" s="1285"/>
      <c r="AN630" s="1286"/>
      <c r="AO630" s="1224"/>
      <c r="AP630" s="1224"/>
      <c r="AQ630" s="1224"/>
      <c r="AR630" s="1224"/>
      <c r="AS630" s="1224"/>
      <c r="AT630" s="946" t="str">
        <f t="shared" si="39"/>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83" t="s">
        <v>1977</v>
      </c>
      <c r="N631" s="1283"/>
      <c r="O631" s="1283"/>
      <c r="P631" s="1283"/>
      <c r="Q631" s="1358"/>
      <c r="R631" s="1359"/>
      <c r="S631" s="1360"/>
      <c r="T631" s="1384"/>
      <c r="U631" s="1385"/>
      <c r="V631" s="1386"/>
      <c r="W631" s="1296"/>
      <c r="X631" s="1297"/>
      <c r="Y631" s="1298"/>
      <c r="Z631" s="1361" t="s">
        <v>1977</v>
      </c>
      <c r="AA631" s="1362"/>
      <c r="AB631" s="1363"/>
      <c r="AC631" s="1343"/>
      <c r="AD631" s="1149"/>
      <c r="AE631" s="1344"/>
      <c r="AF631" s="1168"/>
      <c r="AG631" s="1169"/>
      <c r="AH631" s="1169"/>
      <c r="AI631" s="1169"/>
      <c r="AJ631" s="1170"/>
      <c r="AK631" s="1284"/>
      <c r="AL631" s="1285"/>
      <c r="AM631" s="1285"/>
      <c r="AN631" s="1286"/>
      <c r="AO631" s="1224"/>
      <c r="AP631" s="1224"/>
      <c r="AQ631" s="1224"/>
      <c r="AR631" s="1224"/>
      <c r="AS631" s="1224"/>
      <c r="AT631" s="946" t="str">
        <f t="shared" si="39"/>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83" t="s">
        <v>1977</v>
      </c>
      <c r="N632" s="1283"/>
      <c r="O632" s="1283"/>
      <c r="P632" s="1283"/>
      <c r="Q632" s="1358"/>
      <c r="R632" s="1359"/>
      <c r="S632" s="1360"/>
      <c r="T632" s="1384"/>
      <c r="U632" s="1385"/>
      <c r="V632" s="1386"/>
      <c r="W632" s="1296"/>
      <c r="X632" s="1297"/>
      <c r="Y632" s="1298"/>
      <c r="Z632" s="1361" t="s">
        <v>1977</v>
      </c>
      <c r="AA632" s="1362"/>
      <c r="AB632" s="1363"/>
      <c r="AC632" s="1343"/>
      <c r="AD632" s="1149"/>
      <c r="AE632" s="1344"/>
      <c r="AF632" s="1168"/>
      <c r="AG632" s="1169"/>
      <c r="AH632" s="1169"/>
      <c r="AI632" s="1169"/>
      <c r="AJ632" s="1170"/>
      <c r="AK632" s="1284"/>
      <c r="AL632" s="1285"/>
      <c r="AM632" s="1285"/>
      <c r="AN632" s="1286"/>
      <c r="AO632" s="1224"/>
      <c r="AP632" s="1224"/>
      <c r="AQ632" s="1224"/>
      <c r="AR632" s="1224"/>
      <c r="AS632" s="1224"/>
      <c r="AT632" s="946" t="str">
        <f t="shared" si="39"/>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6" t="s">
        <v>358</v>
      </c>
      <c r="C633" s="1107"/>
      <c r="D633" s="1107"/>
      <c r="E633" s="1107"/>
      <c r="F633" s="1107"/>
      <c r="G633" s="1107"/>
      <c r="H633" s="1107"/>
      <c r="I633" s="1107"/>
      <c r="J633" s="1107"/>
      <c r="K633" s="1107"/>
      <c r="L633" s="1107"/>
      <c r="M633" s="1107"/>
      <c r="N633" s="1107"/>
      <c r="O633" s="1107"/>
      <c r="P633" s="1107"/>
      <c r="Q633" s="1107"/>
      <c r="R633" s="1107"/>
      <c r="S633" s="1107"/>
      <c r="T633" s="1107"/>
      <c r="U633" s="1107"/>
      <c r="V633" s="1107"/>
      <c r="W633" s="1107"/>
      <c r="X633" s="1107"/>
      <c r="Y633" s="1107"/>
      <c r="Z633" s="1107"/>
      <c r="AA633" s="1107"/>
      <c r="AB633" s="1107"/>
      <c r="AC633" s="1107"/>
      <c r="AD633" s="1107"/>
      <c r="AE633" s="1107"/>
      <c r="AF633" s="1107"/>
      <c r="AG633" s="1107"/>
      <c r="AH633" s="1107"/>
      <c r="AI633" s="1107"/>
      <c r="AJ633" s="1107"/>
      <c r="AK633" s="1107"/>
      <c r="AL633" s="1107"/>
      <c r="AM633" s="1107"/>
      <c r="AN633" s="1109"/>
      <c r="AO633" s="1232">
        <f>SUM(AO621:AS632)</f>
        <v>21365328</v>
      </c>
      <c r="AP633" s="1233"/>
      <c r="AQ633" s="1233"/>
      <c r="AR633" s="1233"/>
      <c r="AS633" s="1234"/>
      <c r="AT633" s="43"/>
      <c r="AU633" s="43"/>
      <c r="AV633" s="43"/>
      <c r="AW633" s="43"/>
      <c r="AX633" s="43"/>
      <c r="AY633" s="43"/>
      <c r="AZ633" s="43"/>
      <c r="BN633" s="1509">
        <f>SUM(BN629:BR632)</f>
        <v>0</v>
      </c>
      <c r="BO633" s="1510"/>
      <c r="BP633" s="1510"/>
      <c r="BQ633" s="1510"/>
      <c r="BR633" s="1511"/>
      <c r="BS633" s="1509">
        <f>SUM(BS629:BW632)</f>
        <v>1</v>
      </c>
      <c r="BT633" s="1510"/>
      <c r="BU633" s="1510"/>
      <c r="BV633" s="1510"/>
      <c r="BW633" s="1511"/>
      <c r="BX633" s="1509">
        <f>SUM(BX629:CB632)</f>
        <v>0</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1981</v>
      </c>
      <c r="CU633" s="41"/>
    </row>
    <row r="634" spans="1:126" ht="12.9" customHeight="1">
      <c r="B634" s="1106" t="s">
        <v>359</v>
      </c>
      <c r="C634" s="1107"/>
      <c r="D634" s="1107"/>
      <c r="E634" s="1107"/>
      <c r="F634" s="1107"/>
      <c r="G634" s="1107"/>
      <c r="H634" s="1107"/>
      <c r="I634" s="1107"/>
      <c r="J634" s="1107"/>
      <c r="K634" s="1107"/>
      <c r="L634" s="1107"/>
      <c r="M634" s="1107"/>
      <c r="N634" s="1107"/>
      <c r="O634" s="1107"/>
      <c r="P634" s="1107"/>
      <c r="Q634" s="1107"/>
      <c r="R634" s="1107"/>
      <c r="S634" s="1107"/>
      <c r="T634" s="1107"/>
      <c r="U634" s="1107"/>
      <c r="V634" s="1107"/>
      <c r="W634" s="1107"/>
      <c r="X634" s="1107"/>
      <c r="Y634" s="1107"/>
      <c r="Z634" s="1107"/>
      <c r="AA634" s="1107"/>
      <c r="AB634" s="1107"/>
      <c r="AC634" s="1107"/>
      <c r="AD634" s="1107"/>
      <c r="AE634" s="1107"/>
      <c r="AF634" s="1107"/>
      <c r="AG634" s="1107"/>
      <c r="AH634" s="1107"/>
      <c r="AI634" s="1107"/>
      <c r="AJ634" s="1107"/>
      <c r="AK634" s="1107"/>
      <c r="AL634" s="1107"/>
      <c r="AM634" s="1107"/>
      <c r="AN634" s="1109"/>
      <c r="AO634" s="1221">
        <f>[1]EVERYTHING!$H$17-[1]EVERYTHING!$H$113</f>
        <v>19809191.53376168</v>
      </c>
      <c r="AP634" s="1222"/>
      <c r="AQ634" s="1222"/>
      <c r="AR634" s="1222"/>
      <c r="AS634" s="1223"/>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3" t="s">
        <v>940</v>
      </c>
      <c r="C635" s="1108"/>
      <c r="D635" s="1108"/>
      <c r="E635" s="1108"/>
      <c r="F635" s="1108"/>
      <c r="G635" s="1108"/>
      <c r="H635" s="1108"/>
      <c r="I635" s="1108"/>
      <c r="J635" s="1108"/>
      <c r="K635" s="1108"/>
      <c r="L635" s="1108"/>
      <c r="M635" s="1108"/>
      <c r="N635" s="1108"/>
      <c r="O635" s="1108"/>
      <c r="P635" s="1108"/>
      <c r="Q635" s="1108"/>
      <c r="R635" s="1108"/>
      <c r="S635" s="1108"/>
      <c r="T635" s="1108"/>
      <c r="U635" s="1108"/>
      <c r="V635" s="1108"/>
      <c r="W635" s="1108"/>
      <c r="X635" s="1108"/>
      <c r="Y635" s="1108"/>
      <c r="Z635" s="1108"/>
      <c r="AA635" s="1108"/>
      <c r="AB635" s="1108"/>
      <c r="AC635" s="1108"/>
      <c r="AD635" s="1108"/>
      <c r="AE635" s="1108"/>
      <c r="AF635" s="1108"/>
      <c r="AG635" s="1108"/>
      <c r="AH635" s="1108"/>
      <c r="AI635" s="1108"/>
      <c r="AJ635" s="1108"/>
      <c r="AK635" s="1108"/>
      <c r="AL635" s="1108"/>
      <c r="AM635" s="1108"/>
      <c r="AN635" s="1404"/>
      <c r="AO635" s="1232">
        <f>AO633+AO634</f>
        <v>41174519.53376168</v>
      </c>
      <c r="AP635" s="1233"/>
      <c r="AQ635" s="1233"/>
      <c r="AR635" s="1233"/>
      <c r="AS635" s="1234"/>
      <c r="AT635" s="43"/>
      <c r="AU635" s="43"/>
      <c r="AV635" s="43"/>
      <c r="AW635" s="43"/>
      <c r="AX635" s="43"/>
      <c r="AY635" s="43"/>
      <c r="AZ635" s="43"/>
      <c r="BN635" s="1069">
        <f t="shared" ref="BN635:BN644" si="40">IF(J766="SRO/Studio",O766,0)</f>
        <v>0</v>
      </c>
      <c r="BO635" s="1070"/>
      <c r="BP635" s="1070"/>
      <c r="BQ635" s="1070"/>
      <c r="BR635" s="1072"/>
      <c r="BS635" s="1069">
        <f t="shared" ref="BS635:BS644" si="41">IF(J766="1 Bedroom",O766,0)</f>
        <v>0</v>
      </c>
      <c r="BT635" s="1070"/>
      <c r="BU635" s="1070"/>
      <c r="BV635" s="1070"/>
      <c r="BW635" s="1072"/>
      <c r="BX635" s="1069">
        <f t="shared" ref="BX635:BX644" si="42">IF(J766="2 Bedrooms",O766,0)</f>
        <v>0</v>
      </c>
      <c r="BY635" s="1070"/>
      <c r="BZ635" s="1070"/>
      <c r="CA635" s="1070"/>
      <c r="CB635" s="1072"/>
      <c r="CC635" s="1069">
        <f t="shared" ref="CC635:CC644" si="43">IF(J766="3 Bedrooms",O766,0)</f>
        <v>0</v>
      </c>
      <c r="CD635" s="1070"/>
      <c r="CE635" s="1070"/>
      <c r="CF635" s="1070"/>
      <c r="CG635" s="1072"/>
      <c r="CH635" s="1069">
        <f t="shared" ref="CH635:CH644" si="44">IF(J766="4 Bedrooms",O766,0)</f>
        <v>0</v>
      </c>
      <c r="CI635" s="1070"/>
      <c r="CJ635" s="1070"/>
      <c r="CK635" s="1070"/>
      <c r="CL635" s="1072"/>
      <c r="CM635" s="1069">
        <f t="shared" ref="CM635:CM644" si="45">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40"/>
        <v>0</v>
      </c>
      <c r="BO636" s="1070"/>
      <c r="BP636" s="1070"/>
      <c r="BQ636" s="1070"/>
      <c r="BR636" s="1072"/>
      <c r="BS636" s="1069">
        <f t="shared" si="41"/>
        <v>0</v>
      </c>
      <c r="BT636" s="1070"/>
      <c r="BU636" s="1070"/>
      <c r="BV636" s="1070"/>
      <c r="BW636" s="1072"/>
      <c r="BX636" s="1069">
        <f t="shared" si="42"/>
        <v>0</v>
      </c>
      <c r="BY636" s="1070"/>
      <c r="BZ636" s="1070"/>
      <c r="CA636" s="1070"/>
      <c r="CB636" s="1072"/>
      <c r="CC636" s="1069">
        <f t="shared" si="43"/>
        <v>0</v>
      </c>
      <c r="CD636" s="1070"/>
      <c r="CE636" s="1070"/>
      <c r="CF636" s="1070"/>
      <c r="CG636" s="1072"/>
      <c r="CH636" s="1069">
        <f t="shared" si="44"/>
        <v>0</v>
      </c>
      <c r="CI636" s="1070"/>
      <c r="CJ636" s="1070"/>
      <c r="CK636" s="1070"/>
      <c r="CL636" s="1072"/>
      <c r="CM636" s="1069">
        <f t="shared" si="45"/>
        <v>0</v>
      </c>
      <c r="CN636" s="1070"/>
      <c r="CO636" s="1070"/>
      <c r="CP636" s="1070"/>
      <c r="CQ636" s="1072"/>
      <c r="CR636" s="41"/>
      <c r="CS636" s="41"/>
    </row>
    <row r="637" spans="1:126" ht="12.9" customHeight="1">
      <c r="A637" s="61" t="s">
        <v>900</v>
      </c>
      <c r="B637" t="s">
        <v>82</v>
      </c>
      <c r="G637" s="1190" t="str">
        <f>C621</f>
        <v>HCD-Homekey</v>
      </c>
      <c r="H637" s="1190"/>
      <c r="I637" s="1190"/>
      <c r="J637" s="1190"/>
      <c r="K637" s="1190"/>
      <c r="L637" s="1190"/>
      <c r="M637" s="1190"/>
      <c r="N637" s="1190"/>
      <c r="O637" s="1190"/>
      <c r="P637" s="1190"/>
      <c r="Q637" s="1190"/>
      <c r="R637" s="1190"/>
      <c r="S637" s="12"/>
      <c r="T637" s="61" t="s">
        <v>901</v>
      </c>
      <c r="U637" t="s">
        <v>82</v>
      </c>
      <c r="Z637" s="1190" t="str">
        <f>C622</f>
        <v>County of San Luis Obispo</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69">
        <f t="shared" si="40"/>
        <v>0</v>
      </c>
      <c r="BO637" s="1070"/>
      <c r="BP637" s="1070"/>
      <c r="BQ637" s="1070"/>
      <c r="BR637" s="1072"/>
      <c r="BS637" s="1069">
        <f t="shared" si="41"/>
        <v>0</v>
      </c>
      <c r="BT637" s="1070"/>
      <c r="BU637" s="1070"/>
      <c r="BV637" s="1070"/>
      <c r="BW637" s="1072"/>
      <c r="BX637" s="1069">
        <f t="shared" si="42"/>
        <v>0</v>
      </c>
      <c r="BY637" s="1070"/>
      <c r="BZ637" s="1070"/>
      <c r="CA637" s="1070"/>
      <c r="CB637" s="1072"/>
      <c r="CC637" s="1069">
        <f t="shared" si="43"/>
        <v>0</v>
      </c>
      <c r="CD637" s="1070"/>
      <c r="CE637" s="1070"/>
      <c r="CF637" s="1070"/>
      <c r="CG637" s="1072"/>
      <c r="CH637" s="1069">
        <f t="shared" si="44"/>
        <v>0</v>
      </c>
      <c r="CI637" s="1070"/>
      <c r="CJ637" s="1070"/>
      <c r="CK637" s="1070"/>
      <c r="CL637" s="1072"/>
      <c r="CM637" s="1069">
        <f t="shared" si="45"/>
        <v>0</v>
      </c>
      <c r="CN637" s="1070"/>
      <c r="CO637" s="1070"/>
      <c r="CP637" s="1070"/>
      <c r="CQ637" s="1072"/>
      <c r="CR637" s="41"/>
      <c r="CS637" s="41"/>
    </row>
    <row r="638" spans="1:126" ht="12.9" customHeight="1">
      <c r="A638" s="4"/>
      <c r="B638" t="s">
        <v>372</v>
      </c>
      <c r="G638" s="1056" t="s">
        <v>2447</v>
      </c>
      <c r="H638" s="1056"/>
      <c r="I638" s="1056"/>
      <c r="J638" s="1056"/>
      <c r="K638" s="1056"/>
      <c r="L638" s="1056"/>
      <c r="M638" s="1056"/>
      <c r="N638" s="1056"/>
      <c r="O638" s="1056"/>
      <c r="P638" s="1056"/>
      <c r="Q638" s="1056"/>
      <c r="R638" s="1056"/>
      <c r="S638" s="12"/>
      <c r="T638" s="4"/>
      <c r="U638" t="s">
        <v>372</v>
      </c>
      <c r="Z638" s="1056" t="s">
        <v>2458</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40"/>
        <v>0</v>
      </c>
      <c r="BO638" s="1070"/>
      <c r="BP638" s="1070"/>
      <c r="BQ638" s="1070"/>
      <c r="BR638" s="1072"/>
      <c r="BS638" s="1069">
        <f t="shared" si="41"/>
        <v>0</v>
      </c>
      <c r="BT638" s="1070"/>
      <c r="BU638" s="1070"/>
      <c r="BV638" s="1070"/>
      <c r="BW638" s="1072"/>
      <c r="BX638" s="1069">
        <f t="shared" si="42"/>
        <v>0</v>
      </c>
      <c r="BY638" s="1070"/>
      <c r="BZ638" s="1070"/>
      <c r="CA638" s="1070"/>
      <c r="CB638" s="1072"/>
      <c r="CC638" s="1069">
        <f t="shared" si="43"/>
        <v>0</v>
      </c>
      <c r="CD638" s="1070"/>
      <c r="CE638" s="1070"/>
      <c r="CF638" s="1070"/>
      <c r="CG638" s="1072"/>
      <c r="CH638" s="1069">
        <f t="shared" si="44"/>
        <v>0</v>
      </c>
      <c r="CI638" s="1070"/>
      <c r="CJ638" s="1070"/>
      <c r="CK638" s="1070"/>
      <c r="CL638" s="1072"/>
      <c r="CM638" s="1069">
        <f t="shared" si="45"/>
        <v>0</v>
      </c>
      <c r="CN638" s="1070"/>
      <c r="CO638" s="1070"/>
      <c r="CP638" s="1070"/>
      <c r="CQ638" s="1072"/>
      <c r="CR638" s="41"/>
      <c r="CS638" s="41"/>
    </row>
    <row r="639" spans="1:126" ht="12.9" customHeight="1">
      <c r="A639" s="4"/>
      <c r="B639" t="s">
        <v>430</v>
      </c>
      <c r="G639" s="1056" t="s">
        <v>110</v>
      </c>
      <c r="H639" s="1056"/>
      <c r="I639" s="1056"/>
      <c r="J639" s="1056"/>
      <c r="K639" s="1056"/>
      <c r="L639" s="1056"/>
      <c r="M639" s="1056"/>
      <c r="N639" s="1056"/>
      <c r="O639" s="1056"/>
      <c r="P639" s="1056"/>
      <c r="Q639" s="1056"/>
      <c r="R639" s="1056"/>
      <c r="T639" s="4"/>
      <c r="U639" t="s">
        <v>430</v>
      </c>
      <c r="Z639" s="1054" t="s">
        <v>116</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40"/>
        <v>0</v>
      </c>
      <c r="BO639" s="1070"/>
      <c r="BP639" s="1070"/>
      <c r="BQ639" s="1070"/>
      <c r="BR639" s="1072"/>
      <c r="BS639" s="1069">
        <f t="shared" si="41"/>
        <v>0</v>
      </c>
      <c r="BT639" s="1070"/>
      <c r="BU639" s="1070"/>
      <c r="BV639" s="1070"/>
      <c r="BW639" s="1072"/>
      <c r="BX639" s="1069">
        <f t="shared" si="42"/>
        <v>0</v>
      </c>
      <c r="BY639" s="1070"/>
      <c r="BZ639" s="1070"/>
      <c r="CA639" s="1070"/>
      <c r="CB639" s="1072"/>
      <c r="CC639" s="1069">
        <f t="shared" si="43"/>
        <v>0</v>
      </c>
      <c r="CD639" s="1070"/>
      <c r="CE639" s="1070"/>
      <c r="CF639" s="1070"/>
      <c r="CG639" s="1072"/>
      <c r="CH639" s="1069">
        <f t="shared" si="44"/>
        <v>0</v>
      </c>
      <c r="CI639" s="1070"/>
      <c r="CJ639" s="1070"/>
      <c r="CK639" s="1070"/>
      <c r="CL639" s="1072"/>
      <c r="CM639" s="1069">
        <f t="shared" si="45"/>
        <v>0</v>
      </c>
      <c r="CN639" s="1070"/>
      <c r="CO639" s="1070"/>
      <c r="CP639" s="1070"/>
      <c r="CQ639" s="1072"/>
      <c r="CR639" s="41"/>
      <c r="CS639" s="41"/>
    </row>
    <row r="640" spans="1:126" ht="12.9" customHeight="1">
      <c r="A640" s="4"/>
      <c r="B640" t="s">
        <v>833</v>
      </c>
      <c r="G640" s="1056" t="s">
        <v>2448</v>
      </c>
      <c r="H640" s="1056"/>
      <c r="I640" s="1056"/>
      <c r="J640" s="1056"/>
      <c r="K640" s="1056"/>
      <c r="L640" s="1056"/>
      <c r="M640" s="1056"/>
      <c r="N640" s="1056"/>
      <c r="O640" s="1056"/>
      <c r="P640" s="1056"/>
      <c r="Q640" s="1056"/>
      <c r="R640" s="1056"/>
      <c r="S640" s="12"/>
      <c r="T640" s="4"/>
      <c r="U640" t="s">
        <v>833</v>
      </c>
      <c r="Z640" s="1054" t="s">
        <v>2444</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40"/>
        <v>0</v>
      </c>
      <c r="BO640" s="1070"/>
      <c r="BP640" s="1070"/>
      <c r="BQ640" s="1070"/>
      <c r="BR640" s="1072"/>
      <c r="BS640" s="1069">
        <f t="shared" si="41"/>
        <v>0</v>
      </c>
      <c r="BT640" s="1070"/>
      <c r="BU640" s="1070"/>
      <c r="BV640" s="1070"/>
      <c r="BW640" s="1072"/>
      <c r="BX640" s="1069">
        <f t="shared" si="42"/>
        <v>0</v>
      </c>
      <c r="BY640" s="1070"/>
      <c r="BZ640" s="1070"/>
      <c r="CA640" s="1070"/>
      <c r="CB640" s="1072"/>
      <c r="CC640" s="1069">
        <f t="shared" si="43"/>
        <v>0</v>
      </c>
      <c r="CD640" s="1070"/>
      <c r="CE640" s="1070"/>
      <c r="CF640" s="1070"/>
      <c r="CG640" s="1072"/>
      <c r="CH640" s="1069">
        <f t="shared" si="44"/>
        <v>0</v>
      </c>
      <c r="CI640" s="1070"/>
      <c r="CJ640" s="1070"/>
      <c r="CK640" s="1070"/>
      <c r="CL640" s="1072"/>
      <c r="CM640" s="1069">
        <f t="shared" si="45"/>
        <v>0</v>
      </c>
      <c r="CN640" s="1070"/>
      <c r="CO640" s="1070"/>
      <c r="CP640" s="1070"/>
      <c r="CQ640" s="1072"/>
      <c r="CR640" s="41"/>
      <c r="CS640" s="41"/>
    </row>
    <row r="641" spans="1:97" ht="12.9" customHeight="1">
      <c r="A641" s="4"/>
      <c r="B641" t="s">
        <v>650</v>
      </c>
      <c r="G641" s="1059" t="s">
        <v>2449</v>
      </c>
      <c r="H641" s="1059"/>
      <c r="I641" s="1059"/>
      <c r="J641" s="1059"/>
      <c r="K641" s="1059"/>
      <c r="L641" s="1059"/>
      <c r="O641" s="42" t="s">
        <v>818</v>
      </c>
      <c r="P641" s="1320"/>
      <c r="Q641" s="1320"/>
      <c r="R641" s="1320"/>
      <c r="S641" s="14"/>
      <c r="T641" s="4"/>
      <c r="U641" t="s">
        <v>650</v>
      </c>
      <c r="Z641" s="1059" t="s">
        <v>2445</v>
      </c>
      <c r="AA641" s="1059"/>
      <c r="AB641" s="1059"/>
      <c r="AC641" s="1059"/>
      <c r="AD641" s="1059"/>
      <c r="AE641" s="1059"/>
      <c r="AH641" s="42" t="s">
        <v>818</v>
      </c>
      <c r="AI641" s="1320"/>
      <c r="AJ641" s="1320"/>
      <c r="AK641" s="1320"/>
      <c r="AM641" s="43"/>
      <c r="AN641" s="43"/>
      <c r="AO641" s="43"/>
      <c r="AP641" s="43"/>
      <c r="AQ641" s="43"/>
      <c r="AR641" s="43"/>
      <c r="AS641" s="43"/>
      <c r="AT641" s="43"/>
      <c r="AU641" s="43"/>
      <c r="AV641" s="43"/>
      <c r="AW641" s="43"/>
      <c r="AX641" s="43"/>
      <c r="AY641" s="43"/>
      <c r="AZ641" s="43"/>
      <c r="BN641" s="1069">
        <f t="shared" si="40"/>
        <v>0</v>
      </c>
      <c r="BO641" s="1070"/>
      <c r="BP641" s="1070"/>
      <c r="BQ641" s="1070"/>
      <c r="BR641" s="1072"/>
      <c r="BS641" s="1069">
        <f t="shared" si="41"/>
        <v>0</v>
      </c>
      <c r="BT641" s="1070"/>
      <c r="BU641" s="1070"/>
      <c r="BV641" s="1070"/>
      <c r="BW641" s="1072"/>
      <c r="BX641" s="1069">
        <f t="shared" si="42"/>
        <v>0</v>
      </c>
      <c r="BY641" s="1070"/>
      <c r="BZ641" s="1070"/>
      <c r="CA641" s="1070"/>
      <c r="CB641" s="1072"/>
      <c r="CC641" s="1069">
        <f t="shared" si="43"/>
        <v>0</v>
      </c>
      <c r="CD641" s="1070"/>
      <c r="CE641" s="1070"/>
      <c r="CF641" s="1070"/>
      <c r="CG641" s="1072"/>
      <c r="CH641" s="1069">
        <f t="shared" si="44"/>
        <v>0</v>
      </c>
      <c r="CI641" s="1070"/>
      <c r="CJ641" s="1070"/>
      <c r="CK641" s="1070"/>
      <c r="CL641" s="1072"/>
      <c r="CM641" s="1069">
        <f t="shared" si="45"/>
        <v>0</v>
      </c>
      <c r="CN641" s="1070"/>
      <c r="CO641" s="1070"/>
      <c r="CP641" s="1070"/>
      <c r="CQ641" s="1072"/>
      <c r="CR641" s="41"/>
      <c r="CS641" s="41"/>
    </row>
    <row r="642" spans="1:97" ht="12.9" customHeight="1">
      <c r="A642" s="4"/>
      <c r="B642" t="s">
        <v>834</v>
      </c>
      <c r="H642" s="1056" t="s">
        <v>2446</v>
      </c>
      <c r="I642" s="1056"/>
      <c r="J642" s="1056"/>
      <c r="K642" s="1056"/>
      <c r="L642" s="1056"/>
      <c r="M642" s="1056"/>
      <c r="N642" s="1056"/>
      <c r="O642" s="1056"/>
      <c r="P642" s="1056"/>
      <c r="Q642" s="1056"/>
      <c r="R642" s="1056"/>
      <c r="S642" s="12"/>
      <c r="T642" s="4"/>
      <c r="U642" t="s">
        <v>834</v>
      </c>
      <c r="AA642" s="1056" t="s">
        <v>2446</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40"/>
        <v>0</v>
      </c>
      <c r="BO642" s="1070"/>
      <c r="BP642" s="1070"/>
      <c r="BQ642" s="1070"/>
      <c r="BR642" s="1072"/>
      <c r="BS642" s="1069">
        <f t="shared" si="41"/>
        <v>0</v>
      </c>
      <c r="BT642" s="1070"/>
      <c r="BU642" s="1070"/>
      <c r="BV642" s="1070"/>
      <c r="BW642" s="1072"/>
      <c r="BX642" s="1069">
        <f t="shared" si="42"/>
        <v>0</v>
      </c>
      <c r="BY642" s="1070"/>
      <c r="BZ642" s="1070"/>
      <c r="CA642" s="1070"/>
      <c r="CB642" s="1072"/>
      <c r="CC642" s="1069">
        <f t="shared" si="43"/>
        <v>0</v>
      </c>
      <c r="CD642" s="1070"/>
      <c r="CE642" s="1070"/>
      <c r="CF642" s="1070"/>
      <c r="CG642" s="1072"/>
      <c r="CH642" s="1069">
        <f t="shared" si="44"/>
        <v>0</v>
      </c>
      <c r="CI642" s="1070"/>
      <c r="CJ642" s="1070"/>
      <c r="CK642" s="1070"/>
      <c r="CL642" s="1072"/>
      <c r="CM642" s="1069">
        <f t="shared" si="45"/>
        <v>0</v>
      </c>
      <c r="CN642" s="1070"/>
      <c r="CO642" s="1070"/>
      <c r="CP642" s="1070"/>
      <c r="CQ642" s="1072"/>
      <c r="CR642" s="41"/>
      <c r="CS642" s="41"/>
    </row>
    <row r="643" spans="1:97" ht="12.9" customHeight="1">
      <c r="A643" s="5"/>
      <c r="B643" t="s">
        <v>836</v>
      </c>
      <c r="N643" s="1120" t="s">
        <v>108</v>
      </c>
      <c r="O643" s="1120"/>
      <c r="T643" s="4"/>
      <c r="U643" t="s">
        <v>836</v>
      </c>
      <c r="AG643" s="1120" t="s">
        <v>108</v>
      </c>
      <c r="AH643" s="1120"/>
      <c r="AM643" s="43"/>
      <c r="AN643" s="43"/>
      <c r="AO643" s="43"/>
      <c r="AP643" s="43"/>
      <c r="AQ643" s="43"/>
      <c r="AR643" s="43"/>
      <c r="AS643" s="43"/>
      <c r="AT643" s="43"/>
      <c r="AU643" s="43"/>
      <c r="AV643" s="43"/>
      <c r="AW643" s="43"/>
      <c r="AX643" s="43"/>
      <c r="AY643" s="43"/>
      <c r="AZ643" s="43"/>
      <c r="BA643" s="43"/>
      <c r="BB643" s="41"/>
      <c r="BC643" s="41"/>
      <c r="BD643" s="41"/>
      <c r="BN643" s="1069">
        <f t="shared" si="40"/>
        <v>0</v>
      </c>
      <c r="BO643" s="1070"/>
      <c r="BP643" s="1070"/>
      <c r="BQ643" s="1070"/>
      <c r="BR643" s="1072"/>
      <c r="BS643" s="1069">
        <f t="shared" si="41"/>
        <v>0</v>
      </c>
      <c r="BT643" s="1070"/>
      <c r="BU643" s="1070"/>
      <c r="BV643" s="1070"/>
      <c r="BW643" s="1072"/>
      <c r="BX643" s="1069">
        <f t="shared" si="42"/>
        <v>0</v>
      </c>
      <c r="BY643" s="1070"/>
      <c r="BZ643" s="1070"/>
      <c r="CA643" s="1070"/>
      <c r="CB643" s="1072"/>
      <c r="CC643" s="1069">
        <f t="shared" si="43"/>
        <v>0</v>
      </c>
      <c r="CD643" s="1070"/>
      <c r="CE643" s="1070"/>
      <c r="CF643" s="1070"/>
      <c r="CG643" s="1072"/>
      <c r="CH643" s="1069">
        <f t="shared" si="44"/>
        <v>0</v>
      </c>
      <c r="CI643" s="1070"/>
      <c r="CJ643" s="1070"/>
      <c r="CK643" s="1070"/>
      <c r="CL643" s="1072"/>
      <c r="CM643" s="1069">
        <f t="shared" si="45"/>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40"/>
        <v>0</v>
      </c>
      <c r="BO644" s="1070"/>
      <c r="BP644" s="1070"/>
      <c r="BQ644" s="1070"/>
      <c r="BR644" s="1072"/>
      <c r="BS644" s="1069">
        <f t="shared" si="41"/>
        <v>0</v>
      </c>
      <c r="BT644" s="1070"/>
      <c r="BU644" s="1070"/>
      <c r="BV644" s="1070"/>
      <c r="BW644" s="1072"/>
      <c r="BX644" s="1069">
        <f t="shared" si="42"/>
        <v>0</v>
      </c>
      <c r="BY644" s="1070"/>
      <c r="BZ644" s="1070"/>
      <c r="CA644" s="1070"/>
      <c r="CB644" s="1072"/>
      <c r="CC644" s="1069">
        <f t="shared" si="43"/>
        <v>0</v>
      </c>
      <c r="CD644" s="1070"/>
      <c r="CE644" s="1070"/>
      <c r="CF644" s="1070"/>
      <c r="CG644" s="1072"/>
      <c r="CH644" s="1069">
        <f t="shared" si="44"/>
        <v>0</v>
      </c>
      <c r="CI644" s="1070"/>
      <c r="CJ644" s="1070"/>
      <c r="CK644" s="1070"/>
      <c r="CL644" s="1072"/>
      <c r="CM644" s="1069">
        <f t="shared" si="45"/>
        <v>0</v>
      </c>
      <c r="CN644" s="1070"/>
      <c r="CO644" s="1070"/>
      <c r="CP644" s="1070"/>
      <c r="CQ644" s="1072"/>
      <c r="CR644" s="41"/>
      <c r="CS644" s="41"/>
    </row>
    <row r="645" spans="1:97" ht="12.9" customHeight="1">
      <c r="A645" s="61" t="s">
        <v>907</v>
      </c>
      <c r="B645" t="s">
        <v>82</v>
      </c>
      <c r="G645" s="1190" t="str">
        <f>C623</f>
        <v>City of San Luis Obispo</v>
      </c>
      <c r="H645" s="1190"/>
      <c r="I645" s="1190"/>
      <c r="J645" s="1190"/>
      <c r="K645" s="1190"/>
      <c r="L645" s="1190"/>
      <c r="M645" s="1190"/>
      <c r="N645" s="1190"/>
      <c r="O645" s="1190"/>
      <c r="P645" s="1190"/>
      <c r="Q645" s="1190"/>
      <c r="R645" s="1190"/>
      <c r="T645" s="61" t="s">
        <v>431</v>
      </c>
      <c r="U645" t="s">
        <v>82</v>
      </c>
      <c r="Z645" s="1190" t="str">
        <f>C624</f>
        <v>Sponsor Loan - PSHHC - Wells Fargo</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372</v>
      </c>
      <c r="G646" s="1056" t="s">
        <v>2450</v>
      </c>
      <c r="H646" s="1056"/>
      <c r="I646" s="1056"/>
      <c r="J646" s="1056"/>
      <c r="K646" s="1056"/>
      <c r="L646" s="1056"/>
      <c r="M646" s="1056"/>
      <c r="N646" s="1056"/>
      <c r="O646" s="1056"/>
      <c r="P646" s="1056"/>
      <c r="Q646" s="1056"/>
      <c r="R646" s="1056"/>
      <c r="T646" s="4"/>
      <c r="U646" t="s">
        <v>372</v>
      </c>
      <c r="Z646" s="1056" t="s">
        <v>2327</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116</v>
      </c>
      <c r="H647" s="1054"/>
      <c r="I647" s="1054"/>
      <c r="J647" s="1054"/>
      <c r="K647" s="1054"/>
      <c r="L647" s="1054"/>
      <c r="M647" s="1054"/>
      <c r="N647" s="1054"/>
      <c r="O647" s="1054"/>
      <c r="P647" s="1054"/>
      <c r="Q647" s="1054"/>
      <c r="R647" s="1054"/>
      <c r="T647" s="4"/>
      <c r="U647" t="s">
        <v>430</v>
      </c>
      <c r="Z647" s="1054" t="s">
        <v>116</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t="s">
        <v>2451</v>
      </c>
      <c r="H648" s="1054"/>
      <c r="I648" s="1054"/>
      <c r="J648" s="1054"/>
      <c r="K648" s="1054"/>
      <c r="L648" s="1054"/>
      <c r="M648" s="1054"/>
      <c r="N648" s="1054"/>
      <c r="O648" s="1054"/>
      <c r="P648" s="1054"/>
      <c r="Q648" s="1054"/>
      <c r="R648" s="1054"/>
      <c r="T648" s="4"/>
      <c r="U648" t="s">
        <v>833</v>
      </c>
      <c r="Z648" s="1054" t="s">
        <v>2323</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9" t="s">
        <v>2452</v>
      </c>
      <c r="H649" s="1059"/>
      <c r="I649" s="1059"/>
      <c r="J649" s="1059"/>
      <c r="K649" s="1059"/>
      <c r="L649" s="1059"/>
      <c r="O649" s="42" t="s">
        <v>818</v>
      </c>
      <c r="P649" s="1320"/>
      <c r="Q649" s="1320"/>
      <c r="R649" s="1320"/>
      <c r="T649" s="4"/>
      <c r="U649" t="s">
        <v>650</v>
      </c>
      <c r="Z649" s="1059" t="s">
        <v>2329</v>
      </c>
      <c r="AA649" s="1059"/>
      <c r="AB649" s="1059"/>
      <c r="AC649" s="1059"/>
      <c r="AD649" s="1059"/>
      <c r="AE649" s="1059"/>
      <c r="AH649" s="42" t="s">
        <v>818</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75</v>
      </c>
      <c r="CR649" s="41"/>
      <c r="CS649" s="41"/>
    </row>
    <row r="650" spans="1:97" ht="12.9" customHeight="1">
      <c r="A650" s="4"/>
      <c r="B650" t="s">
        <v>834</v>
      </c>
      <c r="H650" s="1056" t="s">
        <v>2446</v>
      </c>
      <c r="I650" s="1056"/>
      <c r="J650" s="1056"/>
      <c r="K650" s="1056"/>
      <c r="L650" s="1056"/>
      <c r="M650" s="1056"/>
      <c r="N650" s="1056"/>
      <c r="O650" s="1056"/>
      <c r="P650" s="1056"/>
      <c r="Q650" s="1056"/>
      <c r="R650" s="1056"/>
      <c r="T650" s="4"/>
      <c r="U650" t="s">
        <v>834</v>
      </c>
      <c r="AA650" s="1056" t="s">
        <v>2446</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20" t="s">
        <v>108</v>
      </c>
      <c r="O651" s="1120"/>
      <c r="T651" s="4"/>
      <c r="U651" t="s">
        <v>836</v>
      </c>
      <c r="AG651" s="1120" t="s">
        <v>108</v>
      </c>
      <c r="AH651" s="1120"/>
      <c r="AM651" s="41"/>
      <c r="AN651" s="41"/>
      <c r="AO651" s="41"/>
      <c r="AP651" s="41"/>
      <c r="AQ651" s="41"/>
      <c r="AR651" s="41"/>
      <c r="AS651" s="41"/>
      <c r="AT651" s="41"/>
      <c r="AU651" s="41"/>
      <c r="AV651" s="41"/>
      <c r="AW651" s="41"/>
      <c r="AX651" s="41"/>
      <c r="AY651" s="41"/>
      <c r="AZ651" s="41"/>
      <c r="BA651" s="41"/>
      <c r="BB651" s="41"/>
      <c r="BC651" s="41"/>
      <c r="BD651" s="41"/>
      <c r="BN651" s="1509">
        <f>BN626+BN633+BN645</f>
        <v>70</v>
      </c>
      <c r="BO651" s="1510"/>
      <c r="BP651" s="1510"/>
      <c r="BQ651" s="1510"/>
      <c r="BR651" s="1511"/>
      <c r="BS651" s="1509">
        <f>BS626+BS633+BS645</f>
        <v>6</v>
      </c>
      <c r="BT651" s="1510"/>
      <c r="BU651" s="1510"/>
      <c r="BV651" s="1510"/>
      <c r="BW651" s="1511"/>
      <c r="BX651" s="1509">
        <f>BX626+BX633+BX645</f>
        <v>0</v>
      </c>
      <c r="BY651" s="1510"/>
      <c r="BZ651" s="1510"/>
      <c r="CA651" s="1510"/>
      <c r="CB651" s="1511"/>
      <c r="CC651" s="1509">
        <f>CC626+CC633+CC645</f>
        <v>0</v>
      </c>
      <c r="CD651" s="1510"/>
      <c r="CE651" s="1510"/>
      <c r="CF651" s="1510"/>
      <c r="CG651" s="1511"/>
      <c r="CH651" s="1509">
        <f>CH626+CH633+CH645</f>
        <v>0</v>
      </c>
      <c r="CI651" s="1510"/>
      <c r="CJ651" s="1510"/>
      <c r="CK651" s="1510"/>
      <c r="CL651" s="1511"/>
      <c r="CM651" s="1075">
        <f>CM645+CM633+CM626</f>
        <v>0</v>
      </c>
      <c r="CN651" s="1309"/>
      <c r="CO651" s="1309"/>
      <c r="CP651" s="1309"/>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0" t="str">
        <f>C625</f>
        <v>Sponsor Loan - PSHHC - Balayko</v>
      </c>
      <c r="H653" s="1190"/>
      <c r="I653" s="1190"/>
      <c r="J653" s="1190"/>
      <c r="K653" s="1190"/>
      <c r="L653" s="1190"/>
      <c r="M653" s="1190"/>
      <c r="N653" s="1190"/>
      <c r="O653" s="1190"/>
      <c r="P653" s="1190"/>
      <c r="Q653" s="1190"/>
      <c r="R653" s="1190"/>
      <c r="T653" s="61" t="s">
        <v>434</v>
      </c>
      <c r="U653" t="s">
        <v>82</v>
      </c>
      <c r="Z653" s="1190" t="str">
        <f>C626</f>
        <v>GP Equity</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t="s">
        <v>2327</v>
      </c>
      <c r="H654" s="1056"/>
      <c r="I654" s="1056"/>
      <c r="J654" s="1056"/>
      <c r="K654" s="1056"/>
      <c r="L654" s="1056"/>
      <c r="M654" s="1056"/>
      <c r="N654" s="1056"/>
      <c r="O654" s="1056"/>
      <c r="P654" s="1056"/>
      <c r="Q654" s="1056"/>
      <c r="R654" s="1056"/>
      <c r="T654" s="4"/>
      <c r="U654" t="s">
        <v>372</v>
      </c>
      <c r="Z654" s="1056" t="s">
        <v>2327</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t="s">
        <v>116</v>
      </c>
      <c r="H655" s="1056"/>
      <c r="I655" s="1056"/>
      <c r="J655" s="1056"/>
      <c r="K655" s="1056"/>
      <c r="L655" s="1056"/>
      <c r="M655" s="1056"/>
      <c r="N655" s="1056"/>
      <c r="O655" s="1056"/>
      <c r="P655" s="1056"/>
      <c r="Q655" s="1056"/>
      <c r="R655" s="1056"/>
      <c r="T655" s="4"/>
      <c r="U655" t="s">
        <v>430</v>
      </c>
      <c r="Z655" s="1054" t="s">
        <v>116</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t="s">
        <v>2323</v>
      </c>
      <c r="H656" s="1056"/>
      <c r="I656" s="1056"/>
      <c r="J656" s="1056"/>
      <c r="K656" s="1056"/>
      <c r="L656" s="1056"/>
      <c r="M656" s="1056"/>
      <c r="N656" s="1056"/>
      <c r="O656" s="1056"/>
      <c r="P656" s="1056"/>
      <c r="Q656" s="1056"/>
      <c r="R656" s="1056"/>
      <c r="T656" s="4"/>
      <c r="U656" t="s">
        <v>833</v>
      </c>
      <c r="Z656" s="1054" t="s">
        <v>2323</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9" t="s">
        <v>2329</v>
      </c>
      <c r="H657" s="1059"/>
      <c r="I657" s="1059"/>
      <c r="J657" s="1059"/>
      <c r="K657" s="1059"/>
      <c r="L657" s="1059"/>
      <c r="O657" s="42" t="s">
        <v>818</v>
      </c>
      <c r="P657" s="1320"/>
      <c r="Q657" s="1320"/>
      <c r="R657" s="1320"/>
      <c r="T657" s="4"/>
      <c r="U657" t="s">
        <v>650</v>
      </c>
      <c r="Z657" s="1059" t="s">
        <v>2329</v>
      </c>
      <c r="AA657" s="1059"/>
      <c r="AB657" s="1059"/>
      <c r="AC657" s="1059"/>
      <c r="AD657" s="1059"/>
      <c r="AE657" s="1059"/>
      <c r="AH657" s="42" t="s">
        <v>818</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t="s">
        <v>2446</v>
      </c>
      <c r="I658" s="1056"/>
      <c r="J658" s="1056"/>
      <c r="K658" s="1056"/>
      <c r="L658" s="1056"/>
      <c r="M658" s="1056"/>
      <c r="N658" s="1056"/>
      <c r="O658" s="1056"/>
      <c r="P658" s="1056"/>
      <c r="Q658" s="1056"/>
      <c r="R658" s="1056"/>
      <c r="T658" s="4"/>
      <c r="U658" t="s">
        <v>834</v>
      </c>
      <c r="AA658" s="1056" t="s">
        <v>2366</v>
      </c>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20" t="s">
        <v>108</v>
      </c>
      <c r="O659" s="1120"/>
      <c r="T659" s="4"/>
      <c r="U659" t="s">
        <v>836</v>
      </c>
      <c r="AG659" s="1120" t="s">
        <v>108</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90">
        <f>C627</f>
        <v>0</v>
      </c>
      <c r="H661" s="1190"/>
      <c r="I661" s="1190"/>
      <c r="J661" s="1190"/>
      <c r="K661" s="1190"/>
      <c r="L661" s="1190"/>
      <c r="M661" s="1190"/>
      <c r="N661" s="1190"/>
      <c r="O661" s="1190"/>
      <c r="P661" s="1190"/>
      <c r="Q661" s="1190"/>
      <c r="R661" s="1190"/>
      <c r="T661" s="61" t="s">
        <v>743</v>
      </c>
      <c r="U661" t="s">
        <v>82</v>
      </c>
      <c r="Z661" s="1190">
        <f>C628</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9"/>
      <c r="H665" s="1059"/>
      <c r="I665" s="1059"/>
      <c r="J665" s="1059"/>
      <c r="K665" s="1059"/>
      <c r="L665" s="1059"/>
      <c r="O665" s="42" t="s">
        <v>818</v>
      </c>
      <c r="P665" s="1320"/>
      <c r="Q665" s="1320"/>
      <c r="R665" s="1320"/>
      <c r="T665" s="4"/>
      <c r="U665" t="s">
        <v>650</v>
      </c>
      <c r="Z665" s="1059"/>
      <c r="AA665" s="1059"/>
      <c r="AB665" s="1059"/>
      <c r="AC665" s="1059"/>
      <c r="AD665" s="1059"/>
      <c r="AE665" s="1059"/>
      <c r="AH665" s="42" t="s">
        <v>818</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20" t="s">
        <v>482</v>
      </c>
      <c r="O667" s="1120"/>
      <c r="T667" s="4"/>
      <c r="U667" t="s">
        <v>836</v>
      </c>
      <c r="AG667" s="1120" t="s">
        <v>482</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90">
        <f>C629</f>
        <v>0</v>
      </c>
      <c r="H669" s="1190"/>
      <c r="I669" s="1190"/>
      <c r="J669" s="1190"/>
      <c r="K669" s="1190"/>
      <c r="L669" s="1190"/>
      <c r="M669" s="1190"/>
      <c r="N669" s="1190"/>
      <c r="O669" s="1190"/>
      <c r="P669" s="1190"/>
      <c r="Q669" s="1190"/>
      <c r="R669" s="1190"/>
      <c r="T669" s="61" t="s">
        <v>174</v>
      </c>
      <c r="U669" t="s">
        <v>82</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9"/>
      <c r="H673" s="1059"/>
      <c r="I673" s="1059"/>
      <c r="J673" s="1059"/>
      <c r="K673" s="1059"/>
      <c r="L673" s="1059"/>
      <c r="O673" s="42" t="s">
        <v>818</v>
      </c>
      <c r="P673" s="1320"/>
      <c r="Q673" s="1320"/>
      <c r="R673" s="1320"/>
      <c r="T673" s="4"/>
      <c r="U673" t="s">
        <v>650</v>
      </c>
      <c r="Z673" s="1059"/>
      <c r="AA673" s="1059"/>
      <c r="AB673" s="1059"/>
      <c r="AC673" s="1059"/>
      <c r="AD673" s="1059"/>
      <c r="AE673" s="1059"/>
      <c r="AH673" s="42" t="s">
        <v>818</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20" t="s">
        <v>482</v>
      </c>
      <c r="O675" s="1120"/>
      <c r="T675" s="4"/>
      <c r="U675" t="s">
        <v>836</v>
      </c>
      <c r="AG675" s="1120" t="s">
        <v>482</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0">
        <f>C631</f>
        <v>0</v>
      </c>
      <c r="H677" s="1190"/>
      <c r="I677" s="1190"/>
      <c r="J677" s="1190"/>
      <c r="K677" s="1190"/>
      <c r="L677" s="1190"/>
      <c r="M677" s="1190"/>
      <c r="N677" s="1190"/>
      <c r="O677" s="1190"/>
      <c r="P677" s="1190"/>
      <c r="Q677" s="1190"/>
      <c r="R677" s="1190"/>
      <c r="T677" s="61" t="s">
        <v>33</v>
      </c>
      <c r="U677" t="s">
        <v>82</v>
      </c>
      <c r="Z677" s="1190">
        <f>C632</f>
        <v>0</v>
      </c>
      <c r="AA677" s="1190"/>
      <c r="AB677" s="1190"/>
      <c r="AC677" s="1190"/>
      <c r="AD677" s="1190"/>
      <c r="AE677" s="1190"/>
      <c r="AF677" s="1190"/>
      <c r="AG677" s="1190"/>
      <c r="AH677" s="1190"/>
      <c r="AI677" s="1190"/>
      <c r="AJ677" s="1190"/>
      <c r="AK677" s="119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9"/>
      <c r="H681" s="1059"/>
      <c r="I681" s="1059"/>
      <c r="J681" s="1059"/>
      <c r="K681" s="1059"/>
      <c r="L681" s="1059"/>
      <c r="O681" s="42" t="s">
        <v>818</v>
      </c>
      <c r="P681" s="1320"/>
      <c r="Q681" s="1320"/>
      <c r="R681" s="1320"/>
      <c r="U681" t="s">
        <v>650</v>
      </c>
      <c r="Z681" s="1059"/>
      <c r="AA681" s="1059"/>
      <c r="AB681" s="1059"/>
      <c r="AC681" s="1059"/>
      <c r="AD681" s="1059"/>
      <c r="AE681" s="1059"/>
      <c r="AH681" s="42" t="s">
        <v>818</v>
      </c>
      <c r="AI681" s="1320"/>
      <c r="AJ681" s="1320"/>
      <c r="AK681" s="132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20" t="s">
        <v>482</v>
      </c>
      <c r="O683" s="1120"/>
      <c r="U683" t="s">
        <v>836</v>
      </c>
      <c r="AG683" s="1120" t="s">
        <v>482</v>
      </c>
      <c r="AH683" s="112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1" t="s">
        <v>54</v>
      </c>
      <c r="C691" s="1272"/>
      <c r="D691" s="1272"/>
      <c r="E691" s="1272"/>
      <c r="F691" s="1273"/>
      <c r="G691" s="1271" t="s">
        <v>256</v>
      </c>
      <c r="H691" s="1272"/>
      <c r="I691" s="1272"/>
      <c r="J691" s="1273"/>
      <c r="K691" s="1461" t="s">
        <v>1993</v>
      </c>
      <c r="L691" s="1462"/>
      <c r="M691" s="1462"/>
      <c r="N691" s="1463"/>
      <c r="O691" s="1271" t="s">
        <v>589</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1994</v>
      </c>
      <c r="AI691" s="1272"/>
      <c r="AJ691" s="1272"/>
      <c r="AK691" s="1272"/>
      <c r="AL691" s="1273"/>
      <c r="AM691" s="1271" t="s">
        <v>1995</v>
      </c>
      <c r="AN691" s="1272"/>
      <c r="AO691" s="127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4"/>
      <c r="C692" s="1275"/>
      <c r="D692" s="1275"/>
      <c r="E692" s="1275"/>
      <c r="F692" s="1276"/>
      <c r="G692" s="1274"/>
      <c r="H692" s="1275"/>
      <c r="I692" s="1275"/>
      <c r="J692" s="1276"/>
      <c r="K692" s="1464"/>
      <c r="L692" s="1465"/>
      <c r="M692" s="1465"/>
      <c r="N692" s="1466"/>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4"/>
      <c r="C693" s="1275"/>
      <c r="D693" s="1275"/>
      <c r="E693" s="1275"/>
      <c r="F693" s="1276"/>
      <c r="G693" s="1274"/>
      <c r="H693" s="1275"/>
      <c r="I693" s="1275"/>
      <c r="J693" s="1276"/>
      <c r="K693" s="1464"/>
      <c r="L693" s="1465"/>
      <c r="M693" s="1465"/>
      <c r="N693" s="1466"/>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7"/>
      <c r="C694" s="1278"/>
      <c r="D694" s="1278"/>
      <c r="E694" s="1278"/>
      <c r="F694" s="1279"/>
      <c r="G694" s="1277"/>
      <c r="H694" s="1278"/>
      <c r="I694" s="1278"/>
      <c r="J694" s="1279"/>
      <c r="K694" s="1464"/>
      <c r="L694" s="1465"/>
      <c r="M694" s="1465"/>
      <c r="N694" s="1466"/>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441</v>
      </c>
      <c r="C695" s="1081"/>
      <c r="D695" s="1081"/>
      <c r="E695" s="1081"/>
      <c r="F695" s="1082"/>
      <c r="G695" s="1083">
        <v>60</v>
      </c>
      <c r="H695" s="1084"/>
      <c r="I695" s="1084"/>
      <c r="J695" s="1085"/>
      <c r="K695" s="1086">
        <v>205</v>
      </c>
      <c r="L695" s="1087"/>
      <c r="M695" s="1087"/>
      <c r="N695" s="1088"/>
      <c r="O695" s="1089">
        <f>[1]EVERYTHING!$Y$8</f>
        <v>287</v>
      </c>
      <c r="P695" s="1090"/>
      <c r="Q695" s="1090"/>
      <c r="R695" s="1090"/>
      <c r="S695" s="1091"/>
      <c r="T695" s="1092">
        <f t="shared" ref="T695:T729" si="46">G695*O695</f>
        <v>17220</v>
      </c>
      <c r="U695" s="1093"/>
      <c r="V695" s="1093"/>
      <c r="W695" s="1093"/>
      <c r="X695" s="1094"/>
      <c r="Y695" s="1089">
        <v>0</v>
      </c>
      <c r="Z695" s="1090"/>
      <c r="AA695" s="1090"/>
      <c r="AB695" s="1091"/>
      <c r="AC695" s="1092">
        <f t="shared" ref="AC695:AC729" si="47">O695+Y695</f>
        <v>287</v>
      </c>
      <c r="AD695" s="1093"/>
      <c r="AE695" s="1093"/>
      <c r="AF695" s="1093"/>
      <c r="AG695" s="1094"/>
      <c r="AH695" s="1352">
        <v>0.3</v>
      </c>
      <c r="AI695" s="1353"/>
      <c r="AJ695" s="1353"/>
      <c r="AK695" s="1353"/>
      <c r="AL695" s="1354"/>
      <c r="AM695" s="1077">
        <f>IF($AH695&gt;0,($AC695/$AV695),"")</f>
        <v>0.12869955156950671</v>
      </c>
      <c r="AN695" s="1078"/>
      <c r="AO695" s="1079"/>
      <c r="AV695" s="43">
        <f t="shared" ref="AV695:AV729" si="48">IF($G695=0,"N/A",VLOOKUP($T$189,TC_Rent,(MATCH($B695,bedrooms,FALSE))))</f>
        <v>2230</v>
      </c>
      <c r="AX695" s="43"/>
      <c r="AY695" s="445">
        <f t="shared" ref="AY695:AY718" si="49">G695</f>
        <v>60</v>
      </c>
      <c r="AZ695" s="452">
        <f t="shared" ref="AZ695:AZ718" si="50">IF($AY$730=0,"",AY695/$AY$730)</f>
        <v>0.8</v>
      </c>
      <c r="BA695" s="453">
        <f t="shared" ref="BA695:BA718" si="51">IF(AZ695="","",AZ695*AH695)</f>
        <v>0.24</v>
      </c>
      <c r="BB695" s="41"/>
      <c r="BC695" s="41"/>
      <c r="BD695" s="41"/>
      <c r="BE695" s="851">
        <f t="shared" ref="BE695:BE718" si="52">G695</f>
        <v>60</v>
      </c>
      <c r="BF695" s="855">
        <f t="shared" ref="BF695:BF718" si="53">IF(BE695=0,"",BE695/$BE$730)</f>
        <v>0.8</v>
      </c>
      <c r="BG695" s="856">
        <f t="shared" ref="BG695:BG718" si="54">IF(BF695="","",BF695*AM695)</f>
        <v>0.10295964125560537</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442</v>
      </c>
      <c r="C696" s="1081"/>
      <c r="D696" s="1081"/>
      <c r="E696" s="1081"/>
      <c r="F696" s="1082"/>
      <c r="G696" s="1083">
        <v>5</v>
      </c>
      <c r="H696" s="1084"/>
      <c r="I696" s="1084"/>
      <c r="J696" s="1085"/>
      <c r="K696" s="1086">
        <v>410</v>
      </c>
      <c r="L696" s="1087"/>
      <c r="M696" s="1087"/>
      <c r="N696" s="1088"/>
      <c r="O696" s="1089">
        <f>[1]EVERYTHING!$Y$13</f>
        <v>369</v>
      </c>
      <c r="P696" s="1090"/>
      <c r="Q696" s="1090"/>
      <c r="R696" s="1090"/>
      <c r="S696" s="1091"/>
      <c r="T696" s="1092">
        <f t="shared" si="46"/>
        <v>1845</v>
      </c>
      <c r="U696" s="1093"/>
      <c r="V696" s="1093"/>
      <c r="W696" s="1093"/>
      <c r="X696" s="1094"/>
      <c r="Y696" s="1089">
        <v>0</v>
      </c>
      <c r="Z696" s="1090"/>
      <c r="AA696" s="1090"/>
      <c r="AB696" s="1091"/>
      <c r="AC696" s="1092">
        <f t="shared" si="47"/>
        <v>369</v>
      </c>
      <c r="AD696" s="1093"/>
      <c r="AE696" s="1093"/>
      <c r="AF696" s="1093"/>
      <c r="AG696" s="1094"/>
      <c r="AH696" s="1095">
        <v>0.3</v>
      </c>
      <c r="AI696" s="1096"/>
      <c r="AJ696" s="1096"/>
      <c r="AK696" s="1096"/>
      <c r="AL696" s="1097"/>
      <c r="AM696" s="1077">
        <f t="shared" ref="AM696:AM718" si="55">IF($AH696&gt;0,($AC696/$AV696), "")</f>
        <v>0.15452261306532664</v>
      </c>
      <c r="AN696" s="1078"/>
      <c r="AO696" s="1079"/>
      <c r="AV696" s="43">
        <f t="shared" si="48"/>
        <v>2388</v>
      </c>
      <c r="AX696" s="43"/>
      <c r="AY696" s="446">
        <f t="shared" si="49"/>
        <v>5</v>
      </c>
      <c r="AZ696" s="452">
        <f t="shared" si="50"/>
        <v>6.6666666666666666E-2</v>
      </c>
      <c r="BA696" s="453">
        <f t="shared" si="51"/>
        <v>0.02</v>
      </c>
      <c r="BB696" s="41"/>
      <c r="BC696" s="41"/>
      <c r="BD696" s="41"/>
      <c r="BE696" s="851">
        <f t="shared" si="52"/>
        <v>5</v>
      </c>
      <c r="BF696" s="855">
        <f t="shared" si="53"/>
        <v>6.6666666666666666E-2</v>
      </c>
      <c r="BG696" s="856">
        <f t="shared" si="54"/>
        <v>1.0301507537688442E-2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t="s">
        <v>441</v>
      </c>
      <c r="C697" s="1081"/>
      <c r="D697" s="1081"/>
      <c r="E697" s="1081"/>
      <c r="F697" s="1082"/>
      <c r="G697" s="1083">
        <v>10</v>
      </c>
      <c r="H697" s="1084"/>
      <c r="I697" s="1084"/>
      <c r="J697" s="1085"/>
      <c r="K697" s="1086">
        <v>205</v>
      </c>
      <c r="L697" s="1087"/>
      <c r="M697" s="1087"/>
      <c r="N697" s="1088"/>
      <c r="O697" s="1089">
        <f>O695</f>
        <v>287</v>
      </c>
      <c r="P697" s="1090"/>
      <c r="Q697" s="1090"/>
      <c r="R697" s="1090"/>
      <c r="S697" s="1091"/>
      <c r="T697" s="1092">
        <f t="shared" si="46"/>
        <v>2870</v>
      </c>
      <c r="U697" s="1093"/>
      <c r="V697" s="1093"/>
      <c r="W697" s="1093"/>
      <c r="X697" s="1094"/>
      <c r="Y697" s="1089">
        <v>0</v>
      </c>
      <c r="Z697" s="1090"/>
      <c r="AA697" s="1090"/>
      <c r="AB697" s="1091"/>
      <c r="AC697" s="1092">
        <f t="shared" si="47"/>
        <v>287</v>
      </c>
      <c r="AD697" s="1093"/>
      <c r="AE697" s="1093"/>
      <c r="AF697" s="1093"/>
      <c r="AG697" s="1094"/>
      <c r="AH697" s="1095">
        <v>0.3</v>
      </c>
      <c r="AI697" s="1096"/>
      <c r="AJ697" s="1096"/>
      <c r="AK697" s="1096"/>
      <c r="AL697" s="1097"/>
      <c r="AM697" s="1077">
        <f t="shared" si="55"/>
        <v>0.12869955156950671</v>
      </c>
      <c r="AN697" s="1078"/>
      <c r="AO697" s="1079"/>
      <c r="AV697" s="43">
        <f t="shared" si="48"/>
        <v>2230</v>
      </c>
      <c r="AX697" s="41"/>
      <c r="AY697" s="446">
        <f t="shared" si="49"/>
        <v>10</v>
      </c>
      <c r="AZ697" s="452">
        <f t="shared" si="50"/>
        <v>0.13333333333333333</v>
      </c>
      <c r="BA697" s="453">
        <f t="shared" si="51"/>
        <v>0.04</v>
      </c>
      <c r="BB697" s="41"/>
      <c r="BC697" s="41"/>
      <c r="BD697" s="41"/>
      <c r="BE697" s="851">
        <f t="shared" si="52"/>
        <v>10</v>
      </c>
      <c r="BF697" s="855">
        <f t="shared" si="53"/>
        <v>0.13333333333333333</v>
      </c>
      <c r="BG697" s="856">
        <f t="shared" si="54"/>
        <v>1.715994020926756E-2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46"/>
        <v>0</v>
      </c>
      <c r="U698" s="1093"/>
      <c r="V698" s="1093"/>
      <c r="W698" s="1093"/>
      <c r="X698" s="1094"/>
      <c r="Y698" s="1089"/>
      <c r="Z698" s="1090"/>
      <c r="AA698" s="1090"/>
      <c r="AB698" s="1091"/>
      <c r="AC698" s="1092">
        <f t="shared" si="47"/>
        <v>0</v>
      </c>
      <c r="AD698" s="1093"/>
      <c r="AE698" s="1093"/>
      <c r="AF698" s="1093"/>
      <c r="AG698" s="1094"/>
      <c r="AH698" s="1095"/>
      <c r="AI698" s="1096"/>
      <c r="AJ698" s="1096"/>
      <c r="AK698" s="1096"/>
      <c r="AL698" s="1097"/>
      <c r="AM698" s="1077" t="str">
        <f t="shared" si="55"/>
        <v/>
      </c>
      <c r="AN698" s="1078"/>
      <c r="AO698" s="1079"/>
      <c r="AV698" s="43" t="str">
        <f t="shared" si="48"/>
        <v>N/A</v>
      </c>
      <c r="AX698" s="41"/>
      <c r="AY698" s="446">
        <f t="shared" si="49"/>
        <v>0</v>
      </c>
      <c r="AZ698" s="452">
        <f t="shared" si="50"/>
        <v>0</v>
      </c>
      <c r="BA698" s="453">
        <f t="shared" si="51"/>
        <v>0</v>
      </c>
      <c r="BB698" s="41"/>
      <c r="BC698" s="41"/>
      <c r="BD698" s="41"/>
      <c r="BE698" s="851">
        <f t="shared" si="52"/>
        <v>0</v>
      </c>
      <c r="BF698" s="855" t="str">
        <f t="shared" si="53"/>
        <v/>
      </c>
      <c r="BG698" s="856" t="str">
        <f t="shared" si="54"/>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6"/>
        <v>0</v>
      </c>
      <c r="U699" s="1093"/>
      <c r="V699" s="1093"/>
      <c r="W699" s="1093"/>
      <c r="X699" s="1094"/>
      <c r="Y699" s="1089"/>
      <c r="Z699" s="1090"/>
      <c r="AA699" s="1090"/>
      <c r="AB699" s="1091"/>
      <c r="AC699" s="1092">
        <f t="shared" si="47"/>
        <v>0</v>
      </c>
      <c r="AD699" s="1093"/>
      <c r="AE699" s="1093"/>
      <c r="AF699" s="1093"/>
      <c r="AG699" s="1094"/>
      <c r="AH699" s="1095"/>
      <c r="AI699" s="1096"/>
      <c r="AJ699" s="1096"/>
      <c r="AK699" s="1096"/>
      <c r="AL699" s="1097"/>
      <c r="AM699" s="1077" t="str">
        <f t="shared" si="55"/>
        <v/>
      </c>
      <c r="AN699" s="1078"/>
      <c r="AO699" s="1079"/>
      <c r="AV699" s="43" t="str">
        <f t="shared" si="48"/>
        <v>N/A</v>
      </c>
      <c r="AX699" s="41"/>
      <c r="AY699" s="446">
        <f t="shared" si="49"/>
        <v>0</v>
      </c>
      <c r="AZ699" s="452">
        <f t="shared" si="50"/>
        <v>0</v>
      </c>
      <c r="BA699" s="453">
        <f t="shared" si="51"/>
        <v>0</v>
      </c>
      <c r="BB699" s="41"/>
      <c r="BC699" s="41"/>
      <c r="BD699" s="41"/>
      <c r="BE699" s="851">
        <f t="shared" si="52"/>
        <v>0</v>
      </c>
      <c r="BF699" s="855" t="str">
        <f t="shared" si="53"/>
        <v/>
      </c>
      <c r="BG699" s="856" t="str">
        <f t="shared" si="54"/>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6"/>
        <v>0</v>
      </c>
      <c r="U700" s="1093"/>
      <c r="V700" s="1093"/>
      <c r="W700" s="1093"/>
      <c r="X700" s="1094"/>
      <c r="Y700" s="1089"/>
      <c r="Z700" s="1090"/>
      <c r="AA700" s="1090"/>
      <c r="AB700" s="1091"/>
      <c r="AC700" s="1092">
        <f t="shared" si="47"/>
        <v>0</v>
      </c>
      <c r="AD700" s="1093"/>
      <c r="AE700" s="1093"/>
      <c r="AF700" s="1093"/>
      <c r="AG700" s="1094"/>
      <c r="AH700" s="1095"/>
      <c r="AI700" s="1096"/>
      <c r="AJ700" s="1096"/>
      <c r="AK700" s="1096"/>
      <c r="AL700" s="1097"/>
      <c r="AM700" s="1077" t="str">
        <f t="shared" si="55"/>
        <v/>
      </c>
      <c r="AN700" s="1078"/>
      <c r="AO700" s="1079"/>
      <c r="AV700" s="43" t="str">
        <f t="shared" si="48"/>
        <v>N/A</v>
      </c>
      <c r="AX700" s="41"/>
      <c r="AY700" s="446">
        <f t="shared" si="49"/>
        <v>0</v>
      </c>
      <c r="AZ700" s="452">
        <f t="shared" si="50"/>
        <v>0</v>
      </c>
      <c r="BA700" s="453">
        <f t="shared" si="51"/>
        <v>0</v>
      </c>
      <c r="BB700" s="41"/>
      <c r="BC700" s="41"/>
      <c r="BD700" s="41"/>
      <c r="BE700" s="851">
        <f t="shared" si="52"/>
        <v>0</v>
      </c>
      <c r="BF700" s="855" t="str">
        <f t="shared" si="53"/>
        <v/>
      </c>
      <c r="BG700" s="856" t="str">
        <f t="shared" si="54"/>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6"/>
        <v>0</v>
      </c>
      <c r="U701" s="1093"/>
      <c r="V701" s="1093"/>
      <c r="W701" s="1093"/>
      <c r="X701" s="1094"/>
      <c r="Y701" s="1089"/>
      <c r="Z701" s="1090"/>
      <c r="AA701" s="1090"/>
      <c r="AB701" s="1091"/>
      <c r="AC701" s="1092">
        <f t="shared" si="47"/>
        <v>0</v>
      </c>
      <c r="AD701" s="1093"/>
      <c r="AE701" s="1093"/>
      <c r="AF701" s="1093"/>
      <c r="AG701" s="1094"/>
      <c r="AH701" s="1095"/>
      <c r="AI701" s="1096"/>
      <c r="AJ701" s="1096"/>
      <c r="AK701" s="1096"/>
      <c r="AL701" s="1097"/>
      <c r="AM701" s="1077" t="str">
        <f t="shared" si="55"/>
        <v/>
      </c>
      <c r="AN701" s="1078"/>
      <c r="AO701" s="1079"/>
      <c r="AV701" s="43" t="str">
        <f t="shared" si="48"/>
        <v>N/A</v>
      </c>
      <c r="AX701" s="41"/>
      <c r="AY701" s="446">
        <f t="shared" si="49"/>
        <v>0</v>
      </c>
      <c r="AZ701" s="452">
        <f t="shared" si="50"/>
        <v>0</v>
      </c>
      <c r="BA701" s="453">
        <f t="shared" si="51"/>
        <v>0</v>
      </c>
      <c r="BB701" s="41"/>
      <c r="BC701" s="41"/>
      <c r="BD701" s="41"/>
      <c r="BE701" s="851">
        <f t="shared" si="52"/>
        <v>0</v>
      </c>
      <c r="BF701" s="855" t="str">
        <f t="shared" si="53"/>
        <v/>
      </c>
      <c r="BG701" s="856" t="str">
        <f t="shared" si="54"/>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6"/>
        <v>0</v>
      </c>
      <c r="U702" s="1093"/>
      <c r="V702" s="1093"/>
      <c r="W702" s="1093"/>
      <c r="X702" s="1094"/>
      <c r="Y702" s="1089"/>
      <c r="Z702" s="1090"/>
      <c r="AA702" s="1090"/>
      <c r="AB702" s="1091"/>
      <c r="AC702" s="1092">
        <f t="shared" si="47"/>
        <v>0</v>
      </c>
      <c r="AD702" s="1093"/>
      <c r="AE702" s="1093"/>
      <c r="AF702" s="1093"/>
      <c r="AG702" s="1094"/>
      <c r="AH702" s="1095"/>
      <c r="AI702" s="1096"/>
      <c r="AJ702" s="1096"/>
      <c r="AK702" s="1096"/>
      <c r="AL702" s="1097"/>
      <c r="AM702" s="1077" t="str">
        <f t="shared" si="55"/>
        <v/>
      </c>
      <c r="AN702" s="1078"/>
      <c r="AO702" s="1079"/>
      <c r="AV702" s="43" t="str">
        <f t="shared" si="48"/>
        <v>N/A</v>
      </c>
      <c r="AX702" s="41"/>
      <c r="AY702" s="446">
        <f t="shared" si="49"/>
        <v>0</v>
      </c>
      <c r="AZ702" s="452">
        <f t="shared" si="50"/>
        <v>0</v>
      </c>
      <c r="BA702" s="453">
        <f t="shared" si="51"/>
        <v>0</v>
      </c>
      <c r="BB702" s="41"/>
      <c r="BC702" s="41"/>
      <c r="BD702" s="41"/>
      <c r="BE702" s="851">
        <f t="shared" si="52"/>
        <v>0</v>
      </c>
      <c r="BF702" s="855" t="str">
        <f t="shared" si="53"/>
        <v/>
      </c>
      <c r="BG702" s="856" t="str">
        <f t="shared" si="54"/>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6"/>
        <v>0</v>
      </c>
      <c r="U703" s="1093"/>
      <c r="V703" s="1093"/>
      <c r="W703" s="1093"/>
      <c r="X703" s="1094"/>
      <c r="Y703" s="1089"/>
      <c r="Z703" s="1090"/>
      <c r="AA703" s="1090"/>
      <c r="AB703" s="1091"/>
      <c r="AC703" s="1092">
        <f t="shared" si="47"/>
        <v>0</v>
      </c>
      <c r="AD703" s="1093"/>
      <c r="AE703" s="1093"/>
      <c r="AF703" s="1093"/>
      <c r="AG703" s="1094"/>
      <c r="AH703" s="1095"/>
      <c r="AI703" s="1096"/>
      <c r="AJ703" s="1096"/>
      <c r="AK703" s="1096"/>
      <c r="AL703" s="1097"/>
      <c r="AM703" s="1077" t="str">
        <f t="shared" si="55"/>
        <v/>
      </c>
      <c r="AN703" s="1078"/>
      <c r="AO703" s="1079"/>
      <c r="AV703" s="43" t="str">
        <f t="shared" si="48"/>
        <v>N/A</v>
      </c>
      <c r="AX703" s="41"/>
      <c r="AY703" s="446">
        <f t="shared" si="49"/>
        <v>0</v>
      </c>
      <c r="AZ703" s="452">
        <f t="shared" si="50"/>
        <v>0</v>
      </c>
      <c r="BA703" s="453">
        <f t="shared" si="51"/>
        <v>0</v>
      </c>
      <c r="BB703" s="41"/>
      <c r="BC703" s="41"/>
      <c r="BD703" s="41"/>
      <c r="BE703" s="851">
        <f t="shared" si="52"/>
        <v>0</v>
      </c>
      <c r="BF703" s="855" t="str">
        <f t="shared" si="53"/>
        <v/>
      </c>
      <c r="BG703" s="856" t="str">
        <f t="shared" si="54"/>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6"/>
        <v>0</v>
      </c>
      <c r="U704" s="1093"/>
      <c r="V704" s="1093"/>
      <c r="W704" s="1093"/>
      <c r="X704" s="1094"/>
      <c r="Y704" s="1089"/>
      <c r="Z704" s="1090"/>
      <c r="AA704" s="1090"/>
      <c r="AB704" s="1091"/>
      <c r="AC704" s="1092">
        <f t="shared" si="47"/>
        <v>0</v>
      </c>
      <c r="AD704" s="1093"/>
      <c r="AE704" s="1093"/>
      <c r="AF704" s="1093"/>
      <c r="AG704" s="1094"/>
      <c r="AH704" s="1095"/>
      <c r="AI704" s="1096"/>
      <c r="AJ704" s="1096"/>
      <c r="AK704" s="1096"/>
      <c r="AL704" s="1097"/>
      <c r="AM704" s="1077" t="str">
        <f t="shared" si="55"/>
        <v/>
      </c>
      <c r="AN704" s="1078"/>
      <c r="AO704" s="1079"/>
      <c r="AV704" s="43" t="str">
        <f t="shared" si="48"/>
        <v>N/A</v>
      </c>
      <c r="AX704" s="41"/>
      <c r="AY704" s="446">
        <f t="shared" si="49"/>
        <v>0</v>
      </c>
      <c r="AZ704" s="452">
        <f t="shared" si="50"/>
        <v>0</v>
      </c>
      <c r="BA704" s="453">
        <f t="shared" si="51"/>
        <v>0</v>
      </c>
      <c r="BB704" s="41"/>
      <c r="BC704" s="41"/>
      <c r="BD704" s="41"/>
      <c r="BE704" s="851">
        <f t="shared" si="52"/>
        <v>0</v>
      </c>
      <c r="BF704" s="855" t="str">
        <f t="shared" si="53"/>
        <v/>
      </c>
      <c r="BG704" s="856"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6"/>
        <v>0</v>
      </c>
      <c r="U705" s="1093"/>
      <c r="V705" s="1093"/>
      <c r="W705" s="1093"/>
      <c r="X705" s="1094"/>
      <c r="Y705" s="1089"/>
      <c r="Z705" s="1090"/>
      <c r="AA705" s="1090"/>
      <c r="AB705" s="1091"/>
      <c r="AC705" s="1092">
        <f t="shared" si="47"/>
        <v>0</v>
      </c>
      <c r="AD705" s="1093"/>
      <c r="AE705" s="1093"/>
      <c r="AF705" s="1093"/>
      <c r="AG705" s="1094"/>
      <c r="AH705" s="1095"/>
      <c r="AI705" s="1096"/>
      <c r="AJ705" s="1096"/>
      <c r="AK705" s="1096"/>
      <c r="AL705" s="1097"/>
      <c r="AM705" s="1077" t="str">
        <f t="shared" si="55"/>
        <v/>
      </c>
      <c r="AN705" s="1078"/>
      <c r="AO705" s="1079"/>
      <c r="AV705" s="43" t="str">
        <f t="shared" si="48"/>
        <v>N/A</v>
      </c>
      <c r="AX705" s="41"/>
      <c r="AY705" s="446">
        <f t="shared" si="49"/>
        <v>0</v>
      </c>
      <c r="AZ705" s="452">
        <f t="shared" si="50"/>
        <v>0</v>
      </c>
      <c r="BA705" s="453">
        <f t="shared" si="51"/>
        <v>0</v>
      </c>
      <c r="BB705" s="41"/>
      <c r="BC705" s="41"/>
      <c r="BD705" s="41"/>
      <c r="BE705" s="851">
        <f t="shared" si="52"/>
        <v>0</v>
      </c>
      <c r="BF705" s="855" t="str">
        <f t="shared" si="53"/>
        <v/>
      </c>
      <c r="BG705" s="856"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6"/>
        <v>0</v>
      </c>
      <c r="U706" s="1093"/>
      <c r="V706" s="1093"/>
      <c r="W706" s="1093"/>
      <c r="X706" s="1094"/>
      <c r="Y706" s="1089"/>
      <c r="Z706" s="1090"/>
      <c r="AA706" s="1090"/>
      <c r="AB706" s="1091"/>
      <c r="AC706" s="1092">
        <f t="shared" si="47"/>
        <v>0</v>
      </c>
      <c r="AD706" s="1093"/>
      <c r="AE706" s="1093"/>
      <c r="AF706" s="1093"/>
      <c r="AG706" s="1094"/>
      <c r="AH706" s="1095"/>
      <c r="AI706" s="1096"/>
      <c r="AJ706" s="1096"/>
      <c r="AK706" s="1096"/>
      <c r="AL706" s="1097"/>
      <c r="AM706" s="1077" t="str">
        <f t="shared" si="55"/>
        <v/>
      </c>
      <c r="AN706" s="1078"/>
      <c r="AO706" s="1079"/>
      <c r="AV706" s="43" t="str">
        <f t="shared" si="48"/>
        <v>N/A</v>
      </c>
      <c r="AX706" s="41"/>
      <c r="AY706" s="446">
        <f t="shared" si="49"/>
        <v>0</v>
      </c>
      <c r="AZ706" s="452">
        <f t="shared" si="50"/>
        <v>0</v>
      </c>
      <c r="BA706" s="453">
        <f t="shared" si="51"/>
        <v>0</v>
      </c>
      <c r="BB706" s="41"/>
      <c r="BC706" s="41"/>
      <c r="BD706" s="41"/>
      <c r="BE706" s="851">
        <f t="shared" si="52"/>
        <v>0</v>
      </c>
      <c r="BF706" s="855" t="str">
        <f t="shared" si="53"/>
        <v/>
      </c>
      <c r="BG706" s="856"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6"/>
        <v>0</v>
      </c>
      <c r="U707" s="1093"/>
      <c r="V707" s="1093"/>
      <c r="W707" s="1093"/>
      <c r="X707" s="1094"/>
      <c r="Y707" s="1089"/>
      <c r="Z707" s="1090"/>
      <c r="AA707" s="1090"/>
      <c r="AB707" s="1091"/>
      <c r="AC707" s="1092">
        <f t="shared" si="47"/>
        <v>0</v>
      </c>
      <c r="AD707" s="1093"/>
      <c r="AE707" s="1093"/>
      <c r="AF707" s="1093"/>
      <c r="AG707" s="1094"/>
      <c r="AH707" s="1095"/>
      <c r="AI707" s="1096"/>
      <c r="AJ707" s="1096"/>
      <c r="AK707" s="1096"/>
      <c r="AL707" s="1097"/>
      <c r="AM707" s="1077" t="str">
        <f t="shared" si="55"/>
        <v/>
      </c>
      <c r="AN707" s="1078"/>
      <c r="AO707" s="1079"/>
      <c r="AV707" s="43" t="str">
        <f t="shared" si="48"/>
        <v>N/A</v>
      </c>
      <c r="AX707" s="41"/>
      <c r="AY707" s="446">
        <f t="shared" si="49"/>
        <v>0</v>
      </c>
      <c r="AZ707" s="452">
        <f t="shared" si="50"/>
        <v>0</v>
      </c>
      <c r="BA707" s="453">
        <f t="shared" si="51"/>
        <v>0</v>
      </c>
      <c r="BB707" s="41"/>
      <c r="BC707" s="41"/>
      <c r="BD707" s="41"/>
      <c r="BE707" s="851">
        <f t="shared" si="52"/>
        <v>0</v>
      </c>
      <c r="BF707" s="855" t="str">
        <f t="shared" si="53"/>
        <v/>
      </c>
      <c r="BG707" s="856"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6"/>
        <v>0</v>
      </c>
      <c r="U708" s="1093"/>
      <c r="V708" s="1093"/>
      <c r="W708" s="1093"/>
      <c r="X708" s="1094"/>
      <c r="Y708" s="1089"/>
      <c r="Z708" s="1090"/>
      <c r="AA708" s="1090"/>
      <c r="AB708" s="1091"/>
      <c r="AC708" s="1092">
        <f t="shared" si="47"/>
        <v>0</v>
      </c>
      <c r="AD708" s="1093"/>
      <c r="AE708" s="1093"/>
      <c r="AF708" s="1093"/>
      <c r="AG708" s="1094"/>
      <c r="AH708" s="1095"/>
      <c r="AI708" s="1096"/>
      <c r="AJ708" s="1096"/>
      <c r="AK708" s="1096"/>
      <c r="AL708" s="1097"/>
      <c r="AM708" s="1077" t="str">
        <f t="shared" si="55"/>
        <v/>
      </c>
      <c r="AN708" s="1078"/>
      <c r="AO708" s="1079"/>
      <c r="AV708" s="43" t="str">
        <f t="shared" si="48"/>
        <v>N/A</v>
      </c>
      <c r="AX708" s="41"/>
      <c r="AY708" s="446">
        <f t="shared" si="49"/>
        <v>0</v>
      </c>
      <c r="AZ708" s="452">
        <f t="shared" si="50"/>
        <v>0</v>
      </c>
      <c r="BA708" s="453">
        <f t="shared" si="51"/>
        <v>0</v>
      </c>
      <c r="BB708" s="41"/>
      <c r="BC708" s="41"/>
      <c r="BD708" s="41"/>
      <c r="BE708" s="851">
        <f t="shared" si="52"/>
        <v>0</v>
      </c>
      <c r="BF708" s="855" t="str">
        <f t="shared" si="53"/>
        <v/>
      </c>
      <c r="BG708" s="856"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6"/>
        <v>0</v>
      </c>
      <c r="U709" s="1093"/>
      <c r="V709" s="1093"/>
      <c r="W709" s="1093"/>
      <c r="X709" s="1094"/>
      <c r="Y709" s="1089"/>
      <c r="Z709" s="1090"/>
      <c r="AA709" s="1090"/>
      <c r="AB709" s="1091"/>
      <c r="AC709" s="1092">
        <f t="shared" si="47"/>
        <v>0</v>
      </c>
      <c r="AD709" s="1093"/>
      <c r="AE709" s="1093"/>
      <c r="AF709" s="1093"/>
      <c r="AG709" s="1094"/>
      <c r="AH709" s="1095"/>
      <c r="AI709" s="1096"/>
      <c r="AJ709" s="1096"/>
      <c r="AK709" s="1096"/>
      <c r="AL709" s="1097"/>
      <c r="AM709" s="1077" t="str">
        <f t="shared" si="55"/>
        <v/>
      </c>
      <c r="AN709" s="1078"/>
      <c r="AO709" s="1079"/>
      <c r="AV709" s="43" t="str">
        <f t="shared" si="48"/>
        <v>N/A</v>
      </c>
      <c r="AX709" s="41"/>
      <c r="AY709" s="446">
        <f t="shared" si="49"/>
        <v>0</v>
      </c>
      <c r="AZ709" s="452">
        <f t="shared" si="50"/>
        <v>0</v>
      </c>
      <c r="BA709" s="453">
        <f t="shared" si="51"/>
        <v>0</v>
      </c>
      <c r="BB709" s="41"/>
      <c r="BC709" s="41"/>
      <c r="BD709" s="41"/>
      <c r="BE709" s="851">
        <f t="shared" si="52"/>
        <v>0</v>
      </c>
      <c r="BF709" s="855" t="str">
        <f t="shared" si="53"/>
        <v/>
      </c>
      <c r="BG709" s="856"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6"/>
        <v>0</v>
      </c>
      <c r="U710" s="1093"/>
      <c r="V710" s="1093"/>
      <c r="W710" s="1093"/>
      <c r="X710" s="1094"/>
      <c r="Y710" s="1089"/>
      <c r="Z710" s="1090"/>
      <c r="AA710" s="1090"/>
      <c r="AB710" s="1091"/>
      <c r="AC710" s="1092">
        <f t="shared" si="47"/>
        <v>0</v>
      </c>
      <c r="AD710" s="1093"/>
      <c r="AE710" s="1093"/>
      <c r="AF710" s="1093"/>
      <c r="AG710" s="1094"/>
      <c r="AH710" s="1095"/>
      <c r="AI710" s="1096"/>
      <c r="AJ710" s="1096"/>
      <c r="AK710" s="1096"/>
      <c r="AL710" s="1097"/>
      <c r="AM710" s="1077" t="str">
        <f t="shared" si="55"/>
        <v/>
      </c>
      <c r="AN710" s="1078"/>
      <c r="AO710" s="1079"/>
      <c r="AV710" s="43" t="str">
        <f t="shared" si="48"/>
        <v>N/A</v>
      </c>
      <c r="AX710" s="41"/>
      <c r="AY710" s="446">
        <f t="shared" si="49"/>
        <v>0</v>
      </c>
      <c r="AZ710" s="452">
        <f t="shared" si="50"/>
        <v>0</v>
      </c>
      <c r="BA710" s="453">
        <f t="shared" si="51"/>
        <v>0</v>
      </c>
      <c r="BB710" s="41"/>
      <c r="BC710" s="41"/>
      <c r="BD710" s="41"/>
      <c r="BE710" s="851">
        <f t="shared" si="52"/>
        <v>0</v>
      </c>
      <c r="BF710" s="855" t="str">
        <f t="shared" si="53"/>
        <v/>
      </c>
      <c r="BG710" s="856"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6"/>
        <v>0</v>
      </c>
      <c r="U711" s="1093"/>
      <c r="V711" s="1093"/>
      <c r="W711" s="1093"/>
      <c r="X711" s="1094"/>
      <c r="Y711" s="1089"/>
      <c r="Z711" s="1090"/>
      <c r="AA711" s="1090"/>
      <c r="AB711" s="1091"/>
      <c r="AC711" s="1092">
        <f t="shared" si="47"/>
        <v>0</v>
      </c>
      <c r="AD711" s="1093"/>
      <c r="AE711" s="1093"/>
      <c r="AF711" s="1093"/>
      <c r="AG711" s="1094"/>
      <c r="AH711" s="1095"/>
      <c r="AI711" s="1096"/>
      <c r="AJ711" s="1096"/>
      <c r="AK711" s="1096"/>
      <c r="AL711" s="1097"/>
      <c r="AM711" s="1077" t="str">
        <f t="shared" si="55"/>
        <v/>
      </c>
      <c r="AN711" s="1078"/>
      <c r="AO711" s="1079"/>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6"/>
        <v>0</v>
      </c>
      <c r="U712" s="1093"/>
      <c r="V712" s="1093"/>
      <c r="W712" s="1093"/>
      <c r="X712" s="1094"/>
      <c r="Y712" s="1089"/>
      <c r="Z712" s="1090"/>
      <c r="AA712" s="1090"/>
      <c r="AB712" s="1091"/>
      <c r="AC712" s="1092">
        <f t="shared" si="47"/>
        <v>0</v>
      </c>
      <c r="AD712" s="1093"/>
      <c r="AE712" s="1093"/>
      <c r="AF712" s="1093"/>
      <c r="AG712" s="1094"/>
      <c r="AH712" s="1095"/>
      <c r="AI712" s="1096"/>
      <c r="AJ712" s="1096"/>
      <c r="AK712" s="1096"/>
      <c r="AL712" s="1097"/>
      <c r="AM712" s="1077" t="str">
        <f t="shared" si="55"/>
        <v/>
      </c>
      <c r="AN712" s="1078"/>
      <c r="AO712" s="1079"/>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6"/>
        <v>0</v>
      </c>
      <c r="U713" s="1093"/>
      <c r="V713" s="1093"/>
      <c r="W713" s="1093"/>
      <c r="X713" s="1094"/>
      <c r="Y713" s="1089"/>
      <c r="Z713" s="1090"/>
      <c r="AA713" s="1090"/>
      <c r="AB713" s="1091"/>
      <c r="AC713" s="1092">
        <f t="shared" si="47"/>
        <v>0</v>
      </c>
      <c r="AD713" s="1093"/>
      <c r="AE713" s="1093"/>
      <c r="AF713" s="1093"/>
      <c r="AG713" s="1094"/>
      <c r="AH713" s="1095"/>
      <c r="AI713" s="1096"/>
      <c r="AJ713" s="1096"/>
      <c r="AK713" s="1096"/>
      <c r="AL713" s="1097"/>
      <c r="AM713" s="1077" t="str">
        <f t="shared" si="55"/>
        <v/>
      </c>
      <c r="AN713" s="1078"/>
      <c r="AO713" s="1079"/>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6"/>
        <v>0</v>
      </c>
      <c r="U714" s="1093"/>
      <c r="V714" s="1093"/>
      <c r="W714" s="1093"/>
      <c r="X714" s="1094"/>
      <c r="Y714" s="1089"/>
      <c r="Z714" s="1090"/>
      <c r="AA714" s="1090"/>
      <c r="AB714" s="1091"/>
      <c r="AC714" s="1092">
        <f t="shared" si="47"/>
        <v>0</v>
      </c>
      <c r="AD714" s="1093"/>
      <c r="AE714" s="1093"/>
      <c r="AF714" s="1093"/>
      <c r="AG714" s="1094"/>
      <c r="AH714" s="1095"/>
      <c r="AI714" s="1096"/>
      <c r="AJ714" s="1096"/>
      <c r="AK714" s="1096"/>
      <c r="AL714" s="1097"/>
      <c r="AM714" s="1077" t="str">
        <f t="shared" si="55"/>
        <v/>
      </c>
      <c r="AN714" s="1078"/>
      <c r="AO714" s="1079"/>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6"/>
        <v>0</v>
      </c>
      <c r="U715" s="1093"/>
      <c r="V715" s="1093"/>
      <c r="W715" s="1093"/>
      <c r="X715" s="1094"/>
      <c r="Y715" s="1089"/>
      <c r="Z715" s="1090"/>
      <c r="AA715" s="1090"/>
      <c r="AB715" s="1091"/>
      <c r="AC715" s="1092">
        <f t="shared" si="47"/>
        <v>0</v>
      </c>
      <c r="AD715" s="1093"/>
      <c r="AE715" s="1093"/>
      <c r="AF715" s="1093"/>
      <c r="AG715" s="1094"/>
      <c r="AH715" s="1095"/>
      <c r="AI715" s="1096"/>
      <c r="AJ715" s="1096"/>
      <c r="AK715" s="1096"/>
      <c r="AL715" s="1097"/>
      <c r="AM715" s="1077" t="str">
        <f t="shared" si="55"/>
        <v/>
      </c>
      <c r="AN715" s="1078"/>
      <c r="AO715" s="1079"/>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6"/>
        <v>0</v>
      </c>
      <c r="U716" s="1093"/>
      <c r="V716" s="1093"/>
      <c r="W716" s="1093"/>
      <c r="X716" s="1094"/>
      <c r="Y716" s="1089"/>
      <c r="Z716" s="1090"/>
      <c r="AA716" s="1090"/>
      <c r="AB716" s="1091"/>
      <c r="AC716" s="1092">
        <f t="shared" si="47"/>
        <v>0</v>
      </c>
      <c r="AD716" s="1093"/>
      <c r="AE716" s="1093"/>
      <c r="AF716" s="1093"/>
      <c r="AG716" s="1094"/>
      <c r="AH716" s="1095"/>
      <c r="AI716" s="1096"/>
      <c r="AJ716" s="1096"/>
      <c r="AK716" s="1096"/>
      <c r="AL716" s="1097"/>
      <c r="AM716" s="1077" t="str">
        <f t="shared" si="55"/>
        <v/>
      </c>
      <c r="AN716" s="1078"/>
      <c r="AO716" s="1079"/>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6"/>
        <v>0</v>
      </c>
      <c r="U717" s="1093"/>
      <c r="V717" s="1093"/>
      <c r="W717" s="1093"/>
      <c r="X717" s="1094"/>
      <c r="Y717" s="1089"/>
      <c r="Z717" s="1090"/>
      <c r="AA717" s="1090"/>
      <c r="AB717" s="1091"/>
      <c r="AC717" s="1092">
        <f t="shared" si="47"/>
        <v>0</v>
      </c>
      <c r="AD717" s="1093"/>
      <c r="AE717" s="1093"/>
      <c r="AF717" s="1093"/>
      <c r="AG717" s="1094"/>
      <c r="AH717" s="1095"/>
      <c r="AI717" s="1096"/>
      <c r="AJ717" s="1096"/>
      <c r="AK717" s="1096"/>
      <c r="AL717" s="1097"/>
      <c r="AM717" s="1077" t="str">
        <f t="shared" si="55"/>
        <v/>
      </c>
      <c r="AN717" s="1078"/>
      <c r="AO717" s="1079"/>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6"/>
        <v>0</v>
      </c>
      <c r="U718" s="1093"/>
      <c r="V718" s="1093"/>
      <c r="W718" s="1093"/>
      <c r="X718" s="1094"/>
      <c r="Y718" s="1089"/>
      <c r="Z718" s="1090"/>
      <c r="AA718" s="1090"/>
      <c r="AB718" s="1091"/>
      <c r="AC718" s="1092">
        <f t="shared" si="47"/>
        <v>0</v>
      </c>
      <c r="AD718" s="1093"/>
      <c r="AE718" s="1093"/>
      <c r="AF718" s="1093"/>
      <c r="AG718" s="1094"/>
      <c r="AH718" s="1095"/>
      <c r="AI718" s="1096"/>
      <c r="AJ718" s="1096"/>
      <c r="AK718" s="1096"/>
      <c r="AL718" s="1097"/>
      <c r="AM718" s="1077" t="str">
        <f t="shared" si="55"/>
        <v/>
      </c>
      <c r="AN718" s="1078"/>
      <c r="AO718" s="1079"/>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6">G719*O719</f>
        <v>0</v>
      </c>
      <c r="U719" s="1093"/>
      <c r="V719" s="1093"/>
      <c r="W719" s="1093"/>
      <c r="X719" s="1094"/>
      <c r="Y719" s="1089"/>
      <c r="Z719" s="1090"/>
      <c r="AA719" s="1090"/>
      <c r="AB719" s="1091"/>
      <c r="AC719" s="1092">
        <f t="shared" ref="AC719:AC728" si="57">O719+Y719</f>
        <v>0</v>
      </c>
      <c r="AD719" s="1093"/>
      <c r="AE719" s="1093"/>
      <c r="AF719" s="1093"/>
      <c r="AG719" s="1094"/>
      <c r="AH719" s="1095"/>
      <c r="AI719" s="1096"/>
      <c r="AJ719" s="1096"/>
      <c r="AK719" s="1096"/>
      <c r="AL719" s="1097"/>
      <c r="AM719" s="1077" t="str">
        <f t="shared" ref="AM719:AM728" si="58">IF($AH719&gt;0,($AC719/$AV719), "")</f>
        <v/>
      </c>
      <c r="AN719" s="1078"/>
      <c r="AO719" s="1079"/>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1">
        <f t="shared" ref="BE719:BE728" si="62">G719</f>
        <v>0</v>
      </c>
      <c r="BF719" s="855" t="str">
        <f t="shared" ref="BF719:BF728" si="63">IF(BE719=0,"",BE719/$BE$730)</f>
        <v/>
      </c>
      <c r="BG719" s="856" t="str">
        <f t="shared" ref="BG719:BG728" si="64">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6"/>
        <v>0</v>
      </c>
      <c r="U720" s="1093"/>
      <c r="V720" s="1093"/>
      <c r="W720" s="1093"/>
      <c r="X720" s="1094"/>
      <c r="Y720" s="1089"/>
      <c r="Z720" s="1090"/>
      <c r="AA720" s="1090"/>
      <c r="AB720" s="1091"/>
      <c r="AC720" s="1092">
        <f t="shared" si="57"/>
        <v>0</v>
      </c>
      <c r="AD720" s="1093"/>
      <c r="AE720" s="1093"/>
      <c r="AF720" s="1093"/>
      <c r="AG720" s="1094"/>
      <c r="AH720" s="1095"/>
      <c r="AI720" s="1096"/>
      <c r="AJ720" s="1096"/>
      <c r="AK720" s="1096"/>
      <c r="AL720" s="1097"/>
      <c r="AM720" s="1077" t="str">
        <f t="shared" si="58"/>
        <v/>
      </c>
      <c r="AN720" s="1078"/>
      <c r="AO720" s="1079"/>
      <c r="AV720" s="43" t="str">
        <f t="shared" si="48"/>
        <v>N/A</v>
      </c>
      <c r="AY720" s="446">
        <f t="shared" si="59"/>
        <v>0</v>
      </c>
      <c r="AZ720" s="452">
        <f t="shared" si="60"/>
        <v>0</v>
      </c>
      <c r="BA720" s="453">
        <f t="shared" si="61"/>
        <v>0</v>
      </c>
      <c r="BB720" s="41"/>
      <c r="BC720" s="41"/>
      <c r="BD720" s="41"/>
      <c r="BE720" s="851">
        <f t="shared" si="62"/>
        <v>0</v>
      </c>
      <c r="BF720" s="855" t="str">
        <f t="shared" si="63"/>
        <v/>
      </c>
      <c r="BG720" s="856" t="str">
        <f t="shared" si="64"/>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6"/>
        <v>0</v>
      </c>
      <c r="U721" s="1093"/>
      <c r="V721" s="1093"/>
      <c r="W721" s="1093"/>
      <c r="X721" s="1094"/>
      <c r="Y721" s="1089"/>
      <c r="Z721" s="1090"/>
      <c r="AA721" s="1090"/>
      <c r="AB721" s="1091"/>
      <c r="AC721" s="1092">
        <f t="shared" si="57"/>
        <v>0</v>
      </c>
      <c r="AD721" s="1093"/>
      <c r="AE721" s="1093"/>
      <c r="AF721" s="1093"/>
      <c r="AG721" s="1094"/>
      <c r="AH721" s="1095"/>
      <c r="AI721" s="1096"/>
      <c r="AJ721" s="1096"/>
      <c r="AK721" s="1096"/>
      <c r="AL721" s="1097"/>
      <c r="AM721" s="1077" t="str">
        <f t="shared" si="58"/>
        <v/>
      </c>
      <c r="AN721" s="1078"/>
      <c r="AO721" s="1079"/>
      <c r="AV721" s="43" t="str">
        <f t="shared" si="48"/>
        <v>N/A</v>
      </c>
      <c r="AY721" s="446">
        <f t="shared" si="59"/>
        <v>0</v>
      </c>
      <c r="AZ721" s="452">
        <f t="shared" si="60"/>
        <v>0</v>
      </c>
      <c r="BA721" s="453">
        <f t="shared" si="61"/>
        <v>0</v>
      </c>
      <c r="BB721" s="41"/>
      <c r="BC721" s="41"/>
      <c r="BD721" s="41"/>
      <c r="BE721" s="851">
        <f t="shared" si="62"/>
        <v>0</v>
      </c>
      <c r="BF721" s="855" t="str">
        <f t="shared" si="63"/>
        <v/>
      </c>
      <c r="BG721" s="856" t="str">
        <f t="shared" si="64"/>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6"/>
        <v>0</v>
      </c>
      <c r="U722" s="1093"/>
      <c r="V722" s="1093"/>
      <c r="W722" s="1093"/>
      <c r="X722" s="1094"/>
      <c r="Y722" s="1089"/>
      <c r="Z722" s="1090"/>
      <c r="AA722" s="1090"/>
      <c r="AB722" s="1091"/>
      <c r="AC722" s="1092">
        <f t="shared" si="57"/>
        <v>0</v>
      </c>
      <c r="AD722" s="1093"/>
      <c r="AE722" s="1093"/>
      <c r="AF722" s="1093"/>
      <c r="AG722" s="1094"/>
      <c r="AH722" s="1095"/>
      <c r="AI722" s="1096"/>
      <c r="AJ722" s="1096"/>
      <c r="AK722" s="1096"/>
      <c r="AL722" s="1097"/>
      <c r="AM722" s="1077" t="str">
        <f t="shared" si="58"/>
        <v/>
      </c>
      <c r="AN722" s="1078"/>
      <c r="AO722" s="1079"/>
      <c r="AV722" s="43" t="str">
        <f t="shared" si="48"/>
        <v>N/A</v>
      </c>
      <c r="AY722" s="446">
        <f t="shared" si="59"/>
        <v>0</v>
      </c>
      <c r="AZ722" s="452">
        <f t="shared" si="60"/>
        <v>0</v>
      </c>
      <c r="BA722" s="453">
        <f t="shared" si="61"/>
        <v>0</v>
      </c>
      <c r="BB722" s="41"/>
      <c r="BC722" s="41"/>
      <c r="BD722" s="41"/>
      <c r="BE722" s="851">
        <f t="shared" si="62"/>
        <v>0</v>
      </c>
      <c r="BF722" s="855" t="str">
        <f t="shared" si="63"/>
        <v/>
      </c>
      <c r="BG722" s="856" t="str">
        <f t="shared" si="64"/>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6"/>
        <v>0</v>
      </c>
      <c r="U723" s="1093"/>
      <c r="V723" s="1093"/>
      <c r="W723" s="1093"/>
      <c r="X723" s="1094"/>
      <c r="Y723" s="1089"/>
      <c r="Z723" s="1090"/>
      <c r="AA723" s="1090"/>
      <c r="AB723" s="1091"/>
      <c r="AC723" s="1092">
        <f t="shared" si="57"/>
        <v>0</v>
      </c>
      <c r="AD723" s="1093"/>
      <c r="AE723" s="1093"/>
      <c r="AF723" s="1093"/>
      <c r="AG723" s="1094"/>
      <c r="AH723" s="1095"/>
      <c r="AI723" s="1096"/>
      <c r="AJ723" s="1096"/>
      <c r="AK723" s="1096"/>
      <c r="AL723" s="1097"/>
      <c r="AM723" s="1077" t="str">
        <f t="shared" si="58"/>
        <v/>
      </c>
      <c r="AN723" s="1078"/>
      <c r="AO723" s="1079"/>
      <c r="AV723" s="43" t="str">
        <f t="shared" si="48"/>
        <v>N/A</v>
      </c>
      <c r="AY723" s="446">
        <f t="shared" si="59"/>
        <v>0</v>
      </c>
      <c r="AZ723" s="452">
        <f t="shared" si="60"/>
        <v>0</v>
      </c>
      <c r="BA723" s="453">
        <f t="shared" si="61"/>
        <v>0</v>
      </c>
      <c r="BB723" s="41"/>
      <c r="BC723" s="41"/>
      <c r="BD723" s="41"/>
      <c r="BE723" s="851">
        <f t="shared" si="62"/>
        <v>0</v>
      </c>
      <c r="BF723" s="855" t="str">
        <f t="shared" si="63"/>
        <v/>
      </c>
      <c r="BG723" s="856" t="str">
        <f t="shared" si="64"/>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6"/>
        <v>0</v>
      </c>
      <c r="U724" s="1093"/>
      <c r="V724" s="1093"/>
      <c r="W724" s="1093"/>
      <c r="X724" s="1094"/>
      <c r="Y724" s="1089"/>
      <c r="Z724" s="1090"/>
      <c r="AA724" s="1090"/>
      <c r="AB724" s="1091"/>
      <c r="AC724" s="1092">
        <f t="shared" si="57"/>
        <v>0</v>
      </c>
      <c r="AD724" s="1093"/>
      <c r="AE724" s="1093"/>
      <c r="AF724" s="1093"/>
      <c r="AG724" s="1094"/>
      <c r="AH724" s="1095"/>
      <c r="AI724" s="1096"/>
      <c r="AJ724" s="1096"/>
      <c r="AK724" s="1096"/>
      <c r="AL724" s="1097"/>
      <c r="AM724" s="1077" t="str">
        <f t="shared" si="58"/>
        <v/>
      </c>
      <c r="AN724" s="1078"/>
      <c r="AO724" s="1079"/>
      <c r="AV724" s="43" t="str">
        <f t="shared" si="48"/>
        <v>N/A</v>
      </c>
      <c r="AY724" s="446">
        <f t="shared" si="59"/>
        <v>0</v>
      </c>
      <c r="AZ724" s="452">
        <f t="shared" si="60"/>
        <v>0</v>
      </c>
      <c r="BA724" s="453">
        <f t="shared" si="61"/>
        <v>0</v>
      </c>
      <c r="BB724" s="41"/>
      <c r="BC724" s="41"/>
      <c r="BD724" s="41"/>
      <c r="BE724" s="851">
        <f t="shared" si="62"/>
        <v>0</v>
      </c>
      <c r="BF724" s="855" t="str">
        <f t="shared" si="63"/>
        <v/>
      </c>
      <c r="BG724" s="856" t="str">
        <f t="shared" si="64"/>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6"/>
        <v>0</v>
      </c>
      <c r="U725" s="1093"/>
      <c r="V725" s="1093"/>
      <c r="W725" s="1093"/>
      <c r="X725" s="1094"/>
      <c r="Y725" s="1089"/>
      <c r="Z725" s="1090"/>
      <c r="AA725" s="1090"/>
      <c r="AB725" s="1091"/>
      <c r="AC725" s="1092">
        <f t="shared" si="57"/>
        <v>0</v>
      </c>
      <c r="AD725" s="1093"/>
      <c r="AE725" s="1093"/>
      <c r="AF725" s="1093"/>
      <c r="AG725" s="1094"/>
      <c r="AH725" s="1095"/>
      <c r="AI725" s="1096"/>
      <c r="AJ725" s="1096"/>
      <c r="AK725" s="1096"/>
      <c r="AL725" s="1097"/>
      <c r="AM725" s="1077" t="str">
        <f t="shared" si="58"/>
        <v/>
      </c>
      <c r="AN725" s="1078"/>
      <c r="AO725" s="1079"/>
      <c r="AV725" s="43" t="str">
        <f t="shared" si="48"/>
        <v>N/A</v>
      </c>
      <c r="AY725" s="446">
        <f t="shared" si="59"/>
        <v>0</v>
      </c>
      <c r="AZ725" s="452">
        <f t="shared" si="60"/>
        <v>0</v>
      </c>
      <c r="BA725" s="453">
        <f t="shared" si="61"/>
        <v>0</v>
      </c>
      <c r="BB725" s="41"/>
      <c r="BC725" s="41"/>
      <c r="BD725" s="41"/>
      <c r="BE725" s="851">
        <f t="shared" si="62"/>
        <v>0</v>
      </c>
      <c r="BF725" s="855" t="str">
        <f t="shared" si="63"/>
        <v/>
      </c>
      <c r="BG725" s="856" t="str">
        <f t="shared" si="64"/>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6"/>
        <v>0</v>
      </c>
      <c r="U726" s="1093"/>
      <c r="V726" s="1093"/>
      <c r="W726" s="1093"/>
      <c r="X726" s="1094"/>
      <c r="Y726" s="1089"/>
      <c r="Z726" s="1090"/>
      <c r="AA726" s="1090"/>
      <c r="AB726" s="1091"/>
      <c r="AC726" s="1092">
        <f t="shared" si="57"/>
        <v>0</v>
      </c>
      <c r="AD726" s="1093"/>
      <c r="AE726" s="1093"/>
      <c r="AF726" s="1093"/>
      <c r="AG726" s="1094"/>
      <c r="AH726" s="1095"/>
      <c r="AI726" s="1096"/>
      <c r="AJ726" s="1096"/>
      <c r="AK726" s="1096"/>
      <c r="AL726" s="1097"/>
      <c r="AM726" s="1077" t="str">
        <f t="shared" si="58"/>
        <v/>
      </c>
      <c r="AN726" s="1078"/>
      <c r="AO726" s="1079"/>
      <c r="AV726" s="43" t="str">
        <f t="shared" si="48"/>
        <v>N/A</v>
      </c>
      <c r="AY726" s="446">
        <f t="shared" si="59"/>
        <v>0</v>
      </c>
      <c r="AZ726" s="452">
        <f t="shared" si="60"/>
        <v>0</v>
      </c>
      <c r="BA726" s="453">
        <f t="shared" si="61"/>
        <v>0</v>
      </c>
      <c r="BB726" s="41"/>
      <c r="BC726" s="41"/>
      <c r="BD726" s="41"/>
      <c r="BE726" s="851">
        <f t="shared" si="62"/>
        <v>0</v>
      </c>
      <c r="BF726" s="855" t="str">
        <f t="shared" si="63"/>
        <v/>
      </c>
      <c r="BG726" s="856" t="str">
        <f t="shared" si="64"/>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6"/>
        <v>0</v>
      </c>
      <c r="U727" s="1093"/>
      <c r="V727" s="1093"/>
      <c r="W727" s="1093"/>
      <c r="X727" s="1094"/>
      <c r="Y727" s="1089"/>
      <c r="Z727" s="1090"/>
      <c r="AA727" s="1090"/>
      <c r="AB727" s="1091"/>
      <c r="AC727" s="1092">
        <f t="shared" si="57"/>
        <v>0</v>
      </c>
      <c r="AD727" s="1093"/>
      <c r="AE727" s="1093"/>
      <c r="AF727" s="1093"/>
      <c r="AG727" s="1094"/>
      <c r="AH727" s="1095"/>
      <c r="AI727" s="1096"/>
      <c r="AJ727" s="1096"/>
      <c r="AK727" s="1096"/>
      <c r="AL727" s="1097"/>
      <c r="AM727" s="1077" t="str">
        <f t="shared" si="58"/>
        <v/>
      </c>
      <c r="AN727" s="1078"/>
      <c r="AO727" s="1079"/>
      <c r="AV727" s="43" t="str">
        <f t="shared" si="48"/>
        <v>N/A</v>
      </c>
      <c r="AY727" s="446">
        <f t="shared" si="59"/>
        <v>0</v>
      </c>
      <c r="AZ727" s="452">
        <f t="shared" si="60"/>
        <v>0</v>
      </c>
      <c r="BA727" s="453">
        <f t="shared" si="61"/>
        <v>0</v>
      </c>
      <c r="BB727" s="41"/>
      <c r="BC727" s="41"/>
      <c r="BD727" s="41"/>
      <c r="BE727" s="851">
        <f t="shared" si="62"/>
        <v>0</v>
      </c>
      <c r="BF727" s="855" t="str">
        <f t="shared" si="63"/>
        <v/>
      </c>
      <c r="BG727" s="856" t="str">
        <f t="shared" si="64"/>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6"/>
        <v>0</v>
      </c>
      <c r="U728" s="1093"/>
      <c r="V728" s="1093"/>
      <c r="W728" s="1093"/>
      <c r="X728" s="1094"/>
      <c r="Y728" s="1089"/>
      <c r="Z728" s="1090"/>
      <c r="AA728" s="1090"/>
      <c r="AB728" s="1091"/>
      <c r="AC728" s="1092">
        <f t="shared" si="57"/>
        <v>0</v>
      </c>
      <c r="AD728" s="1093"/>
      <c r="AE728" s="1093"/>
      <c r="AF728" s="1093"/>
      <c r="AG728" s="1094"/>
      <c r="AH728" s="1095"/>
      <c r="AI728" s="1096"/>
      <c r="AJ728" s="1096"/>
      <c r="AK728" s="1096"/>
      <c r="AL728" s="1097"/>
      <c r="AM728" s="1077" t="str">
        <f t="shared" si="58"/>
        <v/>
      </c>
      <c r="AN728" s="1078"/>
      <c r="AO728" s="1079"/>
      <c r="AV728" s="43" t="str">
        <f t="shared" si="48"/>
        <v>N/A</v>
      </c>
      <c r="AY728" s="446">
        <f t="shared" si="59"/>
        <v>0</v>
      </c>
      <c r="AZ728" s="452">
        <f>IF($AY$730=0,"",AY728/$AY$730)</f>
        <v>0</v>
      </c>
      <c r="BA728" s="453">
        <f t="shared" si="61"/>
        <v>0</v>
      </c>
      <c r="BB728" s="41"/>
      <c r="BC728" s="41"/>
      <c r="BD728" s="41"/>
      <c r="BE728" s="851">
        <f t="shared" si="62"/>
        <v>0</v>
      </c>
      <c r="BF728" s="855" t="str">
        <f t="shared" si="63"/>
        <v/>
      </c>
      <c r="BG728" s="856" t="str">
        <f t="shared" si="64"/>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6"/>
        <v>0</v>
      </c>
      <c r="U729" s="1093"/>
      <c r="V729" s="1093"/>
      <c r="W729" s="1093"/>
      <c r="X729" s="1094"/>
      <c r="Y729" s="1089"/>
      <c r="Z729" s="1090"/>
      <c r="AA729" s="1090"/>
      <c r="AB729" s="1091"/>
      <c r="AC729" s="1092">
        <f t="shared" si="47"/>
        <v>0</v>
      </c>
      <c r="AD729" s="1093"/>
      <c r="AE729" s="1093"/>
      <c r="AF729" s="1093"/>
      <c r="AG729" s="1094"/>
      <c r="AH729" s="1095"/>
      <c r="AI729" s="1096"/>
      <c r="AJ729" s="1096"/>
      <c r="AK729" s="1096"/>
      <c r="AL729" s="1097"/>
      <c r="AM729" s="1077" t="str">
        <f>IF($AH729&gt;0,($AC729/$AV729), "")</f>
        <v/>
      </c>
      <c r="AN729" s="1078"/>
      <c r="AO729" s="1079"/>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6" t="s">
        <v>877</v>
      </c>
      <c r="C730" s="1107"/>
      <c r="D730" s="1107"/>
      <c r="E730" s="1107"/>
      <c r="F730" s="1109"/>
      <c r="G730" s="1305">
        <f>SUM(G695:J729)</f>
        <v>75</v>
      </c>
      <c r="H730" s="1306"/>
      <c r="I730" s="1306"/>
      <c r="J730" s="1307"/>
      <c r="O730" s="430" t="s">
        <v>876</v>
      </c>
      <c r="P730" s="168"/>
      <c r="Q730" s="168"/>
      <c r="R730" s="168"/>
      <c r="S730" s="842"/>
      <c r="T730" s="1092">
        <f>SUM(T695:X729)</f>
        <v>21935</v>
      </c>
      <c r="U730" s="1093"/>
      <c r="V730" s="1093"/>
      <c r="W730" s="1093"/>
      <c r="X730" s="1094"/>
      <c r="AC730" s="843" t="s">
        <v>1139</v>
      </c>
      <c r="AD730" s="844"/>
      <c r="AE730" s="844"/>
      <c r="AF730" s="844"/>
      <c r="AG730" s="845"/>
      <c r="AH730" s="1512">
        <f>BA730</f>
        <v>0.3</v>
      </c>
      <c r="AI730" s="1513"/>
      <c r="AJ730" s="1513"/>
      <c r="AK730" s="1513"/>
      <c r="AL730" s="1514"/>
      <c r="AM730" s="1512">
        <f>IFERROR(BG730,0)</f>
        <v>0.13042108900256139</v>
      </c>
      <c r="AN730" s="1513"/>
      <c r="AO730" s="1514"/>
      <c r="AX730" s="62" t="s">
        <v>875</v>
      </c>
      <c r="AY730" s="454">
        <f>SUM(AY695:AY729)</f>
        <v>75</v>
      </c>
      <c r="AZ730" s="455">
        <f>SUM(AZ695:AZ729)</f>
        <v>1</v>
      </c>
      <c r="BA730" s="455">
        <f>SUM(BA695:BA729)</f>
        <v>0.3</v>
      </c>
      <c r="BB730" s="41"/>
      <c r="BC730" s="41"/>
      <c r="BD730" s="41"/>
      <c r="BE730" s="852">
        <f>SUM(BE695:BE729)</f>
        <v>75</v>
      </c>
      <c r="BF730" s="853">
        <f>SUM(BF695:BF729)</f>
        <v>1</v>
      </c>
      <c r="BG730" s="853">
        <f>SUM(BG695:BG729)</f>
        <v>0.13042108900256139</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3" t="s">
        <v>2059</v>
      </c>
      <c r="D731" s="1113"/>
      <c r="E731" s="1113"/>
      <c r="F731" s="1113"/>
      <c r="G731" s="1113"/>
      <c r="H731" s="1113"/>
      <c r="I731" s="1113"/>
      <c r="J731" s="1113"/>
      <c r="K731" s="1113"/>
      <c r="L731" s="1113"/>
      <c r="M731" s="1113"/>
      <c r="N731" s="1113"/>
      <c r="O731" s="1113"/>
      <c r="P731" s="1113"/>
      <c r="Q731" s="1113"/>
      <c r="R731" s="1113"/>
      <c r="S731" s="1113"/>
      <c r="T731" s="1113"/>
      <c r="U731" s="1113"/>
      <c r="V731" s="1113"/>
      <c r="W731" s="1113"/>
      <c r="X731" s="1113"/>
      <c r="Y731" s="1113"/>
      <c r="Z731" s="1113"/>
      <c r="AA731" s="1113"/>
      <c r="AB731" s="1113"/>
      <c r="AC731" s="1113"/>
      <c r="AD731" s="1113"/>
      <c r="AE731" s="1113"/>
      <c r="AF731" s="1113"/>
      <c r="AG731" s="1113"/>
      <c r="AH731" s="1113"/>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3"/>
      <c r="D732" s="1113"/>
      <c r="E732" s="1113"/>
      <c r="F732" s="1113"/>
      <c r="G732" s="1113"/>
      <c r="H732" s="1113"/>
      <c r="I732" s="1113"/>
      <c r="J732" s="1113"/>
      <c r="K732" s="1113"/>
      <c r="L732" s="1113"/>
      <c r="M732" s="1113"/>
      <c r="N732" s="1113"/>
      <c r="O732" s="1113"/>
      <c r="P732" s="1113"/>
      <c r="Q732" s="1113"/>
      <c r="R732" s="1113"/>
      <c r="S732" s="1113"/>
      <c r="T732" s="1113"/>
      <c r="U732" s="1113"/>
      <c r="V732" s="1113"/>
      <c r="W732" s="1113"/>
      <c r="X732" s="1113"/>
      <c r="Y732" s="1113"/>
      <c r="Z732" s="1113"/>
      <c r="AA732" s="1113"/>
      <c r="AB732" s="1113"/>
      <c r="AC732" s="1113"/>
      <c r="AD732" s="1113"/>
      <c r="AE732" s="1113"/>
      <c r="AF732" s="1113"/>
      <c r="AG732" s="1113"/>
      <c r="AH732" s="1113"/>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44">
        <f>CQ628</f>
        <v>75</v>
      </c>
      <c r="P733" s="1244"/>
      <c r="Q733" s="1244"/>
      <c r="R733" s="1244"/>
      <c r="S733" s="924"/>
      <c r="T733" s="924"/>
      <c r="U733" s="270" t="s">
        <v>2061</v>
      </c>
      <c r="V733" s="922"/>
      <c r="W733" s="922"/>
      <c r="X733" s="922"/>
      <c r="Y733" s="923"/>
      <c r="Z733" s="923"/>
      <c r="AA733" s="923"/>
      <c r="AB733" s="923"/>
      <c r="AC733" s="922"/>
      <c r="AD733" s="922"/>
      <c r="AE733" s="922"/>
      <c r="AF733" s="922"/>
      <c r="AG733" s="1310">
        <v>75</v>
      </c>
      <c r="AH733" s="1310"/>
      <c r="AI733" s="1310"/>
      <c r="AJ733" s="1310"/>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4" t="str">
        <f>IF(G730&lt;&gt;AG433,"! Total Low-Income Units in the Unit Mix Table above does not match the number of Total Low-Income Units on row #"&amp;TEXT(ROW(AG433),"#"),"")</f>
        <v/>
      </c>
      <c r="D734" s="1574"/>
      <c r="E734" s="1574"/>
      <c r="F734" s="1574"/>
      <c r="G734" s="1574"/>
      <c r="H734" s="1574"/>
      <c r="I734" s="1574"/>
      <c r="J734" s="1574"/>
      <c r="K734" s="1574"/>
      <c r="L734" s="1574"/>
      <c r="M734" s="1574"/>
      <c r="N734" s="1574"/>
      <c r="O734" s="1574"/>
      <c r="P734" s="1574"/>
      <c r="Q734" s="1574"/>
      <c r="R734" s="1574"/>
      <c r="S734" s="1574"/>
      <c r="T734" s="1574"/>
      <c r="U734" s="1574"/>
      <c r="V734" s="1574"/>
      <c r="W734" s="1574"/>
      <c r="X734" s="1574"/>
      <c r="Y734" s="1574"/>
      <c r="Z734" s="1574"/>
      <c r="AA734" s="1574"/>
      <c r="AB734" s="1574"/>
      <c r="AC734" s="1574"/>
      <c r="AD734" s="1574"/>
      <c r="AE734" s="1574"/>
      <c r="AF734" s="1574"/>
      <c r="AG734" s="1574"/>
      <c r="AH734" s="1574"/>
      <c r="AI734" s="1574"/>
      <c r="AJ734" s="1574"/>
      <c r="AK734" s="1574"/>
      <c r="AL734" s="1574"/>
      <c r="AM734" s="1574"/>
      <c r="AN734" s="1574"/>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4"/>
      <c r="D735" s="1574"/>
      <c r="E735" s="1574"/>
      <c r="F735" s="1574"/>
      <c r="G735" s="1574"/>
      <c r="H735" s="1574"/>
      <c r="I735" s="1574"/>
      <c r="J735" s="1574"/>
      <c r="K735" s="1574"/>
      <c r="L735" s="1574"/>
      <c r="M735" s="1574"/>
      <c r="N735" s="1574"/>
      <c r="O735" s="1574"/>
      <c r="P735" s="1574"/>
      <c r="Q735" s="1574"/>
      <c r="R735" s="1574"/>
      <c r="S735" s="1574"/>
      <c r="T735" s="1574"/>
      <c r="U735" s="1574"/>
      <c r="V735" s="1574"/>
      <c r="W735" s="1574"/>
      <c r="X735" s="1574"/>
      <c r="Y735" s="1574"/>
      <c r="Z735" s="1574"/>
      <c r="AA735" s="1574"/>
      <c r="AB735" s="1574"/>
      <c r="AC735" s="1574"/>
      <c r="AD735" s="1574"/>
      <c r="AE735" s="1574"/>
      <c r="AF735" s="1574"/>
      <c r="AG735" s="1574"/>
      <c r="AH735" s="1574"/>
      <c r="AI735" s="1574"/>
      <c r="AJ735" s="1574"/>
      <c r="AK735" s="1574"/>
      <c r="AL735" s="1574"/>
      <c r="AM735" s="1574"/>
      <c r="AN735" s="1574"/>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1" t="s">
        <v>54</v>
      </c>
      <c r="K748" s="1272"/>
      <c r="L748" s="1272"/>
      <c r="M748" s="1272"/>
      <c r="N748" s="1273"/>
      <c r="O748" s="1229" t="s">
        <v>256</v>
      </c>
      <c r="P748" s="1229"/>
      <c r="Q748" s="1229"/>
      <c r="R748" s="1229"/>
      <c r="S748" s="1229"/>
      <c r="T748" s="1461" t="s">
        <v>1993</v>
      </c>
      <c r="U748" s="1462"/>
      <c r="V748" s="1462"/>
      <c r="W748" s="1463"/>
      <c r="X748" s="1271" t="s">
        <v>589</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4"/>
      <c r="K749" s="1275"/>
      <c r="L749" s="1275"/>
      <c r="M749" s="1275"/>
      <c r="N749" s="1276"/>
      <c r="O749" s="1229"/>
      <c r="P749" s="1229"/>
      <c r="Q749" s="1229"/>
      <c r="R749" s="1229"/>
      <c r="S749" s="1229"/>
      <c r="T749" s="1464"/>
      <c r="U749" s="1465"/>
      <c r="V749" s="1465"/>
      <c r="W749" s="1466"/>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4"/>
      <c r="K750" s="1275"/>
      <c r="L750" s="1275"/>
      <c r="M750" s="1275"/>
      <c r="N750" s="1276"/>
      <c r="O750" s="1229"/>
      <c r="P750" s="1229"/>
      <c r="Q750" s="1229"/>
      <c r="R750" s="1229"/>
      <c r="S750" s="1229"/>
      <c r="T750" s="1464"/>
      <c r="U750" s="1465"/>
      <c r="V750" s="1465"/>
      <c r="W750" s="1466"/>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7"/>
      <c r="K751" s="1278"/>
      <c r="L751" s="1278"/>
      <c r="M751" s="1278"/>
      <c r="N751" s="1279"/>
      <c r="O751" s="1229"/>
      <c r="P751" s="1229"/>
      <c r="Q751" s="1229"/>
      <c r="R751" s="1229"/>
      <c r="S751" s="1229"/>
      <c r="T751" s="1515"/>
      <c r="U751" s="1516"/>
      <c r="V751" s="1516"/>
      <c r="W751" s="1517"/>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442</v>
      </c>
      <c r="K752" s="1081"/>
      <c r="L752" s="1081"/>
      <c r="M752" s="1081"/>
      <c r="N752" s="1082"/>
      <c r="O752" s="1245">
        <v>1</v>
      </c>
      <c r="P752" s="1245"/>
      <c r="Q752" s="1245"/>
      <c r="R752" s="1245"/>
      <c r="S752" s="1245"/>
      <c r="T752" s="1086">
        <v>616</v>
      </c>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45"/>
      <c r="P753" s="1245"/>
      <c r="Q753" s="1245"/>
      <c r="R753" s="1245"/>
      <c r="S753" s="1245"/>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45"/>
      <c r="P754" s="1245"/>
      <c r="Q754" s="1245"/>
      <c r="R754" s="1245"/>
      <c r="S754" s="1245"/>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45"/>
      <c r="P755" s="1245"/>
      <c r="Q755" s="1245"/>
      <c r="R755" s="1245"/>
      <c r="S755" s="1245"/>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6" t="s">
        <v>877</v>
      </c>
      <c r="K756" s="1107"/>
      <c r="L756" s="1107"/>
      <c r="M756" s="1107"/>
      <c r="N756" s="1109"/>
      <c r="O756" s="1075">
        <f>SUM(O752:S755)</f>
        <v>1</v>
      </c>
      <c r="P756" s="1309"/>
      <c r="Q756" s="1309"/>
      <c r="R756" s="1309"/>
      <c r="S756" s="1076"/>
      <c r="X756" s="1106" t="s">
        <v>876</v>
      </c>
      <c r="Y756" s="1107"/>
      <c r="Z756" s="1107"/>
      <c r="AA756" s="1107"/>
      <c r="AB756" s="1109"/>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8" t="s">
        <v>482</v>
      </c>
      <c r="K758" s="1118"/>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1" t="s">
        <v>54</v>
      </c>
      <c r="K762" s="1272"/>
      <c r="L762" s="1272"/>
      <c r="M762" s="1272"/>
      <c r="N762" s="1273"/>
      <c r="O762" s="1229" t="s">
        <v>256</v>
      </c>
      <c r="P762" s="1229"/>
      <c r="Q762" s="1229"/>
      <c r="R762" s="1229"/>
      <c r="S762" s="1229"/>
      <c r="T762" s="1461" t="s">
        <v>1993</v>
      </c>
      <c r="U762" s="1462"/>
      <c r="V762" s="1462"/>
      <c r="W762" s="1463"/>
      <c r="X762" s="1271" t="s">
        <v>589</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4"/>
      <c r="K763" s="1275"/>
      <c r="L763" s="1275"/>
      <c r="M763" s="1275"/>
      <c r="N763" s="1276"/>
      <c r="O763" s="1229"/>
      <c r="P763" s="1229"/>
      <c r="Q763" s="1229"/>
      <c r="R763" s="1229"/>
      <c r="S763" s="1229"/>
      <c r="T763" s="1464"/>
      <c r="U763" s="1465"/>
      <c r="V763" s="1465"/>
      <c r="W763" s="1466"/>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4"/>
      <c r="K764" s="1275"/>
      <c r="L764" s="1275"/>
      <c r="M764" s="1275"/>
      <c r="N764" s="1276"/>
      <c r="O764" s="1229"/>
      <c r="P764" s="1229"/>
      <c r="Q764" s="1229"/>
      <c r="R764" s="1229"/>
      <c r="S764" s="1229"/>
      <c r="T764" s="1464"/>
      <c r="U764" s="1465"/>
      <c r="V764" s="1465"/>
      <c r="W764" s="1466"/>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7"/>
      <c r="K765" s="1278"/>
      <c r="L765" s="1278"/>
      <c r="M765" s="1278"/>
      <c r="N765" s="1279"/>
      <c r="O765" s="1229"/>
      <c r="P765" s="1229"/>
      <c r="Q765" s="1229"/>
      <c r="R765" s="1229"/>
      <c r="S765" s="1229"/>
      <c r="T765" s="1515"/>
      <c r="U765" s="1516"/>
      <c r="V765" s="1516"/>
      <c r="W765" s="1517"/>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45"/>
      <c r="P766" s="1245"/>
      <c r="Q766" s="1245"/>
      <c r="R766" s="1245"/>
      <c r="S766" s="1245"/>
      <c r="T766" s="1086"/>
      <c r="U766" s="1087"/>
      <c r="V766" s="1087"/>
      <c r="W766" s="1088"/>
      <c r="X766" s="1089"/>
      <c r="Y766" s="1090"/>
      <c r="Z766" s="1090"/>
      <c r="AA766" s="1090"/>
      <c r="AB766" s="1091"/>
      <c r="AC766" s="1092">
        <f t="shared" ref="AC766:AC775" si="65">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45"/>
      <c r="P767" s="1245"/>
      <c r="Q767" s="1245"/>
      <c r="R767" s="1245"/>
      <c r="S767" s="1245"/>
      <c r="T767" s="1086"/>
      <c r="U767" s="1087"/>
      <c r="V767" s="1087"/>
      <c r="W767" s="1088"/>
      <c r="X767" s="1089"/>
      <c r="Y767" s="1090"/>
      <c r="Z767" s="1090"/>
      <c r="AA767" s="1090"/>
      <c r="AB767" s="1091"/>
      <c r="AC767" s="1092">
        <f t="shared" si="65"/>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45"/>
      <c r="P768" s="1245"/>
      <c r="Q768" s="1245"/>
      <c r="R768" s="1245"/>
      <c r="S768" s="1245"/>
      <c r="T768" s="1086"/>
      <c r="U768" s="1087"/>
      <c r="V768" s="1087"/>
      <c r="W768" s="1088"/>
      <c r="X768" s="1089"/>
      <c r="Y768" s="1090"/>
      <c r="Z768" s="1090"/>
      <c r="AA768" s="1090"/>
      <c r="AB768" s="1091"/>
      <c r="AC768" s="1092">
        <f t="shared" si="65"/>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45"/>
      <c r="P769" s="1245"/>
      <c r="Q769" s="1245"/>
      <c r="R769" s="1245"/>
      <c r="S769" s="1245"/>
      <c r="T769" s="1086"/>
      <c r="U769" s="1087"/>
      <c r="V769" s="1087"/>
      <c r="W769" s="1088"/>
      <c r="X769" s="1089"/>
      <c r="Y769" s="1090"/>
      <c r="Z769" s="1090"/>
      <c r="AA769" s="1090"/>
      <c r="AB769" s="1091"/>
      <c r="AC769" s="1092">
        <f t="shared" si="65"/>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45"/>
      <c r="P770" s="1245"/>
      <c r="Q770" s="1245"/>
      <c r="R770" s="1245"/>
      <c r="S770" s="1245"/>
      <c r="T770" s="1086"/>
      <c r="U770" s="1087"/>
      <c r="V770" s="1087"/>
      <c r="W770" s="1088"/>
      <c r="X770" s="1089"/>
      <c r="Y770" s="1090"/>
      <c r="Z770" s="1090"/>
      <c r="AA770" s="1090"/>
      <c r="AB770" s="1091"/>
      <c r="AC770" s="1092">
        <f t="shared" si="65"/>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45"/>
      <c r="P771" s="1245"/>
      <c r="Q771" s="1245"/>
      <c r="R771" s="1245"/>
      <c r="S771" s="1245"/>
      <c r="T771" s="1086"/>
      <c r="U771" s="1087"/>
      <c r="V771" s="1087"/>
      <c r="W771" s="1088"/>
      <c r="X771" s="1089"/>
      <c r="Y771" s="1090"/>
      <c r="Z771" s="1090"/>
      <c r="AA771" s="1090"/>
      <c r="AB771" s="1091"/>
      <c r="AC771" s="1092">
        <f t="shared" si="65"/>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45"/>
      <c r="P772" s="1245"/>
      <c r="Q772" s="1245"/>
      <c r="R772" s="1245"/>
      <c r="S772" s="1245"/>
      <c r="T772" s="1086"/>
      <c r="U772" s="1087"/>
      <c r="V772" s="1087"/>
      <c r="W772" s="1088"/>
      <c r="X772" s="1089"/>
      <c r="Y772" s="1090"/>
      <c r="Z772" s="1090"/>
      <c r="AA772" s="1090"/>
      <c r="AB772" s="1091"/>
      <c r="AC772" s="1092">
        <f t="shared" si="65"/>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45"/>
      <c r="P773" s="1245"/>
      <c r="Q773" s="1245"/>
      <c r="R773" s="1245"/>
      <c r="S773" s="1245"/>
      <c r="T773" s="1086"/>
      <c r="U773" s="1087"/>
      <c r="V773" s="1087"/>
      <c r="W773" s="1088"/>
      <c r="X773" s="1089"/>
      <c r="Y773" s="1090"/>
      <c r="Z773" s="1090"/>
      <c r="AA773" s="1090"/>
      <c r="AB773" s="1091"/>
      <c r="AC773" s="1092">
        <f t="shared" si="65"/>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45"/>
      <c r="P774" s="1245"/>
      <c r="Q774" s="1245"/>
      <c r="R774" s="1245"/>
      <c r="S774" s="1245"/>
      <c r="T774" s="1086"/>
      <c r="U774" s="1087"/>
      <c r="V774" s="1087"/>
      <c r="W774" s="1088"/>
      <c r="X774" s="1089"/>
      <c r="Y774" s="1090"/>
      <c r="Z774" s="1090"/>
      <c r="AA774" s="1090"/>
      <c r="AB774" s="1091"/>
      <c r="AC774" s="1092">
        <f t="shared" si="65"/>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45"/>
      <c r="P775" s="1245"/>
      <c r="Q775" s="1245"/>
      <c r="R775" s="1245"/>
      <c r="S775" s="1245"/>
      <c r="T775" s="1086"/>
      <c r="U775" s="1087"/>
      <c r="V775" s="1087"/>
      <c r="W775" s="1088"/>
      <c r="X775" s="1089"/>
      <c r="Y775" s="1090"/>
      <c r="Z775" s="1090"/>
      <c r="AA775" s="1090"/>
      <c r="AB775" s="1091"/>
      <c r="AC775" s="1092">
        <f t="shared" si="65"/>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6" t="s">
        <v>877</v>
      </c>
      <c r="K776" s="1107"/>
      <c r="L776" s="1107"/>
      <c r="M776" s="1107"/>
      <c r="N776" s="1109"/>
      <c r="O776" s="1244">
        <f>SUM(O766:S775)</f>
        <v>0</v>
      </c>
      <c r="P776" s="1244"/>
      <c r="Q776" s="1244"/>
      <c r="R776" s="1244"/>
      <c r="S776" s="1244"/>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4" t="str">
        <f>IF(O776&lt;&gt;AG431,"! Total market rate units in the Unit Mix Table above does not match the number of market rate units on row #"&amp;TEXT(ROW(AG431),"#"),"")</f>
        <v/>
      </c>
      <c r="D777" s="1574"/>
      <c r="E777" s="1574"/>
      <c r="F777" s="1574"/>
      <c r="G777" s="1574"/>
      <c r="H777" s="1574"/>
      <c r="I777" s="1574"/>
      <c r="J777" s="1574"/>
      <c r="K777" s="1574"/>
      <c r="L777" s="1574"/>
      <c r="M777" s="1574"/>
      <c r="N777" s="1574"/>
      <c r="O777" s="1574"/>
      <c r="P777" s="1574"/>
      <c r="Q777" s="1574"/>
      <c r="R777" s="1574"/>
      <c r="S777" s="1574"/>
      <c r="T777" s="1574"/>
      <c r="U777" s="1574"/>
      <c r="V777" s="1574"/>
      <c r="W777" s="1574"/>
      <c r="X777" s="1574"/>
      <c r="Y777" s="1574"/>
      <c r="Z777" s="1574"/>
      <c r="AA777" s="1574"/>
      <c r="AB777" s="1574"/>
      <c r="AC777" s="1574"/>
      <c r="AD777" s="1574"/>
      <c r="AE777" s="1574"/>
      <c r="AF777" s="1574"/>
      <c r="AG777" s="1574"/>
      <c r="AH777" s="1574"/>
      <c r="AI777" s="1574"/>
      <c r="AJ777" s="1574"/>
      <c r="AK777" s="1574"/>
      <c r="AL777" s="1574"/>
      <c r="AM777" s="1574"/>
      <c r="AN777" s="157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4"/>
      <c r="D778" s="1574"/>
      <c r="E778" s="1574"/>
      <c r="F778" s="1574"/>
      <c r="G778" s="1574"/>
      <c r="H778" s="1574"/>
      <c r="I778" s="1574"/>
      <c r="J778" s="1574"/>
      <c r="K778" s="1574"/>
      <c r="L778" s="1574"/>
      <c r="M778" s="1574"/>
      <c r="N778" s="1574"/>
      <c r="O778" s="1574"/>
      <c r="P778" s="1574"/>
      <c r="Q778" s="1574"/>
      <c r="R778" s="1574"/>
      <c r="S778" s="1574"/>
      <c r="T778" s="1574"/>
      <c r="U778" s="1574"/>
      <c r="V778" s="1574"/>
      <c r="W778" s="1574"/>
      <c r="X778" s="1574"/>
      <c r="Y778" s="1574"/>
      <c r="Z778" s="1574"/>
      <c r="AA778" s="1574"/>
      <c r="AB778" s="1574"/>
      <c r="AC778" s="1574"/>
      <c r="AD778" s="1574"/>
      <c r="AE778" s="1574"/>
      <c r="AF778" s="1574"/>
      <c r="AG778" s="1574"/>
      <c r="AH778" s="1574"/>
      <c r="AI778" s="1574"/>
      <c r="AJ778" s="1574"/>
      <c r="AK778" s="1574"/>
      <c r="AL778" s="1574"/>
      <c r="AM778" s="1574"/>
      <c r="AN778" s="157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303">
        <f>T730+AC756+AC776</f>
        <v>21935</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303">
        <f>(T730+AC756+AC776)*12</f>
        <v>263220</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7">
        <v>60</v>
      </c>
      <c r="AA785" s="1198"/>
      <c r="AB785" s="1198"/>
      <c r="AC785" s="1198"/>
      <c r="AD785" s="1198"/>
      <c r="AE785" s="11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2">
        <v>15</v>
      </c>
      <c r="AA786" s="1198"/>
      <c r="AB786" s="1198"/>
      <c r="AC786" s="1198"/>
      <c r="AD786" s="1198"/>
      <c r="AE786" s="11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60"/>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300">
        <f>'Subsidy Contract Calculation'!I40</f>
        <v>945360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21">
        <f>[1]EVERYTHING!$AA$25</f>
        <v>1500</v>
      </c>
      <c r="AA792" s="1222"/>
      <c r="AB792" s="1222"/>
      <c r="AC792" s="1222"/>
      <c r="AD792" s="1222"/>
      <c r="AE792" s="12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21"/>
      <c r="AA793" s="1222"/>
      <c r="AB793" s="1222"/>
      <c r="AC793" s="1222"/>
      <c r="AD793" s="1222"/>
      <c r="AE793" s="12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21"/>
      <c r="AA794" s="1222"/>
      <c r="AB794" s="1222"/>
      <c r="AC794" s="1222"/>
      <c r="AD794" s="1222"/>
      <c r="AE794" s="12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304" t="s">
        <v>562</v>
      </c>
      <c r="Q795" s="1163"/>
      <c r="R795" s="1163"/>
      <c r="S795" s="1163"/>
      <c r="T795" s="1163"/>
      <c r="U795" s="1163"/>
      <c r="V795" s="1163"/>
      <c r="W795" s="1163"/>
      <c r="X795" s="1163"/>
      <c r="Y795" s="1164"/>
      <c r="Z795" s="1221"/>
      <c r="AA795" s="1222"/>
      <c r="AB795" s="1222"/>
      <c r="AC795" s="1222"/>
      <c r="AD795" s="1222"/>
      <c r="AE795" s="12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32">
        <f>SUM(Z792:AE795)</f>
        <v>1500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32">
        <f>Z796+Y780+Z788</f>
        <v>1210080</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2" t="s">
        <v>878</v>
      </c>
      <c r="N802" s="1172"/>
      <c r="O802" s="1172"/>
      <c r="P802" s="1230"/>
      <c r="Q802" s="1231" t="s">
        <v>263</v>
      </c>
      <c r="R802" s="1231"/>
      <c r="S802" s="1231"/>
      <c r="T802" s="1231"/>
      <c r="U802" s="1231" t="s">
        <v>264</v>
      </c>
      <c r="V802" s="1231"/>
      <c r="W802" s="1231"/>
      <c r="X802" s="1231"/>
      <c r="Y802" s="1231" t="s">
        <v>265</v>
      </c>
      <c r="Z802" s="1231"/>
      <c r="AA802" s="1231"/>
      <c r="AB802" s="1231"/>
      <c r="AC802" s="1231" t="s">
        <v>31</v>
      </c>
      <c r="AD802" s="1231"/>
      <c r="AE802" s="1231"/>
      <c r="AF802" s="1231"/>
      <c r="AG802" s="1308" t="s">
        <v>563</v>
      </c>
      <c r="AH802" s="1308"/>
      <c r="AI802" s="1308"/>
      <c r="AJ802" s="13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6"/>
      <c r="N803" s="1176"/>
      <c r="O803" s="1176"/>
      <c r="P803" s="1220"/>
      <c r="Q803" s="1231"/>
      <c r="R803" s="1231"/>
      <c r="S803" s="1231"/>
      <c r="T803" s="1231"/>
      <c r="U803" s="1231"/>
      <c r="V803" s="1231"/>
      <c r="W803" s="1231"/>
      <c r="X803" s="1231"/>
      <c r="Y803" s="1231"/>
      <c r="Z803" s="1231"/>
      <c r="AA803" s="1231"/>
      <c r="AB803" s="1231"/>
      <c r="AC803" s="1231"/>
      <c r="AD803" s="1231"/>
      <c r="AE803" s="1231"/>
      <c r="AF803" s="1231"/>
      <c r="AG803" s="1308"/>
      <c r="AH803" s="1308"/>
      <c r="AI803" s="1308"/>
      <c r="AJ803" s="13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9" t="s">
        <v>694</v>
      </c>
      <c r="D804" s="1190"/>
      <c r="E804" s="1190"/>
      <c r="F804" s="1190"/>
      <c r="G804" s="1190"/>
      <c r="H804" s="1190"/>
      <c r="I804" s="54"/>
      <c r="J804" s="54"/>
      <c r="K804" s="54"/>
      <c r="L804" s="55"/>
      <c r="M804" s="1186"/>
      <c r="N804" s="1186"/>
      <c r="O804" s="1186"/>
      <c r="P804" s="1186"/>
      <c r="Q804" s="1186"/>
      <c r="R804" s="1186"/>
      <c r="S804" s="1186"/>
      <c r="T804" s="1186"/>
      <c r="U804" s="1186"/>
      <c r="V804" s="1186"/>
      <c r="W804" s="1186"/>
      <c r="X804" s="1186"/>
      <c r="Y804" s="1186"/>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7" t="s">
        <v>695</v>
      </c>
      <c r="D805" s="1188"/>
      <c r="E805" s="1188"/>
      <c r="F805" s="1188"/>
      <c r="G805" s="1188"/>
      <c r="H805" s="1188"/>
      <c r="I805" s="9"/>
      <c r="J805" s="9"/>
      <c r="K805" s="9"/>
      <c r="L805" s="52"/>
      <c r="M805" s="1186"/>
      <c r="N805" s="1186"/>
      <c r="O805" s="1186"/>
      <c r="P805" s="1186"/>
      <c r="Q805" s="1186"/>
      <c r="R805" s="1186"/>
      <c r="S805" s="1186"/>
      <c r="T805" s="1186"/>
      <c r="U805" s="1186"/>
      <c r="V805" s="1186"/>
      <c r="W805" s="1186"/>
      <c r="X805" s="1186"/>
      <c r="Y805" s="1186"/>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7" t="s">
        <v>71</v>
      </c>
      <c r="D806" s="1188"/>
      <c r="E806" s="1188"/>
      <c r="F806" s="1188"/>
      <c r="G806" s="1188"/>
      <c r="H806" s="1188"/>
      <c r="I806" s="66"/>
      <c r="J806" s="66"/>
      <c r="K806" s="66"/>
      <c r="L806" s="67"/>
      <c r="M806" s="1186"/>
      <c r="N806" s="1186"/>
      <c r="O806" s="1186"/>
      <c r="P806" s="1186"/>
      <c r="Q806" s="1186"/>
      <c r="R806" s="1186"/>
      <c r="S806" s="1186"/>
      <c r="T806" s="1186"/>
      <c r="U806" s="1186"/>
      <c r="V806" s="1186"/>
      <c r="W806" s="1186"/>
      <c r="X806" s="1186"/>
      <c r="Y806" s="1186"/>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7" t="s">
        <v>178</v>
      </c>
      <c r="D807" s="1188"/>
      <c r="E807" s="1188"/>
      <c r="F807" s="1188"/>
      <c r="G807" s="1188"/>
      <c r="H807" s="1188"/>
      <c r="I807" s="66"/>
      <c r="J807" s="66"/>
      <c r="K807" s="66"/>
      <c r="L807" s="67"/>
      <c r="M807" s="1186"/>
      <c r="N807" s="1186"/>
      <c r="O807" s="1186"/>
      <c r="P807" s="1186"/>
      <c r="Q807" s="1186"/>
      <c r="R807" s="1186"/>
      <c r="S807" s="1186"/>
      <c r="T807" s="1186"/>
      <c r="U807" s="1186"/>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7" t="s">
        <v>790</v>
      </c>
      <c r="D808" s="1188"/>
      <c r="E808" s="1188"/>
      <c r="F808" s="1188"/>
      <c r="G808" s="1188"/>
      <c r="H808" s="1188"/>
      <c r="I808" s="66"/>
      <c r="J808" s="66"/>
      <c r="K808" s="66"/>
      <c r="L808" s="67"/>
      <c r="M808" s="1186"/>
      <c r="N808" s="1186"/>
      <c r="O808" s="1186"/>
      <c r="P808" s="1186"/>
      <c r="Q808" s="1186"/>
      <c r="R808" s="1186"/>
      <c r="S808" s="1186"/>
      <c r="T808" s="1186"/>
      <c r="U808" s="1186"/>
      <c r="V808" s="1186"/>
      <c r="W808" s="1186"/>
      <c r="X808" s="1186"/>
      <c r="Y808" s="1186"/>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5" t="s">
        <v>943</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304" t="s">
        <v>562</v>
      </c>
      <c r="G810" s="1163"/>
      <c r="H810" s="1163"/>
      <c r="I810" s="1163"/>
      <c r="J810" s="1163"/>
      <c r="K810" s="1163"/>
      <c r="L810" s="1163"/>
      <c r="M810" s="1186"/>
      <c r="N810" s="1186"/>
      <c r="O810" s="1186"/>
      <c r="P810" s="1186"/>
      <c r="Q810" s="1186"/>
      <c r="R810" s="1186"/>
      <c r="S810" s="1186"/>
      <c r="T810" s="1186"/>
      <c r="U810" s="1186"/>
      <c r="V810" s="1186"/>
      <c r="W810" s="1186"/>
      <c r="X810" s="1186"/>
      <c r="Y810" s="1186"/>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6" t="s">
        <v>876</v>
      </c>
      <c r="D811" s="1107"/>
      <c r="E811" s="1107"/>
      <c r="F811" s="1107"/>
      <c r="G811" s="1107"/>
      <c r="H811" s="1107"/>
      <c r="I811" s="1107"/>
      <c r="J811" s="1107"/>
      <c r="K811" s="1107"/>
      <c r="L811" s="1109"/>
      <c r="M811" s="1299">
        <f>SUM(M804:P810)</f>
        <v>0</v>
      </c>
      <c r="N811" s="1299"/>
      <c r="O811" s="1299"/>
      <c r="P811" s="1299"/>
      <c r="Q811" s="1299">
        <f>SUM(Q804:T810)</f>
        <v>0</v>
      </c>
      <c r="R811" s="1299"/>
      <c r="S811" s="1299"/>
      <c r="T811" s="1299"/>
      <c r="U811" s="1299">
        <f>SUM(U804:X810)</f>
        <v>0</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2363</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4">
        <v>1000</v>
      </c>
      <c r="X821" s="1224"/>
      <c r="Y821" s="1224"/>
      <c r="Z821" s="1224"/>
      <c r="AA821" s="1224"/>
      <c r="AB821" s="1224"/>
      <c r="AC821" s="122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4">
        <v>15000</v>
      </c>
      <c r="X822" s="1224"/>
      <c r="Y822" s="1224"/>
      <c r="Z822" s="1224"/>
      <c r="AA822" s="1224"/>
      <c r="AB822" s="1224"/>
      <c r="AC822" s="122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4">
        <v>20000</v>
      </c>
      <c r="X823" s="1224"/>
      <c r="Y823" s="1224"/>
      <c r="Z823" s="1224"/>
      <c r="AA823" s="1224"/>
      <c r="AB823" s="1224"/>
      <c r="AC823" s="122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4">
        <v>60000</v>
      </c>
      <c r="X824" s="1224"/>
      <c r="Y824" s="1224"/>
      <c r="Z824" s="1224"/>
      <c r="AA824" s="1224"/>
      <c r="AB824" s="1224"/>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2" t="s">
        <v>2461</v>
      </c>
      <c r="N825" s="1163"/>
      <c r="O825" s="1163"/>
      <c r="P825" s="1163"/>
      <c r="Q825" s="1163"/>
      <c r="R825" s="1163"/>
      <c r="S825" s="1163"/>
      <c r="T825" s="1163"/>
      <c r="U825" s="1163"/>
      <c r="V825" s="1164"/>
      <c r="W825" s="1224">
        <v>23156</v>
      </c>
      <c r="X825" s="1224"/>
      <c r="Y825" s="1224"/>
      <c r="Z825" s="1224"/>
      <c r="AA825" s="1224"/>
      <c r="AB825" s="1224"/>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San Luis Obispo</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2">
        <f>SUM(W821:AC825)</f>
        <v>119156</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6" t="s">
        <v>469</v>
      </c>
      <c r="K828" s="1107"/>
      <c r="L828" s="1107"/>
      <c r="M828" s="1107"/>
      <c r="N828" s="1107"/>
      <c r="O828" s="1107"/>
      <c r="P828" s="1107"/>
      <c r="Q828" s="1107"/>
      <c r="R828" s="1107"/>
      <c r="S828" s="1107"/>
      <c r="T828" s="1107"/>
      <c r="U828" s="1107"/>
      <c r="V828" s="1109"/>
      <c r="W828" s="1221">
        <v>73872</v>
      </c>
      <c r="X828" s="1222"/>
      <c r="Y828" s="1222"/>
      <c r="Z828" s="1222"/>
      <c r="AA828" s="1222"/>
      <c r="AB828" s="1222"/>
      <c r="AC828" s="122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1">
        <v>5000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81">
        <v>60000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1">
        <v>60000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125000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9">
        <v>138560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24">
        <v>1.5</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9">
        <v>82680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2"/>
      <c r="N840" s="1163"/>
      <c r="O840" s="1163"/>
      <c r="P840" s="1163"/>
      <c r="Q840" s="1163"/>
      <c r="R840" s="1163"/>
      <c r="S840" s="1163"/>
      <c r="T840" s="1163"/>
      <c r="U840" s="1163"/>
      <c r="V840" s="1164"/>
      <c r="W840" s="1519"/>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0">
        <f>SUM(W836:AC840)</f>
        <v>221240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90000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24">
        <v>2000</v>
      </c>
      <c r="X844" s="1224"/>
      <c r="Y844" s="1224"/>
      <c r="Z844" s="1224"/>
      <c r="AA844" s="1224"/>
      <c r="AB844" s="1224"/>
      <c r="AC844" s="122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24">
        <v>50000</v>
      </c>
      <c r="X845" s="1224"/>
      <c r="Y845" s="1224"/>
      <c r="Z845" s="1224"/>
      <c r="AA845" s="1224"/>
      <c r="AB845" s="1224"/>
      <c r="AC845" s="122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24">
        <v>20000</v>
      </c>
      <c r="X846" s="1224"/>
      <c r="Y846" s="1224"/>
      <c r="Z846" s="1224"/>
      <c r="AA846" s="1224"/>
      <c r="AB846" s="1224"/>
      <c r="AC846" s="122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24">
        <v>15000</v>
      </c>
      <c r="X847" s="1224"/>
      <c r="Y847" s="1224"/>
      <c r="Z847" s="1224"/>
      <c r="AA847" s="1224"/>
      <c r="AB847" s="1224"/>
      <c r="AC847" s="122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24">
        <v>20000</v>
      </c>
      <c r="X848" s="1224"/>
      <c r="Y848" s="1224"/>
      <c r="Z848" s="1224"/>
      <c r="AA848" s="1224"/>
      <c r="AB848" s="1224"/>
      <c r="AC848" s="122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24"/>
      <c r="X849" s="1224"/>
      <c r="Y849" s="1224"/>
      <c r="Z849" s="1224"/>
      <c r="AA849" s="1224"/>
      <c r="AB849" s="1224"/>
      <c r="AC849" s="122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2" t="s">
        <v>2462</v>
      </c>
      <c r="N850" s="1163"/>
      <c r="O850" s="1163"/>
      <c r="P850" s="1163"/>
      <c r="Q850" s="1163"/>
      <c r="R850" s="1163"/>
      <c r="S850" s="1163"/>
      <c r="T850" s="1163"/>
      <c r="U850" s="1163"/>
      <c r="V850" s="1164"/>
      <c r="W850" s="1224">
        <v>70000</v>
      </c>
      <c r="X850" s="1224"/>
      <c r="Y850" s="1224"/>
      <c r="Z850" s="1224"/>
      <c r="AA850" s="1224"/>
      <c r="AB850" s="1224"/>
      <c r="AC850" s="122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3">
        <f>SUM(W844:AC850)</f>
        <v>177000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62" t="s">
        <v>2362</v>
      </c>
      <c r="N853" s="1163"/>
      <c r="O853" s="1163"/>
      <c r="P853" s="1163"/>
      <c r="Q853" s="1163"/>
      <c r="R853" s="1163"/>
      <c r="S853" s="1163"/>
      <c r="T853" s="1163"/>
      <c r="U853" s="1163"/>
      <c r="V853" s="1164"/>
      <c r="W853" s="1221">
        <v>15000</v>
      </c>
      <c r="X853" s="1222"/>
      <c r="Y853" s="1222"/>
      <c r="Z853" s="1222"/>
      <c r="AA853" s="1222"/>
      <c r="AB853" s="1222"/>
      <c r="AC853" s="122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62" t="s">
        <v>931</v>
      </c>
      <c r="N854" s="1163"/>
      <c r="O854" s="1163"/>
      <c r="P854" s="1163"/>
      <c r="Q854" s="1163"/>
      <c r="R854" s="1163"/>
      <c r="S854" s="1163"/>
      <c r="T854" s="1163"/>
      <c r="U854" s="1163"/>
      <c r="V854" s="1164"/>
      <c r="W854" s="1221">
        <v>45000</v>
      </c>
      <c r="X854" s="1222"/>
      <c r="Y854" s="1222"/>
      <c r="Z854" s="1222"/>
      <c r="AA854" s="1222"/>
      <c r="AB854" s="1222"/>
      <c r="AC854" s="122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04" t="s">
        <v>562</v>
      </c>
      <c r="N855" s="1163"/>
      <c r="O855" s="1163"/>
      <c r="P855" s="1163"/>
      <c r="Q855" s="1163"/>
      <c r="R855" s="1163"/>
      <c r="S855" s="1163"/>
      <c r="T855" s="1163"/>
      <c r="U855" s="1163"/>
      <c r="V855" s="1164"/>
      <c r="W855" s="1221"/>
      <c r="X855" s="1222"/>
      <c r="Y855" s="1222"/>
      <c r="Z855" s="1222"/>
      <c r="AA855" s="1222"/>
      <c r="AB855" s="1222"/>
      <c r="AC855" s="122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04" t="s">
        <v>562</v>
      </c>
      <c r="N856" s="1163"/>
      <c r="O856" s="1163"/>
      <c r="P856" s="1163"/>
      <c r="Q856" s="1163"/>
      <c r="R856" s="1163"/>
      <c r="S856" s="1163"/>
      <c r="T856" s="1163"/>
      <c r="U856" s="1163"/>
      <c r="V856" s="1164"/>
      <c r="W856" s="1221"/>
      <c r="X856" s="1222"/>
      <c r="Y856" s="1222"/>
      <c r="Z856" s="1222"/>
      <c r="AA856" s="1222"/>
      <c r="AB856" s="1222"/>
      <c r="AC856" s="122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04" t="s">
        <v>562</v>
      </c>
      <c r="N857" s="1163"/>
      <c r="O857" s="1163"/>
      <c r="P857" s="1163"/>
      <c r="Q857" s="1163"/>
      <c r="R857" s="1163"/>
      <c r="S857" s="1163"/>
      <c r="T857" s="1163"/>
      <c r="U857" s="1163"/>
      <c r="V857" s="1164"/>
      <c r="W857" s="1221"/>
      <c r="X857" s="1222"/>
      <c r="Y857" s="1222"/>
      <c r="Z857" s="1222"/>
      <c r="AA857" s="1222"/>
      <c r="AB857" s="1222"/>
      <c r="AC857" s="122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2">
        <f>SUM(W853:AC857)</f>
        <v>60000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866268</v>
      </c>
      <c r="AD862" s="1233"/>
      <c r="AE862" s="1233"/>
      <c r="AF862" s="1233"/>
      <c r="AG862" s="1233"/>
      <c r="AH862" s="1234"/>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40">
        <f>O776+O756+G730</f>
        <v>76</v>
      </c>
      <c r="AD863" s="1541"/>
      <c r="AE863" s="1541"/>
      <c r="AF863" s="1541"/>
      <c r="AG863" s="1541"/>
      <c r="AH863" s="1542"/>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1" t="s">
        <v>346</v>
      </c>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3"/>
      <c r="AC864" s="1522">
        <f>IF(ISERROR((ROUNDDOWN(AC862/AC863,0))),0,(ROUNDDOWN(AC862/AC863,0)))</f>
        <v>11398</v>
      </c>
      <c r="AD864" s="1523"/>
      <c r="AE864" s="1523"/>
      <c r="AF864" s="1523"/>
      <c r="AG864" s="1523"/>
      <c r="AH864" s="152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9">
        <v>205987</v>
      </c>
      <c r="AD865" s="1534"/>
      <c r="AE865" s="1534"/>
      <c r="AF865" s="1534"/>
      <c r="AG865" s="1534"/>
      <c r="AH865" s="1534"/>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3"/>
      <c r="AD866" s="1224"/>
      <c r="AE866" s="1224"/>
      <c r="AF866" s="1224"/>
      <c r="AG866" s="1224"/>
      <c r="AH866" s="1224"/>
      <c r="AI866"/>
      <c r="AJ866"/>
      <c r="AK866"/>
      <c r="AL866"/>
      <c r="AM866" s="38"/>
      <c r="AN866" s="38"/>
      <c r="AV866" s="1241"/>
      <c r="AW866" s="1241"/>
      <c r="AX866" s="1241"/>
      <c r="AY866" s="1241"/>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1">
        <v>87676</v>
      </c>
      <c r="AD867" s="1222"/>
      <c r="AE867" s="1222"/>
      <c r="AF867" s="1222"/>
      <c r="AG867" s="1222"/>
      <c r="AH867" s="122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1">
        <v>38000</v>
      </c>
      <c r="AD868" s="1222"/>
      <c r="AE868" s="1222"/>
      <c r="AF868" s="1222"/>
      <c r="AG868" s="1222"/>
      <c r="AH868" s="1223"/>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21"/>
      <c r="AD869" s="1222"/>
      <c r="AE869" s="1222"/>
      <c r="AF869" s="1222"/>
      <c r="AG869" s="1222"/>
      <c r="AH869" s="1223"/>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1"/>
      <c r="AD870" s="1222"/>
      <c r="AE870" s="1222"/>
      <c r="AF870" s="1222"/>
      <c r="AG870" s="1222"/>
      <c r="AH870" s="1223"/>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4"/>
      <c r="AD871" s="1224"/>
      <c r="AE871" s="1224"/>
      <c r="AF871" s="1224"/>
      <c r="AG871" s="1224"/>
      <c r="AH871" s="1224"/>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9" t="s">
        <v>1209</v>
      </c>
      <c r="F872" s="1450"/>
      <c r="G872" s="1450"/>
      <c r="H872" s="1450"/>
      <c r="I872" s="1450"/>
      <c r="J872" s="1450"/>
      <c r="K872" s="1450"/>
      <c r="L872" s="1450"/>
      <c r="M872" s="1450"/>
      <c r="N872" s="1450"/>
      <c r="O872" s="1450"/>
      <c r="P872" s="1450"/>
      <c r="Q872" s="1450"/>
      <c r="R872" s="1450"/>
      <c r="S872" s="1450"/>
      <c r="T872" s="1450"/>
      <c r="U872" s="1450"/>
      <c r="V872" s="1450"/>
      <c r="W872" s="1450"/>
      <c r="X872" s="1450"/>
      <c r="Y872" s="1450"/>
      <c r="Z872" s="1450"/>
      <c r="AA872" s="1450"/>
      <c r="AB872" s="1451"/>
      <c r="AC872" s="1224"/>
      <c r="AD872" s="1224"/>
      <c r="AE872" s="1224"/>
      <c r="AF872" s="1224"/>
      <c r="AG872" s="1224"/>
      <c r="AH872" s="1224"/>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9" t="s">
        <v>1209</v>
      </c>
      <c r="F873" s="1450"/>
      <c r="G873" s="1450"/>
      <c r="H873" s="1450"/>
      <c r="I873" s="1450"/>
      <c r="J873" s="1450"/>
      <c r="K873" s="1450"/>
      <c r="L873" s="1450"/>
      <c r="M873" s="1450"/>
      <c r="N873" s="1450"/>
      <c r="O873" s="1450"/>
      <c r="P873" s="1450"/>
      <c r="Q873" s="1450"/>
      <c r="R873" s="1450"/>
      <c r="S873" s="1450"/>
      <c r="T873" s="1450"/>
      <c r="U873" s="1450"/>
      <c r="V873" s="1450"/>
      <c r="W873" s="1450"/>
      <c r="X873" s="1450"/>
      <c r="Y873" s="1450"/>
      <c r="Z873" s="1450"/>
      <c r="AA873" s="1450"/>
      <c r="AB873" s="1451"/>
      <c r="AC873" s="1224"/>
      <c r="AD873" s="1224"/>
      <c r="AE873" s="1224"/>
      <c r="AF873" s="1224"/>
      <c r="AG873" s="1224"/>
      <c r="AH873" s="1224"/>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41"/>
      <c r="AQ875" s="1241"/>
      <c r="AR875" s="1241"/>
      <c r="AS875" s="1241"/>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1"/>
      <c r="AQ876" s="1241"/>
      <c r="AR876" s="1241"/>
      <c r="AS876" s="1241"/>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1"/>
      <c r="AA877" s="1222"/>
      <c r="AB877" s="1222"/>
      <c r="AC877" s="1222"/>
      <c r="AD877" s="1222"/>
      <c r="AE877" s="1223"/>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1"/>
      <c r="AA878" s="1222"/>
      <c r="AB878" s="1222"/>
      <c r="AC878" s="1222"/>
      <c r="AD878" s="1222"/>
      <c r="AE878" s="1223"/>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21"/>
      <c r="AA879" s="1222"/>
      <c r="AB879" s="1222"/>
      <c r="AC879" s="1222"/>
      <c r="AD879" s="1222"/>
      <c r="AE879" s="1223"/>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6" t="s">
        <v>961</v>
      </c>
      <c r="G892" s="1227"/>
      <c r="H892" s="1227"/>
      <c r="I892" s="1227"/>
      <c r="J892" s="1227"/>
      <c r="K892" s="1227"/>
      <c r="L892" s="1227"/>
      <c r="M892" s="1227"/>
      <c r="N892" s="1227"/>
      <c r="O892" s="1227"/>
      <c r="P892" s="1227"/>
      <c r="Q892" s="1227"/>
      <c r="R892" s="1227"/>
      <c r="S892" s="1227"/>
      <c r="T892" s="1228"/>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3" t="s">
        <v>1039</v>
      </c>
      <c r="G893" s="1174"/>
      <c r="H893" s="1174"/>
      <c r="I893" s="1174"/>
      <c r="J893" s="1174"/>
      <c r="K893" s="1174"/>
      <c r="L893" s="1174"/>
      <c r="M893" s="1174"/>
      <c r="N893" s="1174"/>
      <c r="O893" s="1174"/>
      <c r="P893" s="1174"/>
      <c r="Q893" s="1174"/>
      <c r="R893" s="1174"/>
      <c r="S893" s="1174"/>
      <c r="T893" s="1219"/>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5"/>
      <c r="G894" s="1176"/>
      <c r="H894" s="1176"/>
      <c r="I894" s="1176"/>
      <c r="J894" s="1176"/>
      <c r="K894" s="1176"/>
      <c r="L894" s="1176"/>
      <c r="M894" s="1176"/>
      <c r="N894" s="1176"/>
      <c r="O894" s="1176"/>
      <c r="P894" s="1176"/>
      <c r="Q894" s="1176"/>
      <c r="R894" s="1176"/>
      <c r="S894" s="1176"/>
      <c r="T894" s="1220"/>
      <c r="U894" s="1175"/>
      <c r="V894" s="1176"/>
      <c r="W894" s="1176"/>
      <c r="X894" s="1176"/>
      <c r="Y894" s="1176"/>
      <c r="Z894" s="1176"/>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7" t="s">
        <v>158</v>
      </c>
      <c r="G895" s="1318"/>
      <c r="H895" s="1318"/>
      <c r="I895" s="1318"/>
      <c r="J895" s="1318"/>
      <c r="K895" s="1318"/>
      <c r="L895" s="1318"/>
      <c r="M895" s="1318"/>
      <c r="N895" s="1318"/>
      <c r="O895" s="1318"/>
      <c r="P895" s="1318"/>
      <c r="Q895" s="1318"/>
      <c r="R895" s="1318"/>
      <c r="S895" s="1318"/>
      <c r="T895" s="1319"/>
      <c r="U895" s="1218" t="s">
        <v>124</v>
      </c>
      <c r="V895" s="1147"/>
      <c r="W895" s="1147"/>
      <c r="X895" s="1147"/>
      <c r="Y895" s="1147"/>
      <c r="Z895" s="1148"/>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7" t="s">
        <v>160</v>
      </c>
      <c r="G896" s="1318"/>
      <c r="H896" s="1318"/>
      <c r="I896" s="1318"/>
      <c r="J896" s="1318"/>
      <c r="K896" s="1318"/>
      <c r="L896" s="1318"/>
      <c r="M896" s="1318"/>
      <c r="N896" s="1318"/>
      <c r="O896" s="1318"/>
      <c r="P896" s="1318"/>
      <c r="Q896" s="1318"/>
      <c r="R896" s="1318"/>
      <c r="S896" s="1318"/>
      <c r="T896" s="1319"/>
      <c r="U896" s="1218" t="s">
        <v>124</v>
      </c>
      <c r="V896" s="1147"/>
      <c r="W896" s="1147"/>
      <c r="X896" s="1147"/>
      <c r="Y896" s="1147"/>
      <c r="Z896" s="1148"/>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946</v>
      </c>
      <c r="G897" s="1545"/>
      <c r="H897" s="1545"/>
      <c r="I897" s="1545"/>
      <c r="J897" s="1545"/>
      <c r="K897" s="1545"/>
      <c r="L897" s="1545"/>
      <c r="M897" s="1545"/>
      <c r="N897" s="1545"/>
      <c r="O897" s="1545"/>
      <c r="P897" s="1545"/>
      <c r="Q897" s="1545"/>
      <c r="R897" s="1545"/>
      <c r="S897" s="1545"/>
      <c r="T897" s="1546"/>
      <c r="U897" s="1218" t="s">
        <v>124</v>
      </c>
      <c r="V897" s="1147"/>
      <c r="W897" s="1147"/>
      <c r="X897" s="1147"/>
      <c r="Y897" s="1147"/>
      <c r="Z897" s="1148"/>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947</v>
      </c>
      <c r="G898" s="1545"/>
      <c r="H898" s="1545"/>
      <c r="I898" s="1545"/>
      <c r="J898" s="1545"/>
      <c r="K898" s="1545"/>
      <c r="L898" s="1545"/>
      <c r="M898" s="1545"/>
      <c r="N898" s="1545"/>
      <c r="O898" s="1545"/>
      <c r="P898" s="1545"/>
      <c r="Q898" s="1545"/>
      <c r="R898" s="1545"/>
      <c r="S898" s="1545"/>
      <c r="T898" s="1546"/>
      <c r="U898" s="1218" t="s">
        <v>124</v>
      </c>
      <c r="V898" s="1147"/>
      <c r="W898" s="1147"/>
      <c r="X898" s="1147"/>
      <c r="Y898" s="1147"/>
      <c r="Z898" s="1148"/>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948</v>
      </c>
      <c r="G899" s="1545"/>
      <c r="H899" s="1545"/>
      <c r="I899" s="1545"/>
      <c r="J899" s="1545"/>
      <c r="K899" s="1545"/>
      <c r="L899" s="1545"/>
      <c r="M899" s="1545"/>
      <c r="N899" s="1545"/>
      <c r="O899" s="1545"/>
      <c r="P899" s="1545"/>
      <c r="Q899" s="1545"/>
      <c r="R899" s="1545"/>
      <c r="S899" s="1545"/>
      <c r="T899" s="1546"/>
      <c r="U899" s="1218" t="s">
        <v>124</v>
      </c>
      <c r="V899" s="1147"/>
      <c r="W899" s="1147"/>
      <c r="X899" s="1147"/>
      <c r="Y899" s="1147"/>
      <c r="Z899" s="1148"/>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7" t="s">
        <v>159</v>
      </c>
      <c r="G900" s="1318"/>
      <c r="H900" s="1318"/>
      <c r="I900" s="1318"/>
      <c r="J900" s="1318"/>
      <c r="K900" s="1318"/>
      <c r="L900" s="1318"/>
      <c r="M900" s="1318"/>
      <c r="N900" s="1318"/>
      <c r="O900" s="1318"/>
      <c r="P900" s="1318"/>
      <c r="Q900" s="1318"/>
      <c r="R900" s="1318"/>
      <c r="S900" s="1318"/>
      <c r="T900" s="1319"/>
      <c r="U900" s="1218" t="s">
        <v>124</v>
      </c>
      <c r="V900" s="1147"/>
      <c r="W900" s="1147"/>
      <c r="X900" s="1147"/>
      <c r="Y900" s="1147"/>
      <c r="Z900" s="1148"/>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7" t="s">
        <v>2285</v>
      </c>
      <c r="G901" s="1318"/>
      <c r="H901" s="1318"/>
      <c r="I901" s="1318"/>
      <c r="J901" s="1318"/>
      <c r="K901" s="1318"/>
      <c r="L901" s="1318"/>
      <c r="M901" s="1318"/>
      <c r="N901" s="1318"/>
      <c r="O901" s="1318"/>
      <c r="P901" s="1318"/>
      <c r="Q901" s="1318"/>
      <c r="R901" s="1318"/>
      <c r="S901" s="1318"/>
      <c r="T901" s="1319"/>
      <c r="U901" s="1218" t="s">
        <v>124</v>
      </c>
      <c r="V901" s="1147"/>
      <c r="W901" s="1147"/>
      <c r="X901" s="1147"/>
      <c r="Y901" s="1147"/>
      <c r="Z901" s="1148"/>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7" t="s">
        <v>161</v>
      </c>
      <c r="G902" s="1318"/>
      <c r="H902" s="1318"/>
      <c r="I902" s="1318"/>
      <c r="J902" s="1318"/>
      <c r="K902" s="1318"/>
      <c r="L902" s="1318"/>
      <c r="M902" s="1318"/>
      <c r="N902" s="1318"/>
      <c r="O902" s="1318"/>
      <c r="P902" s="1318"/>
      <c r="Q902" s="1318"/>
      <c r="R902" s="1318"/>
      <c r="S902" s="1318"/>
      <c r="T902" s="1319"/>
      <c r="U902" s="1218" t="s">
        <v>124</v>
      </c>
      <c r="V902" s="1147"/>
      <c r="W902" s="1147"/>
      <c r="X902" s="1147"/>
      <c r="Y902" s="1147"/>
      <c r="Z902" s="1148"/>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7" t="s">
        <v>2282</v>
      </c>
      <c r="G903" s="1318"/>
      <c r="H903" s="1318"/>
      <c r="I903" s="1318"/>
      <c r="J903" s="1318"/>
      <c r="K903" s="1318"/>
      <c r="L903" s="1318"/>
      <c r="M903" s="1318"/>
      <c r="N903" s="1318"/>
      <c r="O903" s="1318"/>
      <c r="P903" s="1318"/>
      <c r="Q903" s="1318"/>
      <c r="R903" s="1318"/>
      <c r="S903" s="1318"/>
      <c r="T903" s="1319"/>
      <c r="U903" s="1218" t="s">
        <v>124</v>
      </c>
      <c r="V903" s="1147"/>
      <c r="W903" s="1147"/>
      <c r="X903" s="1147"/>
      <c r="Y903" s="1147"/>
      <c r="Z903" s="1148"/>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7" t="s">
        <v>2283</v>
      </c>
      <c r="G904" s="1318"/>
      <c r="H904" s="1318"/>
      <c r="I904" s="1318"/>
      <c r="J904" s="1318"/>
      <c r="K904" s="1318"/>
      <c r="L904" s="1318"/>
      <c r="M904" s="1318"/>
      <c r="N904" s="1318"/>
      <c r="O904" s="1318"/>
      <c r="P904" s="1318"/>
      <c r="Q904" s="1318"/>
      <c r="R904" s="1318"/>
      <c r="S904" s="1318"/>
      <c r="T904" s="1319"/>
      <c r="U904" s="1218" t="s">
        <v>124</v>
      </c>
      <c r="V904" s="1147"/>
      <c r="W904" s="1147"/>
      <c r="X904" s="1147"/>
      <c r="Y904" s="1147"/>
      <c r="Z904" s="1148"/>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7" t="s">
        <v>2284</v>
      </c>
      <c r="G905" s="1318"/>
      <c r="H905" s="1318"/>
      <c r="I905" s="1318"/>
      <c r="J905" s="1318"/>
      <c r="K905" s="1318"/>
      <c r="L905" s="1318"/>
      <c r="M905" s="1318"/>
      <c r="N905" s="1318"/>
      <c r="O905" s="1318"/>
      <c r="P905" s="1318"/>
      <c r="Q905" s="1318"/>
      <c r="R905" s="1318"/>
      <c r="S905" s="1318"/>
      <c r="T905" s="1319"/>
      <c r="U905" s="1218" t="s">
        <v>124</v>
      </c>
      <c r="V905" s="1147"/>
      <c r="W905" s="1147"/>
      <c r="X905" s="1147"/>
      <c r="Y905" s="1147"/>
      <c r="Z905" s="1148"/>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7" t="s">
        <v>2278</v>
      </c>
      <c r="G906" s="1318"/>
      <c r="H906" s="1318"/>
      <c r="I906" s="1318"/>
      <c r="J906" s="1318"/>
      <c r="K906" s="1318"/>
      <c r="L906" s="1318"/>
      <c r="M906" s="1318"/>
      <c r="N906" s="1318"/>
      <c r="O906" s="1318"/>
      <c r="P906" s="1318"/>
      <c r="Q906" s="1318"/>
      <c r="R906" s="1318"/>
      <c r="S906" s="1318"/>
      <c r="T906" s="1319"/>
      <c r="U906" s="1218" t="s">
        <v>124</v>
      </c>
      <c r="V906" s="1147"/>
      <c r="W906" s="1147"/>
      <c r="X906" s="1147"/>
      <c r="Y906" s="1147"/>
      <c r="Z906" s="1148"/>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7" t="s">
        <v>2275</v>
      </c>
      <c r="G907" s="1318"/>
      <c r="H907" s="1318"/>
      <c r="I907" s="1318"/>
      <c r="J907" s="1318"/>
      <c r="K907" s="1318"/>
      <c r="L907" s="1318"/>
      <c r="M907" s="1318"/>
      <c r="N907" s="1318"/>
      <c r="O907" s="1318"/>
      <c r="P907" s="1318"/>
      <c r="Q907" s="1318"/>
      <c r="R907" s="1318"/>
      <c r="S907" s="1318"/>
      <c r="T907" s="1319"/>
      <c r="U907" s="1218" t="s">
        <v>108</v>
      </c>
      <c r="V907" s="1147"/>
      <c r="W907" s="1147"/>
      <c r="X907" s="1147"/>
      <c r="Y907" s="1147"/>
      <c r="Z907" s="1148"/>
      <c r="AA907" s="1177">
        <f>AO621</f>
        <v>17414328</v>
      </c>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1" t="s">
        <v>157</v>
      </c>
      <c r="G908" s="1582"/>
      <c r="H908" s="1582"/>
      <c r="I908" s="1582"/>
      <c r="J908" s="1582"/>
      <c r="K908" s="1582"/>
      <c r="L908" s="1582"/>
      <c r="M908" s="1582"/>
      <c r="N908" s="1582"/>
      <c r="O908" s="1582"/>
      <c r="P908" s="1582"/>
      <c r="Q908" s="1582"/>
      <c r="R908" s="1582"/>
      <c r="S908" s="1582"/>
      <c r="T908" s="1583"/>
      <c r="U908" s="1218" t="s">
        <v>124</v>
      </c>
      <c r="V908" s="1147"/>
      <c r="W908" s="1147"/>
      <c r="X908" s="1147"/>
      <c r="Y908" s="1147"/>
      <c r="Z908" s="1148"/>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7" t="s">
        <v>1904</v>
      </c>
      <c r="G909" s="1318"/>
      <c r="H909" s="1318"/>
      <c r="I909" s="1318"/>
      <c r="J909" s="1318"/>
      <c r="K909" s="1318"/>
      <c r="L909" s="1318"/>
      <c r="M909" s="1318"/>
      <c r="N909" s="1318"/>
      <c r="O909" s="1318"/>
      <c r="P909" s="1318"/>
      <c r="Q909" s="1318"/>
      <c r="R909" s="1318"/>
      <c r="S909" s="1318"/>
      <c r="T909" s="1319"/>
      <c r="U909" s="1218" t="s">
        <v>124</v>
      </c>
      <c r="V909" s="1147"/>
      <c r="W909" s="1147"/>
      <c r="X909" s="1147"/>
      <c r="Y909" s="1147"/>
      <c r="Z909" s="1148"/>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1008</v>
      </c>
      <c r="G910" s="1545"/>
      <c r="H910" s="1545"/>
      <c r="I910" s="1545"/>
      <c r="J910" s="1545"/>
      <c r="K910" s="1545"/>
      <c r="L910" s="1545"/>
      <c r="M910" s="1545"/>
      <c r="N910" s="1545"/>
      <c r="O910" s="1545"/>
      <c r="P910" s="1545"/>
      <c r="Q910" s="1545"/>
      <c r="R910" s="1545"/>
      <c r="S910" s="1545"/>
      <c r="T910" s="1546"/>
      <c r="U910" s="1218" t="s">
        <v>124</v>
      </c>
      <c r="V910" s="1147"/>
      <c r="W910" s="1147"/>
      <c r="X910" s="1147"/>
      <c r="Y910" s="1147"/>
      <c r="Z910" s="1148"/>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9" t="s">
        <v>2286</v>
      </c>
      <c r="G911" s="1570"/>
      <c r="H911" s="1570"/>
      <c r="I911" s="1570"/>
      <c r="J911" s="1570"/>
      <c r="K911" s="1570"/>
      <c r="L911" s="1570"/>
      <c r="M911" s="1570"/>
      <c r="N911" s="1570"/>
      <c r="O911" s="1570"/>
      <c r="P911" s="1570"/>
      <c r="Q911" s="1570"/>
      <c r="R911" s="1570"/>
      <c r="S911" s="1570"/>
      <c r="T911" s="1571"/>
      <c r="U911" s="1218" t="s">
        <v>124</v>
      </c>
      <c r="V911" s="1147"/>
      <c r="W911" s="1147"/>
      <c r="X911" s="1147"/>
      <c r="Y911" s="1147"/>
      <c r="Z911" s="1148"/>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9" t="s">
        <v>2288</v>
      </c>
      <c r="G912" s="1570"/>
      <c r="H912" s="1570"/>
      <c r="I912" s="1570"/>
      <c r="J912" s="1570"/>
      <c r="K912" s="1570"/>
      <c r="L912" s="1570"/>
      <c r="M912" s="1570"/>
      <c r="N912" s="1570"/>
      <c r="O912" s="1570"/>
      <c r="P912" s="1570"/>
      <c r="Q912" s="1570"/>
      <c r="R912" s="1570"/>
      <c r="S912" s="1570"/>
      <c r="T912" s="1571"/>
      <c r="U912" s="1218" t="s">
        <v>124</v>
      </c>
      <c r="V912" s="1147"/>
      <c r="W912" s="1147"/>
      <c r="X912" s="1147"/>
      <c r="Y912" s="1147"/>
      <c r="Z912" s="1148"/>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7" t="s">
        <v>2276</v>
      </c>
      <c r="G913" s="1318"/>
      <c r="H913" s="1318"/>
      <c r="I913" s="1318"/>
      <c r="J913" s="1318"/>
      <c r="K913" s="1318"/>
      <c r="L913" s="1318"/>
      <c r="M913" s="1318"/>
      <c r="N913" s="1318"/>
      <c r="O913" s="1318"/>
      <c r="P913" s="1318"/>
      <c r="Q913" s="1318"/>
      <c r="R913" s="1318"/>
      <c r="S913" s="1318"/>
      <c r="T913" s="1319"/>
      <c r="U913" s="1314" t="s">
        <v>124</v>
      </c>
      <c r="V913" s="1315"/>
      <c r="W913" s="1315"/>
      <c r="X913" s="1315"/>
      <c r="Y913" s="1315"/>
      <c r="Z913" s="1316"/>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7" t="s">
        <v>2280</v>
      </c>
      <c r="G914" s="1318"/>
      <c r="H914" s="1318"/>
      <c r="I914" s="1318"/>
      <c r="J914" s="1318"/>
      <c r="K914" s="1318"/>
      <c r="L914" s="1318"/>
      <c r="M914" s="1318"/>
      <c r="N914" s="1318"/>
      <c r="O914" s="1318"/>
      <c r="P914" s="1318"/>
      <c r="Q914" s="1318"/>
      <c r="R914" s="1318"/>
      <c r="S914" s="1318"/>
      <c r="T914" s="1319"/>
      <c r="U914" s="1314" t="s">
        <v>124</v>
      </c>
      <c r="V914" s="1315"/>
      <c r="W914" s="1315"/>
      <c r="X914" s="1315"/>
      <c r="Y914" s="1315"/>
      <c r="Z914" s="1316"/>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7" t="s">
        <v>2277</v>
      </c>
      <c r="G915" s="1318"/>
      <c r="H915" s="1318"/>
      <c r="I915" s="1318"/>
      <c r="J915" s="1318"/>
      <c r="K915" s="1318"/>
      <c r="L915" s="1318"/>
      <c r="M915" s="1318"/>
      <c r="N915" s="1318"/>
      <c r="O915" s="1318"/>
      <c r="P915" s="1318"/>
      <c r="Q915" s="1318"/>
      <c r="R915" s="1318"/>
      <c r="S915" s="1318"/>
      <c r="T915" s="1319"/>
      <c r="U915" s="1314" t="s">
        <v>124</v>
      </c>
      <c r="V915" s="1315"/>
      <c r="W915" s="1315"/>
      <c r="X915" s="1315"/>
      <c r="Y915" s="1315"/>
      <c r="Z915" s="1316"/>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9" t="s">
        <v>1902</v>
      </c>
      <c r="G916" s="1570"/>
      <c r="H916" s="1570"/>
      <c r="I916" s="1570"/>
      <c r="J916" s="1570"/>
      <c r="K916" s="1570"/>
      <c r="L916" s="1570"/>
      <c r="M916" s="1570"/>
      <c r="N916" s="1570"/>
      <c r="O916" s="1570"/>
      <c r="P916" s="1570"/>
      <c r="Q916" s="1570"/>
      <c r="R916" s="1570"/>
      <c r="S916" s="1570"/>
      <c r="T916" s="1571"/>
      <c r="U916" s="1218" t="s">
        <v>124</v>
      </c>
      <c r="V916" s="1147"/>
      <c r="W916" s="1147"/>
      <c r="X916" s="1147"/>
      <c r="Y916" s="1147"/>
      <c r="Z916" s="1148"/>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9" t="s">
        <v>2289</v>
      </c>
      <c r="G917" s="1570"/>
      <c r="H917" s="1570"/>
      <c r="I917" s="1570"/>
      <c r="J917" s="1570"/>
      <c r="K917" s="1570"/>
      <c r="L917" s="1570"/>
      <c r="M917" s="1570"/>
      <c r="N917" s="1570"/>
      <c r="O917" s="1570"/>
      <c r="P917" s="1570"/>
      <c r="Q917" s="1570"/>
      <c r="R917" s="1570"/>
      <c r="S917" s="1570"/>
      <c r="T917" s="1571"/>
      <c r="U917" s="1218" t="s">
        <v>124</v>
      </c>
      <c r="V917" s="1147"/>
      <c r="W917" s="1147"/>
      <c r="X917" s="1147"/>
      <c r="Y917" s="1147"/>
      <c r="Z917" s="1148"/>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9" t="s">
        <v>1903</v>
      </c>
      <c r="G918" s="1570"/>
      <c r="H918" s="1570"/>
      <c r="I918" s="1570"/>
      <c r="J918" s="1570"/>
      <c r="K918" s="1570"/>
      <c r="L918" s="1570"/>
      <c r="M918" s="1570"/>
      <c r="N918" s="1570"/>
      <c r="O918" s="1570"/>
      <c r="P918" s="1570"/>
      <c r="Q918" s="1570"/>
      <c r="R918" s="1570"/>
      <c r="S918" s="1570"/>
      <c r="T918" s="1571"/>
      <c r="U918" s="1218" t="s">
        <v>124</v>
      </c>
      <c r="V918" s="1147"/>
      <c r="W918" s="1147"/>
      <c r="X918" s="1147"/>
      <c r="Y918" s="1147"/>
      <c r="Z918" s="1148"/>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9" t="s">
        <v>156</v>
      </c>
      <c r="G919" s="1570"/>
      <c r="H919" s="1570"/>
      <c r="I919" s="1570"/>
      <c r="J919" s="1570"/>
      <c r="K919" s="1570"/>
      <c r="L919" s="1570"/>
      <c r="M919" s="1570"/>
      <c r="N919" s="1570"/>
      <c r="O919" s="1570"/>
      <c r="P919" s="1570"/>
      <c r="Q919" s="1570"/>
      <c r="R919" s="1570"/>
      <c r="S919" s="1570"/>
      <c r="T919" s="1571"/>
      <c r="U919" s="1218" t="s">
        <v>124</v>
      </c>
      <c r="V919" s="1147"/>
      <c r="W919" s="1147"/>
      <c r="X919" s="1147"/>
      <c r="Y919" s="1147"/>
      <c r="Z919" s="1148"/>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9" t="s">
        <v>2287</v>
      </c>
      <c r="G920" s="1570"/>
      <c r="H920" s="1570"/>
      <c r="I920" s="1570"/>
      <c r="J920" s="1570"/>
      <c r="K920" s="1570"/>
      <c r="L920" s="1570"/>
      <c r="M920" s="1570"/>
      <c r="N920" s="1570"/>
      <c r="O920" s="1570"/>
      <c r="P920" s="1570"/>
      <c r="Q920" s="1570"/>
      <c r="R920" s="1570"/>
      <c r="S920" s="1570"/>
      <c r="T920" s="1571"/>
      <c r="U920" s="1218" t="s">
        <v>124</v>
      </c>
      <c r="V920" s="1147"/>
      <c r="W920" s="1147"/>
      <c r="X920" s="1147"/>
      <c r="Y920" s="1147"/>
      <c r="Z920" s="1148"/>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0" t="s">
        <v>482</v>
      </c>
      <c r="Q921" s="1147"/>
      <c r="R921" s="1147"/>
      <c r="S921" s="1147"/>
      <c r="T921" s="1148"/>
      <c r="U921" s="1218" t="s">
        <v>124</v>
      </c>
      <c r="V921" s="1147"/>
      <c r="W921" s="1147"/>
      <c r="X921" s="1147"/>
      <c r="Y921" s="1147"/>
      <c r="Z921" s="1148"/>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7" t="s">
        <v>2279</v>
      </c>
      <c r="G922" s="1318"/>
      <c r="H922" s="1319"/>
      <c r="I922" s="1162" t="s">
        <v>562</v>
      </c>
      <c r="J922" s="1261"/>
      <c r="K922" s="1261"/>
      <c r="L922" s="1261"/>
      <c r="M922" s="1261"/>
      <c r="N922" s="1261"/>
      <c r="O922" s="1261"/>
      <c r="P922" s="1261"/>
      <c r="Q922" s="1261"/>
      <c r="R922" s="1261"/>
      <c r="S922" s="1261"/>
      <c r="T922" s="1262"/>
      <c r="U922" s="1218" t="s">
        <v>124</v>
      </c>
      <c r="V922" s="1147"/>
      <c r="W922" s="1147"/>
      <c r="X922" s="1147"/>
      <c r="Y922" s="1147"/>
      <c r="Z922" s="1148"/>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7" t="s">
        <v>373</v>
      </c>
      <c r="G923" s="1318"/>
      <c r="H923" s="1319"/>
      <c r="I923" s="1162" t="s">
        <v>562</v>
      </c>
      <c r="J923" s="1261"/>
      <c r="K923" s="1261"/>
      <c r="L923" s="1261"/>
      <c r="M923" s="1261"/>
      <c r="N923" s="1261"/>
      <c r="O923" s="1261"/>
      <c r="P923" s="1261"/>
      <c r="Q923" s="1261"/>
      <c r="R923" s="1261"/>
      <c r="S923" s="1261"/>
      <c r="T923" s="1262"/>
      <c r="U923" s="1218" t="s">
        <v>124</v>
      </c>
      <c r="V923" s="1147"/>
      <c r="W923" s="1147"/>
      <c r="X923" s="1147"/>
      <c r="Y923" s="1147"/>
      <c r="Z923" s="1148"/>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7" t="s">
        <v>826</v>
      </c>
      <c r="G924" s="1318"/>
      <c r="H924" s="1319"/>
      <c r="I924" s="1162" t="s">
        <v>2368</v>
      </c>
      <c r="J924" s="1261"/>
      <c r="K924" s="1261"/>
      <c r="L924" s="1261"/>
      <c r="M924" s="1261"/>
      <c r="N924" s="1261"/>
      <c r="O924" s="1261"/>
      <c r="P924" s="1261"/>
      <c r="Q924" s="1261"/>
      <c r="R924" s="1261"/>
      <c r="S924" s="1261"/>
      <c r="T924" s="1262"/>
      <c r="U924" s="1218" t="s">
        <v>108</v>
      </c>
      <c r="V924" s="1147"/>
      <c r="W924" s="1147"/>
      <c r="X924" s="1147"/>
      <c r="Y924" s="1147"/>
      <c r="Z924" s="1148"/>
      <c r="AA924" s="1177">
        <f>[1]EVERYTHING!$H$11+[1]EVERYTHING!$H$8</f>
        <v>3000000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7" t="s">
        <v>283</v>
      </c>
      <c r="G925" s="1318"/>
      <c r="H925" s="1319"/>
      <c r="I925" s="1162" t="s">
        <v>2460</v>
      </c>
      <c r="J925" s="1261"/>
      <c r="K925" s="1261"/>
      <c r="L925" s="1261"/>
      <c r="M925" s="1261"/>
      <c r="N925" s="1261"/>
      <c r="O925" s="1261"/>
      <c r="P925" s="1261"/>
      <c r="Q925" s="1261"/>
      <c r="R925" s="1261"/>
      <c r="S925" s="1261"/>
      <c r="T925" s="1262"/>
      <c r="U925" s="1218" t="s">
        <v>108</v>
      </c>
      <c r="V925" s="1147"/>
      <c r="W925" s="1147"/>
      <c r="X925" s="1147"/>
      <c r="Y925" s="1147"/>
      <c r="Z925" s="1148"/>
      <c r="AA925" s="1177">
        <f>[1]EVERYTHING!$H$10</f>
        <v>150000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7" t="s">
        <v>283</v>
      </c>
      <c r="G926" s="1318"/>
      <c r="H926" s="1319"/>
      <c r="I926" s="1162" t="s">
        <v>2459</v>
      </c>
      <c r="J926" s="1261"/>
      <c r="K926" s="1261"/>
      <c r="L926" s="1261"/>
      <c r="M926" s="1261"/>
      <c r="N926" s="1261"/>
      <c r="O926" s="1261"/>
      <c r="P926" s="1261"/>
      <c r="Q926" s="1261"/>
      <c r="R926" s="1261"/>
      <c r="S926" s="1261"/>
      <c r="T926" s="1262"/>
      <c r="U926" s="1218" t="s">
        <v>108</v>
      </c>
      <c r="V926" s="1147"/>
      <c r="W926" s="1147"/>
      <c r="X926" s="1147"/>
      <c r="Y926" s="1147"/>
      <c r="Z926" s="1148"/>
      <c r="AA926" s="1177">
        <f>[1]EVERYTHING!$H$9</f>
        <v>800000</v>
      </c>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63">
        <v>45134</v>
      </c>
      <c r="M931" s="1357"/>
      <c r="N931" s="1357"/>
      <c r="O931" s="1357"/>
      <c r="P931" s="1357"/>
      <c r="Q931" s="1357"/>
      <c r="R931" s="1357"/>
      <c r="S931" s="1459"/>
      <c r="U931" s="72" t="s">
        <v>827</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8" t="s">
        <v>2369</v>
      </c>
      <c r="M932" s="1357"/>
      <c r="N932" s="1357"/>
      <c r="O932" s="1357"/>
      <c r="P932" s="1357"/>
      <c r="Q932" s="1357"/>
      <c r="R932" s="1357"/>
      <c r="S932" s="1459"/>
      <c r="U932" s="72" t="s">
        <v>828</v>
      </c>
      <c r="V932" s="9"/>
      <c r="W932" s="9"/>
      <c r="X932" s="9"/>
      <c r="Y932" s="9"/>
      <c r="Z932" s="9"/>
      <c r="AA932" s="9"/>
      <c r="AB932" s="9"/>
      <c r="AC932" s="9"/>
      <c r="AD932" s="52"/>
      <c r="AE932" s="1266"/>
      <c r="AF932" s="1151"/>
      <c r="AG932" s="1151"/>
      <c r="AH932" s="1151"/>
      <c r="AI932" s="1151"/>
      <c r="AJ932" s="1151"/>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5" t="s">
        <v>2370</v>
      </c>
      <c r="M933" s="1166"/>
      <c r="N933" s="1166"/>
      <c r="O933" s="1166"/>
      <c r="P933" s="1166"/>
      <c r="Q933" s="1166"/>
      <c r="R933" s="1166"/>
      <c r="S933" s="1167"/>
      <c r="U933" s="72" t="s">
        <v>1108</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200">
        <f>60/75</f>
        <v>0.8</v>
      </c>
      <c r="M934" s="1201"/>
      <c r="N934" s="1201"/>
      <c r="O934" s="1201"/>
      <c r="P934" s="1201"/>
      <c r="Q934" s="1201"/>
      <c r="R934" s="1201"/>
      <c r="S934" s="1202"/>
      <c r="U934" s="72" t="s">
        <v>829</v>
      </c>
      <c r="V934" s="9"/>
      <c r="W934" s="9"/>
      <c r="X934" s="9"/>
      <c r="Y934" s="9"/>
      <c r="Z934" s="9"/>
      <c r="AA934" s="9"/>
      <c r="AB934" s="9"/>
      <c r="AC934" s="9"/>
      <c r="AD934" s="52"/>
      <c r="AE934" s="1200"/>
      <c r="AF934" s="1201"/>
      <c r="AG934" s="1201"/>
      <c r="AH934" s="1201"/>
      <c r="AI934" s="1201"/>
      <c r="AJ934" s="1201"/>
      <c r="AK934" s="120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94">
        <v>60</v>
      </c>
      <c r="M935" s="1195"/>
      <c r="N935" s="1195"/>
      <c r="O935" s="1195"/>
      <c r="P935" s="1195"/>
      <c r="Q935" s="1195"/>
      <c r="R935" s="1195"/>
      <c r="S935" s="1196"/>
      <c r="U935" s="72" t="s">
        <v>830</v>
      </c>
      <c r="V935" s="9"/>
      <c r="W935" s="9"/>
      <c r="X935" s="9"/>
      <c r="Y935" s="9"/>
      <c r="Z935" s="9"/>
      <c r="AA935" s="9"/>
      <c r="AB935" s="9"/>
      <c r="AC935" s="9"/>
      <c r="AD935" s="52"/>
      <c r="AE935" s="1197"/>
      <c r="AF935" s="1198"/>
      <c r="AG935" s="1198"/>
      <c r="AH935" s="1198"/>
      <c r="AI935" s="1198"/>
      <c r="AJ935" s="1198"/>
      <c r="AK935" s="11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21">
        <f>Z788</f>
        <v>945360</v>
      </c>
      <c r="M936" s="1222"/>
      <c r="N936" s="1222"/>
      <c r="O936" s="1222"/>
      <c r="P936" s="1222"/>
      <c r="Q936" s="1222"/>
      <c r="R936" s="1222"/>
      <c r="S936" s="1223"/>
      <c r="U936" s="72" t="s">
        <v>831</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21">
        <f>L936*L938</f>
        <v>14180400</v>
      </c>
      <c r="M937" s="1222"/>
      <c r="N937" s="1222"/>
      <c r="O937" s="1222"/>
      <c r="P937" s="1222"/>
      <c r="Q937" s="1222"/>
      <c r="R937" s="1222"/>
      <c r="S937" s="1223"/>
      <c r="U937" s="72" t="s">
        <v>832</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94">
        <v>15</v>
      </c>
      <c r="M938" s="1195"/>
      <c r="N938" s="1195"/>
      <c r="O938" s="1195"/>
      <c r="P938" s="1195"/>
      <c r="Q938" s="1195"/>
      <c r="R938" s="1195"/>
      <c r="S938" s="1196"/>
      <c r="U938" s="214" t="s">
        <v>1971</v>
      </c>
      <c r="V938" s="9"/>
      <c r="W938" s="9"/>
      <c r="X938" s="9"/>
      <c r="Y938" s="9"/>
      <c r="Z938" s="9"/>
      <c r="AA938" s="9"/>
      <c r="AB938" s="9"/>
      <c r="AC938" s="9"/>
      <c r="AD938" s="52"/>
      <c r="AE938" s="1194"/>
      <c r="AF938" s="1195"/>
      <c r="AG938" s="1195"/>
      <c r="AH938" s="1195"/>
      <c r="AI938" s="1195"/>
      <c r="AJ938" s="1195"/>
      <c r="AK938" s="119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83"/>
      <c r="N943" s="1119"/>
      <c r="O943" s="1119"/>
      <c r="P943" s="1119"/>
      <c r="Q943" s="1119"/>
      <c r="R943" s="1119"/>
      <c r="S943" s="1184"/>
      <c r="T943" s="72" t="s">
        <v>950</v>
      </c>
      <c r="U943" s="9"/>
      <c r="V943" s="9"/>
      <c r="W943" s="9"/>
      <c r="X943" s="9"/>
      <c r="Y943" s="9"/>
      <c r="Z943" s="52"/>
      <c r="AA943" s="1183"/>
      <c r="AB943" s="1119"/>
      <c r="AC943" s="1119"/>
      <c r="AD943" s="1119"/>
      <c r="AE943" s="1119"/>
      <c r="AF943" s="1119"/>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83"/>
      <c r="N944" s="1119"/>
      <c r="O944" s="1119"/>
      <c r="P944" s="1119"/>
      <c r="Q944" s="1119"/>
      <c r="R944" s="1119"/>
      <c r="S944" s="1184"/>
      <c r="T944" s="72" t="s">
        <v>949</v>
      </c>
      <c r="U944" s="9"/>
      <c r="V944" s="9"/>
      <c r="W944" s="9"/>
      <c r="X944" s="9"/>
      <c r="Y944" s="9"/>
      <c r="Z944" s="52"/>
      <c r="AA944" s="1183"/>
      <c r="AB944" s="1119"/>
      <c r="AC944" s="1119"/>
      <c r="AD944" s="1119"/>
      <c r="AE944" s="1119"/>
      <c r="AF944" s="1119"/>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85" t="s">
        <v>124</v>
      </c>
      <c r="N945" s="1054"/>
      <c r="O945" s="1054"/>
      <c r="P945" s="1054"/>
      <c r="Q945" s="1054"/>
      <c r="R945" s="1054"/>
      <c r="S945" s="1132"/>
      <c r="T945" s="8" t="s">
        <v>566</v>
      </c>
      <c r="U945" s="9"/>
      <c r="V945" s="9"/>
      <c r="W945" s="9"/>
      <c r="X945" s="9"/>
      <c r="Y945" s="9"/>
      <c r="Z945" s="52"/>
      <c r="AA945" s="1183"/>
      <c r="AB945" s="1119"/>
      <c r="AC945" s="1119"/>
      <c r="AD945" s="1119"/>
      <c r="AE945" s="1119"/>
      <c r="AF945" s="1119"/>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83"/>
      <c r="N946" s="1119"/>
      <c r="O946" s="1119"/>
      <c r="P946" s="1119"/>
      <c r="Q946" s="1119"/>
      <c r="R946" s="1119"/>
      <c r="S946" s="1184"/>
      <c r="T946" s="8" t="s">
        <v>567</v>
      </c>
      <c r="U946" s="9"/>
      <c r="V946" s="9"/>
      <c r="W946" s="9"/>
      <c r="X946" s="9"/>
      <c r="Y946" s="9"/>
      <c r="Z946" s="52"/>
      <c r="AA946" s="1183"/>
      <c r="AB946" s="1119"/>
      <c r="AC946" s="1119"/>
      <c r="AD946" s="1119"/>
      <c r="AE946" s="1119"/>
      <c r="AF946" s="1119"/>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3"/>
      <c r="N947" s="1119"/>
      <c r="O947" s="1119"/>
      <c r="P947" s="1119"/>
      <c r="Q947" s="1119"/>
      <c r="R947" s="1119"/>
      <c r="S947" s="1184"/>
      <c r="T947" s="8" t="s">
        <v>493</v>
      </c>
      <c r="U947" s="9"/>
      <c r="V947" s="9"/>
      <c r="W947" s="9"/>
      <c r="X947" s="9"/>
      <c r="Y947" s="9"/>
      <c r="Z947" s="52"/>
      <c r="AA947" s="1183"/>
      <c r="AB947" s="1119"/>
      <c r="AC947" s="1119"/>
      <c r="AD947" s="1119"/>
      <c r="AE947" s="1119"/>
      <c r="AF947" s="1119"/>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5" t="s">
        <v>79</v>
      </c>
      <c r="N948" s="1166"/>
      <c r="O948" s="1166"/>
      <c r="P948" s="1166"/>
      <c r="Q948" s="1166"/>
      <c r="R948" s="1166"/>
      <c r="S948" s="1167"/>
      <c r="T948" s="1397"/>
      <c r="U948" s="1398"/>
      <c r="V948" s="1398"/>
      <c r="W948" s="1398"/>
      <c r="X948" s="1398"/>
      <c r="Y948" s="1398"/>
      <c r="Z948" s="1399"/>
      <c r="AA948" s="1183"/>
      <c r="AB948" s="1119"/>
      <c r="AC948" s="1119"/>
      <c r="AD948" s="1119"/>
      <c r="AE948" s="1119"/>
      <c r="AF948" s="1119"/>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3"/>
      <c r="N949" s="1119"/>
      <c r="O949" s="1119"/>
      <c r="P949" s="1119"/>
      <c r="Q949" s="1119"/>
      <c r="R949" s="1119"/>
      <c r="S949" s="1184"/>
      <c r="T949" s="1397"/>
      <c r="U949" s="1398"/>
      <c r="V949" s="1398"/>
      <c r="W949" s="1398"/>
      <c r="X949" s="1398"/>
      <c r="Y949" s="1398"/>
      <c r="Z949" s="1399"/>
      <c r="AA949" s="1183"/>
      <c r="AB949" s="1119"/>
      <c r="AC949" s="1119"/>
      <c r="AD949" s="1119"/>
      <c r="AE949" s="1119"/>
      <c r="AF949" s="1119"/>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85" t="s">
        <v>482</v>
      </c>
      <c r="P950" s="1132"/>
      <c r="Q950" s="146"/>
      <c r="R950" s="146"/>
      <c r="S950" s="147"/>
      <c r="T950" s="6" t="s">
        <v>283</v>
      </c>
      <c r="U950" s="7"/>
      <c r="V950" s="7"/>
      <c r="W950" s="1392" t="s">
        <v>562</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9" t="s">
        <v>226</v>
      </c>
      <c r="G951" s="1190"/>
      <c r="H951" s="1190"/>
      <c r="I951" s="1190"/>
      <c r="J951" s="1190"/>
      <c r="K951" s="1190"/>
      <c r="L951" s="1190"/>
      <c r="M951" s="1183"/>
      <c r="N951" s="1119"/>
      <c r="O951" s="1119"/>
      <c r="P951" s="1119"/>
      <c r="Q951" s="1119"/>
      <c r="R951" s="1119"/>
      <c r="S951" s="1184"/>
      <c r="T951" s="53"/>
      <c r="U951" s="54"/>
      <c r="V951" s="54"/>
      <c r="W951" s="54"/>
      <c r="X951" s="54"/>
      <c r="Y951" s="54"/>
      <c r="Z951" s="226" t="s">
        <v>227</v>
      </c>
      <c r="AA951" s="1395"/>
      <c r="AB951" s="1323"/>
      <c r="AC951" s="1323"/>
      <c r="AD951" s="1323"/>
      <c r="AE951" s="1323"/>
      <c r="AF951" s="1323"/>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1" t="s">
        <v>424</v>
      </c>
      <c r="E960" s="1192"/>
      <c r="F960" s="1192"/>
      <c r="G960" s="1192"/>
      <c r="H960" s="1192"/>
      <c r="I960" s="1192"/>
      <c r="J960" s="1192"/>
      <c r="K960" s="1192"/>
      <c r="L960" s="1192"/>
      <c r="M960" s="1192"/>
      <c r="N960" s="1192"/>
      <c r="O960" s="1192"/>
      <c r="P960" s="1192"/>
      <c r="Q960" s="1193"/>
      <c r="R960" s="1191" t="s">
        <v>425</v>
      </c>
      <c r="S960" s="1192"/>
      <c r="T960" s="1192"/>
      <c r="U960" s="1192"/>
      <c r="V960" s="1192"/>
      <c r="W960" s="1192"/>
      <c r="X960" s="1192"/>
      <c r="Y960" s="1192"/>
      <c r="Z960" s="1192"/>
      <c r="AA960" s="1193"/>
      <c r="AB960" s="1191" t="s">
        <v>426</v>
      </c>
      <c r="AC960" s="1192"/>
      <c r="AD960" s="1192"/>
      <c r="AE960" s="1192"/>
      <c r="AF960" s="1192"/>
      <c r="AG960" s="1192"/>
      <c r="AH960" s="1192"/>
      <c r="AI960" s="1193"/>
      <c r="AJ960" s="1191" t="s">
        <v>427</v>
      </c>
      <c r="AK960" s="1192"/>
      <c r="AL960" s="1192"/>
      <c r="AM960" s="1192"/>
      <c r="AN960" s="1192"/>
      <c r="AO960" s="1192"/>
      <c r="AP960" s="1192"/>
      <c r="AQ960" s="119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7" t="s">
        <v>419</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387110</v>
      </c>
      <c r="S961" s="1260"/>
      <c r="T961" s="1260"/>
      <c r="U961" s="1260"/>
      <c r="V961" s="1260"/>
      <c r="W961" s="1260"/>
      <c r="X961" s="1260"/>
      <c r="Y961" s="1260"/>
      <c r="Z961" s="1260"/>
      <c r="AA961" s="1260"/>
      <c r="AB961" s="1378">
        <f>BN651</f>
        <v>70</v>
      </c>
      <c r="AC961" s="1379"/>
      <c r="AD961" s="1379"/>
      <c r="AE961" s="1379"/>
      <c r="AF961" s="1379"/>
      <c r="AG961" s="1379"/>
      <c r="AH961" s="1379"/>
      <c r="AI961" s="1380"/>
      <c r="AJ961" s="1235">
        <f>IF(ISERROR((R961*AB961)),0,(R961*AB961))</f>
        <v>27097700</v>
      </c>
      <c r="AK961" s="1236"/>
      <c r="AL961" s="1236"/>
      <c r="AM961" s="1236"/>
      <c r="AN961" s="1236"/>
      <c r="AO961" s="1236"/>
      <c r="AP961" s="1236"/>
      <c r="AQ961" s="12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7" t="s">
        <v>442</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446334</v>
      </c>
      <c r="S962" s="1260"/>
      <c r="T962" s="1260"/>
      <c r="U962" s="1260"/>
      <c r="V962" s="1260"/>
      <c r="W962" s="1260"/>
      <c r="X962" s="1260"/>
      <c r="Y962" s="1260"/>
      <c r="Z962" s="1260"/>
      <c r="AA962" s="1260"/>
      <c r="AB962" s="1378">
        <f>BS651</f>
        <v>6</v>
      </c>
      <c r="AC962" s="1379"/>
      <c r="AD962" s="1379"/>
      <c r="AE962" s="1379"/>
      <c r="AF962" s="1379"/>
      <c r="AG962" s="1379"/>
      <c r="AH962" s="1379"/>
      <c r="AI962" s="1380"/>
      <c r="AJ962" s="1235">
        <f>IF(ISERROR((R962*AB962)),0,(R962*AB962))</f>
        <v>2678004</v>
      </c>
      <c r="AK962" s="1236"/>
      <c r="AL962" s="1236"/>
      <c r="AM962" s="1236"/>
      <c r="AN962" s="1236"/>
      <c r="AO962" s="1236"/>
      <c r="AP962" s="1236"/>
      <c r="AQ962" s="12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7" t="s">
        <v>780</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538400</v>
      </c>
      <c r="S963" s="1260"/>
      <c r="T963" s="1260"/>
      <c r="U963" s="1260"/>
      <c r="V963" s="1260"/>
      <c r="W963" s="1260"/>
      <c r="X963" s="1260"/>
      <c r="Y963" s="1260"/>
      <c r="Z963" s="1260"/>
      <c r="AA963" s="1260"/>
      <c r="AB963" s="1378">
        <f>BX651</f>
        <v>0</v>
      </c>
      <c r="AC963" s="1379"/>
      <c r="AD963" s="1379"/>
      <c r="AE963" s="1379"/>
      <c r="AF963" s="1379"/>
      <c r="AG963" s="1379"/>
      <c r="AH963" s="1379"/>
      <c r="AI963" s="1380"/>
      <c r="AJ963" s="1235">
        <f>IF(ISERROR((R963*AB963)),0,(R963*AB963))</f>
        <v>0</v>
      </c>
      <c r="AK963" s="1236"/>
      <c r="AL963" s="1236"/>
      <c r="AM963" s="1236"/>
      <c r="AN963" s="1236"/>
      <c r="AO963" s="1236"/>
      <c r="AP963" s="1236"/>
      <c r="AQ963" s="12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7" t="s">
        <v>781</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689152</v>
      </c>
      <c r="S964" s="1260"/>
      <c r="T964" s="1260"/>
      <c r="U964" s="1260"/>
      <c r="V964" s="1260"/>
      <c r="W964" s="1260"/>
      <c r="X964" s="1260"/>
      <c r="Y964" s="1260"/>
      <c r="Z964" s="1260"/>
      <c r="AA964" s="1260"/>
      <c r="AB964" s="1378">
        <f>CC651</f>
        <v>0</v>
      </c>
      <c r="AC964" s="1379"/>
      <c r="AD964" s="1379"/>
      <c r="AE964" s="1379"/>
      <c r="AF964" s="1379"/>
      <c r="AG964" s="1379"/>
      <c r="AH964" s="1379"/>
      <c r="AI964" s="1380"/>
      <c r="AJ964" s="1235">
        <f>IF(ISERROR((R964*AB964)),0,(R964*AB964))</f>
        <v>0</v>
      </c>
      <c r="AK964" s="1236"/>
      <c r="AL964" s="1236"/>
      <c r="AM964" s="1236"/>
      <c r="AN964" s="1236"/>
      <c r="AO964" s="1236"/>
      <c r="AP964" s="1236"/>
      <c r="AQ964" s="12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7" t="s">
        <v>791</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767758</v>
      </c>
      <c r="S965" s="1260"/>
      <c r="T965" s="1260"/>
      <c r="U965" s="1260"/>
      <c r="V965" s="1260"/>
      <c r="W965" s="1260"/>
      <c r="X965" s="1260"/>
      <c r="Y965" s="1260"/>
      <c r="Z965" s="1260"/>
      <c r="AA965" s="1260"/>
      <c r="AB965" s="1378">
        <f>CM651+CH651</f>
        <v>0</v>
      </c>
      <c r="AC965" s="1379"/>
      <c r="AD965" s="1379"/>
      <c r="AE965" s="1379"/>
      <c r="AF965" s="1379"/>
      <c r="AG965" s="1379"/>
      <c r="AH965" s="1379"/>
      <c r="AI965" s="1380"/>
      <c r="AJ965" s="1235">
        <f>IF(ISERROR((R965*AB965)),0,(R965*AB965))</f>
        <v>0</v>
      </c>
      <c r="AK965" s="1236"/>
      <c r="AL965" s="1236"/>
      <c r="AM965" s="1236"/>
      <c r="AN965" s="1236"/>
      <c r="AO965" s="1236"/>
      <c r="AP965" s="1236"/>
      <c r="AQ965" s="12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6" t="s">
        <v>960</v>
      </c>
      <c r="C966" s="1567"/>
      <c r="D966" s="1567"/>
      <c r="E966" s="1567"/>
      <c r="F966" s="1567"/>
      <c r="G966" s="1567"/>
      <c r="H966" s="1567"/>
      <c r="I966" s="1567"/>
      <c r="J966" s="1567"/>
      <c r="K966" s="1567"/>
      <c r="L966" s="1567"/>
      <c r="M966" s="1567"/>
      <c r="N966" s="1567"/>
      <c r="O966" s="1567"/>
      <c r="P966" s="1567"/>
      <c r="Q966" s="1567"/>
      <c r="R966" s="1567"/>
      <c r="S966" s="1567"/>
      <c r="T966" s="1567"/>
      <c r="U966" s="1567"/>
      <c r="V966" s="1567"/>
      <c r="W966" s="1567"/>
      <c r="X966" s="1567"/>
      <c r="Y966" s="1567"/>
      <c r="Z966" s="1567"/>
      <c r="AA966" s="1568"/>
      <c r="AB966" s="1378">
        <f>SUM(AB961:AI965)</f>
        <v>76</v>
      </c>
      <c r="AC966" s="1379"/>
      <c r="AD966" s="1379"/>
      <c r="AE966" s="1379"/>
      <c r="AF966" s="1379"/>
      <c r="AG966" s="1379"/>
      <c r="AH966" s="1379"/>
      <c r="AI966" s="1380"/>
      <c r="AJ966" s="1235"/>
      <c r="AK966" s="1236"/>
      <c r="AL966" s="1236"/>
      <c r="AM966" s="1236"/>
      <c r="AN966" s="1236"/>
      <c r="AO966" s="1236"/>
      <c r="AP966" s="1236"/>
      <c r="AQ966" s="12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1" t="s">
        <v>747</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5">
        <f>SUM(AJ961:AQ965)</f>
        <v>29775704</v>
      </c>
      <c r="AK967" s="1236"/>
      <c r="AL967" s="1236"/>
      <c r="AM967" s="1236"/>
      <c r="AN967" s="1236"/>
      <c r="AO967" s="1236"/>
      <c r="AP967" s="1236"/>
      <c r="AQ967" s="12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8"/>
      <c r="C968" s="1239"/>
      <c r="D968" s="1239"/>
      <c r="E968" s="1239"/>
      <c r="F968" s="1239"/>
      <c r="G968" s="1239"/>
      <c r="H968" s="1239"/>
      <c r="I968" s="1239"/>
      <c r="J968" s="1239"/>
      <c r="K968" s="1239"/>
      <c r="L968" s="1239"/>
      <c r="M968" s="1239"/>
      <c r="N968" s="1239"/>
      <c r="O968" s="1239"/>
      <c r="P968" s="1239"/>
      <c r="Q968" s="1239"/>
      <c r="R968" s="1239"/>
      <c r="S968" s="1239"/>
      <c r="T968" s="1239"/>
      <c r="U968" s="1239"/>
      <c r="V968" s="1239"/>
      <c r="W968" s="1239"/>
      <c r="X968" s="1239"/>
      <c r="Y968" s="1239"/>
      <c r="Z968" s="1239"/>
      <c r="AA968" s="1239"/>
      <c r="AB968" s="1239"/>
      <c r="AC968" s="1239"/>
      <c r="AD968" s="1239"/>
      <c r="AE968" s="1240"/>
      <c r="AF968" s="1400" t="s">
        <v>479</v>
      </c>
      <c r="AG968" s="1401"/>
      <c r="AH968" s="1401"/>
      <c r="AI968" s="1402"/>
      <c r="AJ968" s="1238"/>
      <c r="AK968" s="1239"/>
      <c r="AL968" s="1239"/>
      <c r="AM968" s="1239"/>
      <c r="AN968" s="1239"/>
      <c r="AO968" s="1239"/>
      <c r="AP968" s="1239"/>
      <c r="AQ968" s="12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8" t="s">
        <v>1889</v>
      </c>
      <c r="E969" s="1209"/>
      <c r="F969" s="1209"/>
      <c r="G969" s="1209"/>
      <c r="H969" s="1209"/>
      <c r="I969" s="1209"/>
      <c r="J969" s="1209"/>
      <c r="K969" s="1209"/>
      <c r="L969" s="1209"/>
      <c r="M969" s="1209"/>
      <c r="N969" s="1209"/>
      <c r="O969" s="1209"/>
      <c r="P969" s="1209"/>
      <c r="Q969" s="1209"/>
      <c r="R969" s="1209"/>
      <c r="S969" s="1209"/>
      <c r="T969" s="1209"/>
      <c r="U969" s="1209"/>
      <c r="V969" s="1209"/>
      <c r="W969" s="1209"/>
      <c r="X969" s="1209"/>
      <c r="Y969" s="1209"/>
      <c r="Z969" s="1209"/>
      <c r="AA969" s="1209"/>
      <c r="AB969" s="1209"/>
      <c r="AC969" s="1209"/>
      <c r="AD969" s="1209"/>
      <c r="AE969" s="1210"/>
      <c r="AF969" s="82"/>
      <c r="AG969" s="1564" t="s">
        <v>108</v>
      </c>
      <c r="AH969" s="1565"/>
      <c r="AI969" s="85"/>
      <c r="AJ969" s="1366">
        <f>ROUND(IF(AND(AG969="yes",D975&lt;&gt;""),AJ967*0.2,0),0)</f>
        <v>5955141</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1" t="s">
        <v>2273</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4" t="s">
        <v>2274</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9" t="s">
        <v>2275</v>
      </c>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7" t="s">
        <v>1997</v>
      </c>
      <c r="E976" s="1243"/>
      <c r="F976" s="1243"/>
      <c r="G976" s="1243"/>
      <c r="H976" s="1243"/>
      <c r="I976" s="1243"/>
      <c r="J976" s="1243"/>
      <c r="K976" s="1243"/>
      <c r="L976" s="1243"/>
      <c r="M976" s="1243"/>
      <c r="N976" s="1243"/>
      <c r="O976" s="1243"/>
      <c r="P976" s="1243"/>
      <c r="Q976" s="1243"/>
      <c r="R976" s="1243"/>
      <c r="S976" s="1243"/>
      <c r="T976" s="1243"/>
      <c r="U976" s="1243"/>
      <c r="V976" s="1243"/>
      <c r="W976" s="1243"/>
      <c r="X976" s="1243"/>
      <c r="Y976" s="1243"/>
      <c r="Z976" s="1243"/>
      <c r="AA976" s="1243"/>
      <c r="AB976" s="1243"/>
      <c r="AC976" s="1243"/>
      <c r="AD976" s="1243"/>
      <c r="AE976" s="1388"/>
      <c r="AF976" s="82"/>
      <c r="AG976" s="1364" t="s">
        <v>482</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1" t="s">
        <v>1890</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7" t="s">
        <v>1998</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388"/>
      <c r="AF982" s="84"/>
      <c r="AG982" s="1364" t="s">
        <v>482</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1999</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7" t="s">
        <v>1891</v>
      </c>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388"/>
      <c r="AF986" s="82"/>
      <c r="AG986" s="1364" t="s">
        <v>482</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5" t="s">
        <v>1892</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7" t="s">
        <v>1893</v>
      </c>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388"/>
      <c r="AF988" s="82"/>
      <c r="AG988" s="1364" t="s">
        <v>108</v>
      </c>
      <c r="AH988" s="1365"/>
      <c r="AI988" s="82"/>
      <c r="AJ988" s="1366">
        <f>ROUND(IF(AG988="yes",AJ967*0.02,0),0)</f>
        <v>595514</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1894</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5" t="str">
        <f>IF(AND(AG988="yes",AF215&lt;&gt;1),"The project may not be eligible for this boost","")</f>
        <v/>
      </c>
      <c r="AG989" s="1576"/>
      <c r="AH989" s="1576"/>
      <c r="AI989" s="1577"/>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8"/>
      <c r="AG990" s="1579"/>
      <c r="AH990" s="1579"/>
      <c r="AI990" s="1580"/>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8" t="s">
        <v>1895</v>
      </c>
      <c r="E991" s="1209"/>
      <c r="F991" s="1209"/>
      <c r="G991" s="1209"/>
      <c r="H991" s="1209"/>
      <c r="I991" s="1209"/>
      <c r="J991" s="1209"/>
      <c r="K991" s="1209"/>
      <c r="L991" s="1209"/>
      <c r="M991" s="1209"/>
      <c r="N991" s="1209"/>
      <c r="O991" s="1209"/>
      <c r="P991" s="1209"/>
      <c r="Q991" s="1209"/>
      <c r="R991" s="1209"/>
      <c r="S991" s="1209"/>
      <c r="T991" s="1209"/>
      <c r="U991" s="1209"/>
      <c r="V991" s="1209"/>
      <c r="W991" s="1209"/>
      <c r="X991" s="1209"/>
      <c r="Y991" s="1209"/>
      <c r="Z991" s="1209"/>
      <c r="AA991" s="1209"/>
      <c r="AB991" s="1209"/>
      <c r="AC991" s="1209"/>
      <c r="AD991" s="1209"/>
      <c r="AE991" s="1210"/>
      <c r="AF991" s="82"/>
      <c r="AG991" s="1364" t="s">
        <v>482</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2000</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11" t="str">
        <f>IF(AND(AG991="Yes",BA992=0),BA994,"")</f>
        <v/>
      </c>
      <c r="AG992" s="1212"/>
      <c r="AH992" s="1212"/>
      <c r="AI992" s="1213"/>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11"/>
      <c r="AG993" s="1212"/>
      <c r="AH993" s="1212"/>
      <c r="AI993" s="1213"/>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9"/>
      <c r="AG994" s="1560"/>
      <c r="AH994" s="1560"/>
      <c r="AI994" s="1561"/>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50" t="s">
        <v>1896</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4" t="s">
        <v>482</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11" t="str">
        <f>IF(AG995="yes","Please Select Type and Enter Amount:","")</f>
        <v/>
      </c>
      <c r="AG996" s="1212"/>
      <c r="AH996" s="1212"/>
      <c r="AI996" s="1213"/>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1897</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11"/>
      <c r="AG997" s="1212"/>
      <c r="AH997" s="1212"/>
      <c r="AI997" s="1213"/>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4"/>
      <c r="AG998" s="1214"/>
      <c r="AH998" s="1214"/>
      <c r="AI998" s="1214"/>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4"/>
      <c r="AG999" s="1214"/>
      <c r="AH999" s="1214"/>
      <c r="AI999" s="1214"/>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7" t="s">
        <v>1898</v>
      </c>
      <c r="E1000" s="1243"/>
      <c r="F1000" s="1243"/>
      <c r="G1000" s="1243"/>
      <c r="H1000" s="1243"/>
      <c r="I1000" s="1243"/>
      <c r="J1000" s="1243"/>
      <c r="K1000" s="1243"/>
      <c r="L1000" s="1243"/>
      <c r="M1000" s="1243"/>
      <c r="N1000" s="1243"/>
      <c r="O1000" s="1243"/>
      <c r="P1000" s="1243"/>
      <c r="Q1000" s="1243"/>
      <c r="R1000" s="1243"/>
      <c r="S1000" s="1243"/>
      <c r="T1000" s="1243"/>
      <c r="U1000" s="1243"/>
      <c r="V1000" s="1243"/>
      <c r="W1000" s="1243"/>
      <c r="X1000" s="1243"/>
      <c r="Y1000" s="1243"/>
      <c r="Z1000" s="1243"/>
      <c r="AA1000" s="1243"/>
      <c r="AB1000" s="1243"/>
      <c r="AC1000" s="1243"/>
      <c r="AD1000" s="1243"/>
      <c r="AE1000" s="1388"/>
      <c r="AF1000" s="82"/>
      <c r="AG1000" s="1364" t="s">
        <v>108</v>
      </c>
      <c r="AH1000" s="1365"/>
      <c r="AI1000" s="85"/>
      <c r="AJ1000" s="1366">
        <f>ROUND(IF(AG1000="Yes",AF1002,0),0)</f>
        <v>1283938</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2001</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5" t="str">
        <f>IF(AG1000="yes","Please Enter Amount:","")</f>
        <v>Please Enter Amount:</v>
      </c>
      <c r="AG1001" s="1216"/>
      <c r="AH1001" s="1216"/>
      <c r="AI1001" s="1217"/>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4">
        <f>'Sources and Uses Budget'!C84</f>
        <v>1283938</v>
      </c>
      <c r="AG1002" s="1214"/>
      <c r="AH1002" s="1214"/>
      <c r="AI1002" s="1214"/>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4"/>
      <c r="AG1003" s="1214"/>
      <c r="AH1003" s="1214"/>
      <c r="AI1003" s="1214"/>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 customHeight="1">
      <c r="A1004" s="21"/>
      <c r="B1004" s="82"/>
      <c r="C1004" s="555" t="s">
        <v>578</v>
      </c>
      <c r="D1004" s="1208" t="s">
        <v>1899</v>
      </c>
      <c r="E1004" s="1209"/>
      <c r="F1004" s="1209"/>
      <c r="G1004" s="1209"/>
      <c r="H1004" s="1209"/>
      <c r="I1004" s="1209"/>
      <c r="J1004" s="1209"/>
      <c r="K1004" s="1209"/>
      <c r="L1004" s="1209"/>
      <c r="M1004" s="1209"/>
      <c r="N1004" s="1209"/>
      <c r="O1004" s="1209"/>
      <c r="P1004" s="1209"/>
      <c r="Q1004" s="1209"/>
      <c r="R1004" s="1209"/>
      <c r="S1004" s="1209"/>
      <c r="T1004" s="1209"/>
      <c r="U1004" s="1209"/>
      <c r="V1004" s="1209"/>
      <c r="W1004" s="1209"/>
      <c r="X1004" s="1209"/>
      <c r="Y1004" s="1209"/>
      <c r="Z1004" s="1209"/>
      <c r="AA1004" s="1209"/>
      <c r="AB1004" s="1209"/>
      <c r="AC1004" s="1209"/>
      <c r="AD1004" s="1209"/>
      <c r="AE1004" s="1210"/>
      <c r="AF1004" s="82"/>
      <c r="AG1004" s="1364" t="s">
        <v>482</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 customHeight="1">
      <c r="A1005" s="21"/>
      <c r="B1005" s="79"/>
      <c r="C1005" s="556"/>
      <c r="D1005" s="1527" t="s">
        <v>1900</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 customHeight="1">
      <c r="A1007" s="554"/>
      <c r="B1007" s="79"/>
      <c r="C1007" s="555" t="s">
        <v>581</v>
      </c>
      <c r="D1007" s="1387" t="s">
        <v>2002</v>
      </c>
      <c r="E1007" s="1243"/>
      <c r="F1007" s="1243"/>
      <c r="G1007" s="1243"/>
      <c r="H1007" s="1243"/>
      <c r="I1007" s="1243"/>
      <c r="J1007" s="1243"/>
      <c r="K1007" s="1243"/>
      <c r="L1007" s="1243"/>
      <c r="M1007" s="1243"/>
      <c r="N1007" s="1243"/>
      <c r="O1007" s="1243"/>
      <c r="P1007" s="1243"/>
      <c r="Q1007" s="1243"/>
      <c r="R1007" s="1243"/>
      <c r="S1007" s="1243"/>
      <c r="T1007" s="1243"/>
      <c r="U1007" s="1243"/>
      <c r="V1007" s="1243"/>
      <c r="W1007" s="1243"/>
      <c r="X1007" s="1243"/>
      <c r="Y1007" s="1243"/>
      <c r="Z1007" s="1243"/>
      <c r="AA1007" s="1243"/>
      <c r="AB1007" s="1243"/>
      <c r="AC1007" s="1243"/>
      <c r="AD1007" s="1243"/>
      <c r="AE1007" s="1388"/>
      <c r="AF1007" s="82"/>
      <c r="AG1007" s="1364" t="s">
        <v>482</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 customHeight="1">
      <c r="A1008" s="554"/>
      <c r="B1008" s="79"/>
      <c r="C1008" s="556"/>
      <c r="D1008" s="1535"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6"/>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6"/>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8" t="s">
        <v>2004</v>
      </c>
      <c r="E1011" s="1209"/>
      <c r="F1011" s="1209"/>
      <c r="G1011" s="1209"/>
      <c r="H1011" s="1209"/>
      <c r="I1011" s="1209"/>
      <c r="J1011" s="1209"/>
      <c r="K1011" s="1209"/>
      <c r="L1011" s="1209"/>
      <c r="M1011" s="1209"/>
      <c r="N1011" s="1209"/>
      <c r="O1011" s="1209"/>
      <c r="P1011" s="1209"/>
      <c r="Q1011" s="1209"/>
      <c r="R1011" s="1209"/>
      <c r="S1011" s="1209"/>
      <c r="T1011" s="1209"/>
      <c r="U1011" s="1209"/>
      <c r="V1011" s="1209"/>
      <c r="W1011" s="1209"/>
      <c r="X1011" s="1209"/>
      <c r="Y1011" s="1209"/>
      <c r="Z1011" s="1209"/>
      <c r="AA1011" s="1209"/>
      <c r="AB1011" s="1209"/>
      <c r="AC1011" s="1209"/>
      <c r="AD1011" s="1209"/>
      <c r="AE1011" s="1210"/>
      <c r="AF1011" s="79"/>
      <c r="AG1011" s="1547" t="s">
        <v>482</v>
      </c>
      <c r="AH1011" s="1548"/>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6"/>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6"/>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6"/>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7" t="s">
        <v>1901</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388"/>
      <c r="AF1016" s="82"/>
      <c r="AG1016" s="1364" t="s">
        <v>482</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2214</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3" t="s">
        <v>748</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3"/>
      <c r="AF1020" s="1203"/>
      <c r="AG1020" s="1203"/>
      <c r="AH1020" s="1203"/>
      <c r="AI1020" s="1204"/>
      <c r="AJ1020" s="1205">
        <f>SUM(AJ967:AQ1019)</f>
        <v>37610297</v>
      </c>
      <c r="AK1020" s="1206"/>
      <c r="AL1020" s="1206"/>
      <c r="AM1020" s="1206"/>
      <c r="AN1020" s="1206"/>
      <c r="AO1020" s="1206"/>
      <c r="AP1020" s="1206"/>
      <c r="AQ1020" s="12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7">
        <f>'Sources and Uses Budget'!S106+'Sources and Uses Budget'!T106</f>
        <v>39787792.009951204</v>
      </c>
      <c r="Y1024" s="1457"/>
      <c r="Z1024" s="1457"/>
      <c r="AA1024" s="1457"/>
      <c r="AB1024" s="1457"/>
      <c r="AC1024" s="145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3">
        <f>IFERROR(X1024/AJ1020,"")</f>
        <v>1.0578962460719521</v>
      </c>
      <c r="Y1025" s="1454"/>
      <c r="Z1025" s="1454"/>
      <c r="AA1025" s="1454"/>
      <c r="AB1025" s="1454"/>
      <c r="AC1025" s="145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3"/>
      <c r="F1026" s="1243"/>
      <c r="G1026" s="1243"/>
      <c r="H1026" s="1243"/>
      <c r="I1026" s="1243"/>
      <c r="J1026" s="1243"/>
      <c r="K1026" s="1243"/>
      <c r="L1026" s="1243"/>
      <c r="M1026" s="1243"/>
      <c r="N1026" s="1243"/>
      <c r="O1026" s="1243"/>
      <c r="P1026" s="1243"/>
      <c r="Q1026" s="1243"/>
      <c r="R1026" s="1243"/>
      <c r="S1026" s="1243"/>
      <c r="T1026" s="1243"/>
      <c r="U1026" s="1243"/>
      <c r="V1026" s="1243"/>
      <c r="W1026" s="1243"/>
      <c r="X1026" s="1243"/>
      <c r="Y1026" s="1243"/>
      <c r="Z1026" s="1243"/>
      <c r="AA1026" s="1243"/>
      <c r="AB1026" s="1243"/>
      <c r="AC1026" s="1243"/>
      <c r="AD1026" s="1243"/>
      <c r="AE1026" s="1243"/>
      <c r="AF1026" s="1243"/>
      <c r="AG1026" s="1243"/>
      <c r="AH1026" s="1243"/>
      <c r="AI1026" s="1243"/>
      <c r="AJ1026" s="1243"/>
      <c r="AK1026" s="124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3"/>
      <c r="E1027" s="1243"/>
      <c r="F1027" s="1243"/>
      <c r="G1027" s="1243"/>
      <c r="H1027" s="1243"/>
      <c r="I1027" s="1243"/>
      <c r="J1027" s="1243"/>
      <c r="K1027" s="1243"/>
      <c r="L1027" s="1243"/>
      <c r="M1027" s="1243"/>
      <c r="N1027" s="1243"/>
      <c r="O1027" s="1243"/>
      <c r="P1027" s="1243"/>
      <c r="Q1027" s="1243"/>
      <c r="R1027" s="1243"/>
      <c r="S1027" s="1243"/>
      <c r="T1027" s="1243"/>
      <c r="U1027" s="1243"/>
      <c r="V1027" s="1243"/>
      <c r="W1027" s="1243"/>
      <c r="X1027" s="1243"/>
      <c r="Y1027" s="1243"/>
      <c r="Z1027" s="1243"/>
      <c r="AA1027" s="1243"/>
      <c r="AB1027" s="1243"/>
      <c r="AC1027" s="1243"/>
      <c r="AD1027" s="1243"/>
      <c r="AE1027" s="1243"/>
      <c r="AF1027" s="1243"/>
      <c r="AG1027" s="1243"/>
      <c r="AH1027" s="1243"/>
      <c r="AI1027" s="1243"/>
      <c r="AJ1027" s="1243"/>
      <c r="AK1027" s="124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3"/>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3"/>
      <c r="AF1028" s="1243"/>
      <c r="AG1028" s="1243"/>
      <c r="AH1028" s="1243"/>
      <c r="AI1028" s="1243"/>
      <c r="AJ1028" s="1243"/>
      <c r="AK1028" s="124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6"/>
      <c r="C1031" s="1456"/>
      <c r="D1031" s="1456"/>
      <c r="E1031" s="1456"/>
      <c r="F1031" s="1456"/>
      <c r="G1031" s="1456"/>
      <c r="H1031" s="1456"/>
      <c r="I1031" s="1456"/>
      <c r="J1031" s="1456"/>
      <c r="K1031" s="1456"/>
      <c r="L1031" s="1456"/>
      <c r="M1031" s="1456"/>
      <c r="N1031" s="1456"/>
      <c r="O1031" s="1456"/>
      <c r="P1031" s="1456"/>
      <c r="Q1031" s="1456"/>
      <c r="R1031" s="1456"/>
      <c r="S1031" s="1456"/>
      <c r="T1031" s="1456"/>
      <c r="U1031" s="1456"/>
      <c r="V1031" s="1456"/>
      <c r="W1031" s="1456"/>
      <c r="X1031" s="1456"/>
      <c r="Y1031" s="1456"/>
      <c r="Z1031" s="1456"/>
      <c r="AA1031" s="1456"/>
      <c r="AB1031" s="1456"/>
      <c r="AC1031" s="1456"/>
      <c r="AD1031" s="1456"/>
      <c r="AE1031" s="1456"/>
      <c r="AF1031" s="1456"/>
      <c r="AG1031" s="1456"/>
      <c r="AH1031" s="1456"/>
      <c r="AI1031" s="1456"/>
      <c r="AJ1031" s="1456"/>
      <c r="AK1031" s="145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989</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0" t="s">
        <v>124</v>
      </c>
      <c r="B1036" s="1120"/>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0" t="s">
        <v>124</v>
      </c>
      <c r="B1042" s="1120"/>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0" t="s">
        <v>124</v>
      </c>
      <c r="B1048" s="1120"/>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0" t="s">
        <v>124</v>
      </c>
      <c r="B1055" s="1120"/>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0" t="s">
        <v>124</v>
      </c>
      <c r="B1059" s="1120"/>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0" t="s">
        <v>124</v>
      </c>
      <c r="B1063" s="1120"/>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0" t="s">
        <v>124</v>
      </c>
      <c r="B1066" s="1120"/>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0" t="s">
        <v>124</v>
      </c>
      <c r="B1071" s="1120"/>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42" t="s">
        <v>124</v>
      </c>
      <c r="B1075" s="1242"/>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7" workbookViewId="0">
      <selection activeCell="T10" sqref="T10"/>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1)HCD-Homekey</v>
      </c>
      <c r="G2" s="233" t="str">
        <f>Application!B622&amp;Application!C622</f>
        <v>2)County of San Luis Obispo</v>
      </c>
      <c r="H2" s="233" t="str">
        <f>Application!B623&amp;Application!C623</f>
        <v>3)City of San Luis Obispo</v>
      </c>
      <c r="I2" s="233" t="str">
        <f>Application!B624&amp;Application!C624</f>
        <v>4)Sponsor Loan - PSHHC - Wells Fargo</v>
      </c>
      <c r="J2" s="233" t="str">
        <f>Application!B625&amp;Application!C625</f>
        <v>5)Sponsor Loan - PSHHC - Balayko</v>
      </c>
      <c r="K2" s="233" t="str">
        <f>Application!B626&amp;Application!C626</f>
        <v>6)GP Equity</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0</v>
      </c>
      <c r="C4" s="241"/>
      <c r="D4" s="241"/>
      <c r="E4" s="241">
        <f>B4-SUM(F4:Q4)</f>
        <v>0</v>
      </c>
      <c r="F4" s="241"/>
      <c r="G4" s="241"/>
      <c r="H4" s="241"/>
      <c r="I4" s="241"/>
      <c r="J4" s="241"/>
      <c r="K4" s="241"/>
      <c r="L4" s="241"/>
      <c r="M4" s="241"/>
      <c r="N4" s="241"/>
      <c r="O4" s="241"/>
      <c r="P4" s="241"/>
      <c r="Q4" s="241"/>
      <c r="R4" s="241">
        <f>C4</f>
        <v>0</v>
      </c>
      <c r="S4" s="242"/>
      <c r="T4" s="242"/>
      <c r="U4" s="237"/>
    </row>
    <row r="5" spans="1:21" s="238" customFormat="1" ht="13.2">
      <c r="A5" s="300" t="s">
        <v>68</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15000</v>
      </c>
      <c r="C6" s="241">
        <f>[1]EVERYTHING!$I$32</f>
        <v>15000</v>
      </c>
      <c r="D6" s="241"/>
      <c r="E6" s="241">
        <f t="shared" si="0"/>
        <v>15000</v>
      </c>
      <c r="F6" s="241"/>
      <c r="G6" s="241"/>
      <c r="H6" s="241"/>
      <c r="I6" s="241"/>
      <c r="J6" s="241"/>
      <c r="K6" s="241"/>
      <c r="L6" s="241"/>
      <c r="M6" s="241"/>
      <c r="N6" s="241"/>
      <c r="O6" s="241"/>
      <c r="P6" s="241"/>
      <c r="Q6" s="241"/>
      <c r="R6" s="241">
        <f>SUM(E6:Q6)</f>
        <v>15000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15000</v>
      </c>
      <c r="C8" s="240">
        <f t="shared" ref="C8:R8" si="1">SUM(C4:C7)</f>
        <v>15000</v>
      </c>
      <c r="D8" s="240">
        <f t="shared" si="1"/>
        <v>0</v>
      </c>
      <c r="E8" s="240">
        <f t="shared" si="1"/>
        <v>15000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15000</v>
      </c>
      <c r="S8" s="242"/>
      <c r="T8" s="242"/>
      <c r="U8" s="237"/>
    </row>
    <row r="9" spans="1:21" s="238" customFormat="1" ht="11.4">
      <c r="A9" s="239" t="s">
        <v>1720</v>
      </c>
      <c r="B9" s="240">
        <f>SUM(C9+D9)</f>
        <v>13925000</v>
      </c>
      <c r="C9" s="241">
        <f>[1]EVERYTHING!$H$29-75000</f>
        <v>13925000</v>
      </c>
      <c r="D9" s="241"/>
      <c r="E9" s="241">
        <f t="shared" ref="E9:E10" si="2">B9-SUM(F9:Q9)</f>
        <v>0</v>
      </c>
      <c r="F9" s="241">
        <f>B9</f>
        <v>13925000</v>
      </c>
      <c r="G9" s="241"/>
      <c r="H9" s="241"/>
      <c r="I9" s="241"/>
      <c r="J9" s="241"/>
      <c r="K9" s="241"/>
      <c r="L9" s="241"/>
      <c r="M9" s="241"/>
      <c r="N9" s="241"/>
      <c r="O9" s="241"/>
      <c r="P9" s="241"/>
      <c r="Q9" s="241"/>
      <c r="R9" s="241">
        <f>C9</f>
        <v>13925000</v>
      </c>
      <c r="S9" s="242"/>
      <c r="T9" s="241">
        <v>13925000</v>
      </c>
      <c r="U9" s="237"/>
    </row>
    <row r="10" spans="1:21" s="238" customFormat="1" ht="13.2">
      <c r="A10" s="300" t="s">
        <v>69</v>
      </c>
      <c r="B10" s="240">
        <f>SUM(C10+D10)</f>
        <v>0</v>
      </c>
      <c r="C10" s="241"/>
      <c r="D10" s="241"/>
      <c r="E10" s="241">
        <f t="shared" si="2"/>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13925000</v>
      </c>
      <c r="C11" s="240">
        <f t="shared" ref="C11:T11" si="3">SUM(C9:C10)</f>
        <v>13925000</v>
      </c>
      <c r="D11" s="240">
        <f t="shared" si="3"/>
        <v>0</v>
      </c>
      <c r="E11" s="240">
        <f t="shared" si="3"/>
        <v>0</v>
      </c>
      <c r="F11" s="240">
        <f t="shared" si="3"/>
        <v>13925000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13925000</v>
      </c>
      <c r="S11" s="242"/>
      <c r="T11" s="240">
        <f t="shared" si="3"/>
        <v>13925000</v>
      </c>
      <c r="U11" s="237"/>
    </row>
    <row r="12" spans="1:21" s="238" customFormat="1">
      <c r="A12" s="243" t="s">
        <v>711</v>
      </c>
      <c r="B12" s="240">
        <f t="shared" ref="B12:R12" si="4">SUM(B8+B11)</f>
        <v>13940000</v>
      </c>
      <c r="C12" s="240">
        <f t="shared" si="4"/>
        <v>13940000</v>
      </c>
      <c r="D12" s="240">
        <f t="shared" si="4"/>
        <v>0</v>
      </c>
      <c r="E12" s="240">
        <f t="shared" si="4"/>
        <v>15000</v>
      </c>
      <c r="F12" s="240">
        <f t="shared" si="4"/>
        <v>13925000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13940000</v>
      </c>
      <c r="S12" s="242"/>
      <c r="T12" s="242"/>
      <c r="U12" s="237"/>
    </row>
    <row r="13" spans="1:21" s="238" customFormat="1" ht="11.4">
      <c r="A13" s="456" t="s">
        <v>1110</v>
      </c>
      <c r="B13" s="240">
        <f>SUM(C13+D13)</f>
        <v>0</v>
      </c>
      <c r="C13" s="241"/>
      <c r="D13" s="241"/>
      <c r="E13" s="241">
        <f t="shared" ref="E13:E15" si="5">B13-SUM(F13:Q13)</f>
        <v>0</v>
      </c>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6">SUM(C17:D17)</f>
        <v>350000</v>
      </c>
      <c r="C17" s="241">
        <f>[1]EVERYTHING!$I$39</f>
        <v>350000</v>
      </c>
      <c r="D17" s="241"/>
      <c r="E17" s="241">
        <f t="shared" ref="E17:E37" si="7">B17-SUM(F17:Q17)</f>
        <v>350000</v>
      </c>
      <c r="F17" s="241"/>
      <c r="G17" s="241"/>
      <c r="H17" s="241"/>
      <c r="I17" s="241"/>
      <c r="J17" s="241"/>
      <c r="K17" s="241"/>
      <c r="L17" s="241"/>
      <c r="M17" s="241"/>
      <c r="N17" s="241"/>
      <c r="O17" s="241"/>
      <c r="P17" s="241"/>
      <c r="Q17" s="241"/>
      <c r="R17" s="241">
        <f>SUM(E17:Q17)</f>
        <v>350000</v>
      </c>
      <c r="S17" s="241">
        <f>R17</f>
        <v>350000</v>
      </c>
      <c r="T17" s="241"/>
      <c r="U17" s="237"/>
    </row>
    <row r="18" spans="1:21" s="238" customFormat="1" ht="11.4">
      <c r="A18" s="239" t="s">
        <v>911</v>
      </c>
      <c r="B18" s="240">
        <f t="shared" si="6"/>
        <v>11600000</v>
      </c>
      <c r="C18" s="241">
        <f>[1]EVERYTHING!$I$40+[1]EVERYTHING!$I$43</f>
        <v>11600000</v>
      </c>
      <c r="D18" s="241"/>
      <c r="E18" s="241">
        <f t="shared" si="7"/>
        <v>6559672</v>
      </c>
      <c r="F18" s="241">
        <f>Application!AO621-F9</f>
        <v>3489328</v>
      </c>
      <c r="G18" s="241">
        <f>Application!AO622-G22</f>
        <v>200000</v>
      </c>
      <c r="H18" s="241">
        <f>Application!AO623</f>
        <v>400000</v>
      </c>
      <c r="I18" s="241">
        <f>Application!AO624</f>
        <v>150000</v>
      </c>
      <c r="J18" s="241">
        <f>Application!AO625</f>
        <v>800000</v>
      </c>
      <c r="K18" s="241">
        <f>Application!AO626</f>
        <v>1000</v>
      </c>
      <c r="L18" s="241"/>
      <c r="M18" s="241"/>
      <c r="N18" s="241"/>
      <c r="O18" s="241"/>
      <c r="P18" s="241"/>
      <c r="Q18" s="241"/>
      <c r="R18" s="241">
        <f>SUM(E18:Q18)</f>
        <v>11600000</v>
      </c>
      <c r="S18" s="241">
        <f t="shared" ref="S18:S25" si="8">R18</f>
        <v>11600000</v>
      </c>
      <c r="T18" s="241"/>
      <c r="U18" s="237"/>
    </row>
    <row r="19" spans="1:21" s="238" customFormat="1" ht="11.4">
      <c r="A19" s="239" t="s">
        <v>912</v>
      </c>
      <c r="B19" s="240">
        <f t="shared" si="6"/>
        <v>50000</v>
      </c>
      <c r="C19" s="241">
        <f>[1]EVERYTHING!$I$44</f>
        <v>50000</v>
      </c>
      <c r="D19" s="241"/>
      <c r="E19" s="241">
        <f t="shared" si="7"/>
        <v>50000</v>
      </c>
      <c r="F19" s="241"/>
      <c r="G19" s="241"/>
      <c r="H19" s="241"/>
      <c r="I19" s="241"/>
      <c r="J19" s="241"/>
      <c r="K19" s="241"/>
      <c r="L19" s="241"/>
      <c r="M19" s="241"/>
      <c r="N19" s="241"/>
      <c r="O19" s="241"/>
      <c r="P19" s="241"/>
      <c r="Q19" s="241"/>
      <c r="R19" s="241">
        <f>SUM(E19:Q19)</f>
        <v>50000</v>
      </c>
      <c r="S19" s="241">
        <f t="shared" si="8"/>
        <v>50000</v>
      </c>
      <c r="T19" s="241"/>
      <c r="U19" s="237"/>
    </row>
    <row r="20" spans="1:21" s="238" customFormat="1" ht="11.4">
      <c r="A20" s="239" t="s">
        <v>913</v>
      </c>
      <c r="B20" s="240">
        <f t="shared" si="6"/>
        <v>271797</v>
      </c>
      <c r="C20" s="241">
        <f>[1]EVERYTHING!$I$46/2</f>
        <v>271797</v>
      </c>
      <c r="D20" s="241"/>
      <c r="E20" s="241">
        <f t="shared" si="7"/>
        <v>271797</v>
      </c>
      <c r="F20" s="241"/>
      <c r="G20" s="241"/>
      <c r="H20" s="241"/>
      <c r="I20" s="241"/>
      <c r="J20" s="241"/>
      <c r="K20" s="241"/>
      <c r="L20" s="241"/>
      <c r="M20" s="241"/>
      <c r="N20" s="241"/>
      <c r="O20" s="241"/>
      <c r="P20" s="241"/>
      <c r="Q20" s="241"/>
      <c r="R20" s="241">
        <f t="shared" ref="R20:R27" si="9">SUM(E20:Q20)</f>
        <v>271797</v>
      </c>
      <c r="S20" s="241">
        <f t="shared" si="8"/>
        <v>271797</v>
      </c>
      <c r="T20" s="241"/>
      <c r="U20" s="237"/>
    </row>
    <row r="21" spans="1:21" s="238" customFormat="1" ht="11.4">
      <c r="A21" s="239" t="s">
        <v>914</v>
      </c>
      <c r="B21" s="240">
        <f t="shared" si="6"/>
        <v>271797</v>
      </c>
      <c r="C21" s="241">
        <f>C20</f>
        <v>271797</v>
      </c>
      <c r="D21" s="241"/>
      <c r="E21" s="241">
        <f t="shared" si="7"/>
        <v>271797</v>
      </c>
      <c r="F21" s="241"/>
      <c r="G21" s="241"/>
      <c r="H21" s="241"/>
      <c r="I21" s="241"/>
      <c r="J21" s="241"/>
      <c r="K21" s="241"/>
      <c r="L21" s="241"/>
      <c r="M21" s="241"/>
      <c r="N21" s="241"/>
      <c r="O21" s="241"/>
      <c r="P21" s="241"/>
      <c r="Q21" s="241"/>
      <c r="R21" s="241">
        <f t="shared" si="9"/>
        <v>271797</v>
      </c>
      <c r="S21" s="241">
        <f t="shared" si="8"/>
        <v>271797</v>
      </c>
      <c r="T21" s="241"/>
      <c r="U21" s="237"/>
    </row>
    <row r="22" spans="1:21" s="238" customFormat="1" ht="11.4">
      <c r="A22" s="239" t="s">
        <v>915</v>
      </c>
      <c r="B22" s="240">
        <f t="shared" si="6"/>
        <v>2400000</v>
      </c>
      <c r="C22" s="241">
        <f>[1]EVERYTHING!$I$41</f>
        <v>2400000</v>
      </c>
      <c r="D22" s="241"/>
      <c r="E22" s="241">
        <f t="shared" si="7"/>
        <v>0</v>
      </c>
      <c r="F22" s="241"/>
      <c r="G22" s="241">
        <f>B22</f>
        <v>2400000</v>
      </c>
      <c r="H22" s="241"/>
      <c r="I22" s="241"/>
      <c r="J22" s="241"/>
      <c r="K22" s="241"/>
      <c r="L22" s="241"/>
      <c r="M22" s="241"/>
      <c r="N22" s="241"/>
      <c r="O22" s="241"/>
      <c r="P22" s="241"/>
      <c r="Q22" s="241"/>
      <c r="R22" s="241">
        <f t="shared" si="9"/>
        <v>2400000</v>
      </c>
      <c r="S22" s="241">
        <f t="shared" si="8"/>
        <v>2400000</v>
      </c>
      <c r="T22" s="241"/>
      <c r="U22" s="237"/>
    </row>
    <row r="23" spans="1:21" s="238" customFormat="1" ht="11.4">
      <c r="A23" s="239" t="s">
        <v>916</v>
      </c>
      <c r="B23" s="240">
        <f t="shared" si="6"/>
        <v>32991</v>
      </c>
      <c r="C23" s="241">
        <f>[1]EVERYTHING!$I$45</f>
        <v>32991</v>
      </c>
      <c r="D23" s="241"/>
      <c r="E23" s="241">
        <f t="shared" si="7"/>
        <v>32991</v>
      </c>
      <c r="F23" s="241"/>
      <c r="G23" s="241"/>
      <c r="H23" s="241"/>
      <c r="I23" s="241"/>
      <c r="J23" s="241"/>
      <c r="K23" s="241"/>
      <c r="L23" s="241"/>
      <c r="M23" s="241"/>
      <c r="N23" s="241"/>
      <c r="O23" s="241"/>
      <c r="P23" s="241"/>
      <c r="Q23" s="241"/>
      <c r="R23" s="241">
        <f t="shared" si="9"/>
        <v>32991</v>
      </c>
      <c r="S23" s="241">
        <f t="shared" si="8"/>
        <v>32991</v>
      </c>
      <c r="T23" s="241"/>
      <c r="U23" s="237"/>
    </row>
    <row r="24" spans="1:21" s="238" customFormat="1" ht="11.4">
      <c r="A24" s="250" t="s">
        <v>1952</v>
      </c>
      <c r="B24" s="240">
        <f t="shared" si="6"/>
        <v>75000</v>
      </c>
      <c r="C24" s="241">
        <f>[1]EVERYTHING!$I$85</f>
        <v>75000</v>
      </c>
      <c r="D24" s="241"/>
      <c r="E24" s="241">
        <f t="shared" si="7"/>
        <v>75000</v>
      </c>
      <c r="F24" s="241"/>
      <c r="G24" s="241"/>
      <c r="H24" s="241"/>
      <c r="I24" s="241"/>
      <c r="J24" s="241"/>
      <c r="K24" s="241"/>
      <c r="L24" s="241"/>
      <c r="M24" s="241"/>
      <c r="N24" s="241"/>
      <c r="O24" s="241"/>
      <c r="P24" s="241"/>
      <c r="Q24" s="241"/>
      <c r="R24" s="241">
        <f t="shared" si="9"/>
        <v>75000</v>
      </c>
      <c r="S24" s="241">
        <f t="shared" si="8"/>
        <v>75000</v>
      </c>
      <c r="T24" s="241"/>
      <c r="U24" s="237"/>
    </row>
    <row r="25" spans="1:21" s="238" customFormat="1" ht="11.4">
      <c r="A25" s="246" t="s">
        <v>533</v>
      </c>
      <c r="B25" s="240">
        <f t="shared" si="6"/>
        <v>0</v>
      </c>
      <c r="C25" s="241"/>
      <c r="D25" s="241"/>
      <c r="E25" s="241">
        <f t="shared" si="7"/>
        <v>0</v>
      </c>
      <c r="F25" s="241"/>
      <c r="G25" s="241"/>
      <c r="H25" s="241"/>
      <c r="I25" s="241"/>
      <c r="J25" s="241"/>
      <c r="K25" s="241"/>
      <c r="L25" s="241"/>
      <c r="M25" s="241"/>
      <c r="N25" s="241"/>
      <c r="O25" s="241"/>
      <c r="P25" s="241"/>
      <c r="Q25" s="241"/>
      <c r="R25" s="241">
        <f t="shared" si="9"/>
        <v>0</v>
      </c>
      <c r="S25" s="241">
        <f t="shared" si="8"/>
        <v>0</v>
      </c>
      <c r="T25" s="241"/>
      <c r="U25" s="237"/>
    </row>
    <row r="26" spans="1:21" s="238" customFormat="1">
      <c r="A26" s="243" t="s">
        <v>222</v>
      </c>
      <c r="B26" s="240">
        <f t="shared" si="6"/>
        <v>15051585</v>
      </c>
      <c r="C26" s="240">
        <f>SUM(C17:C25)</f>
        <v>15051585</v>
      </c>
      <c r="D26" s="240">
        <f>SUM(D17:D25)</f>
        <v>0</v>
      </c>
      <c r="E26" s="240">
        <f>SUM(E17:E25)</f>
        <v>7611257</v>
      </c>
      <c r="F26" s="240">
        <f t="shared" ref="F26:T26" si="10">SUM(F17:F25)</f>
        <v>3489328</v>
      </c>
      <c r="G26" s="240">
        <f t="shared" si="10"/>
        <v>2600000</v>
      </c>
      <c r="H26" s="240">
        <f t="shared" si="10"/>
        <v>400000</v>
      </c>
      <c r="I26" s="240">
        <f t="shared" si="10"/>
        <v>150000</v>
      </c>
      <c r="J26" s="240">
        <f t="shared" si="10"/>
        <v>800000</v>
      </c>
      <c r="K26" s="240">
        <f t="shared" si="10"/>
        <v>1000</v>
      </c>
      <c r="L26" s="240">
        <f t="shared" si="10"/>
        <v>0</v>
      </c>
      <c r="M26" s="240">
        <f t="shared" si="10"/>
        <v>0</v>
      </c>
      <c r="N26" s="240">
        <f t="shared" si="10"/>
        <v>0</v>
      </c>
      <c r="O26" s="240">
        <f t="shared" si="10"/>
        <v>0</v>
      </c>
      <c r="P26" s="240">
        <f t="shared" si="10"/>
        <v>0</v>
      </c>
      <c r="Q26" s="240">
        <f t="shared" si="10"/>
        <v>0</v>
      </c>
      <c r="R26" s="240">
        <f>SUM(R17:R25)</f>
        <v>15051585</v>
      </c>
      <c r="S26" s="244">
        <f t="shared" si="10"/>
        <v>15051585</v>
      </c>
      <c r="T26" s="244">
        <f t="shared" si="10"/>
        <v>0</v>
      </c>
      <c r="U26" s="237"/>
    </row>
    <row r="27" spans="1:21" s="238" customFormat="1">
      <c r="A27" s="243" t="s">
        <v>917</v>
      </c>
      <c r="B27" s="240">
        <f t="shared" si="6"/>
        <v>0</v>
      </c>
      <c r="C27" s="241"/>
      <c r="D27" s="241"/>
      <c r="E27" s="241">
        <f t="shared" si="7"/>
        <v>0</v>
      </c>
      <c r="F27" s="241"/>
      <c r="G27" s="241"/>
      <c r="H27" s="241"/>
      <c r="I27" s="241"/>
      <c r="J27" s="241"/>
      <c r="K27" s="241"/>
      <c r="L27" s="241"/>
      <c r="M27" s="241"/>
      <c r="N27" s="241"/>
      <c r="O27" s="241"/>
      <c r="P27" s="241"/>
      <c r="Q27" s="241"/>
      <c r="R27" s="241">
        <f t="shared" si="9"/>
        <v>0</v>
      </c>
      <c r="S27" s="241">
        <f>R27</f>
        <v>0</v>
      </c>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11">SUM(C29+D29)</f>
        <v>0</v>
      </c>
      <c r="C29" s="241"/>
      <c r="D29" s="241"/>
      <c r="E29" s="241">
        <f t="shared" si="7"/>
        <v>0</v>
      </c>
      <c r="F29" s="241"/>
      <c r="G29" s="241"/>
      <c r="H29" s="241"/>
      <c r="I29" s="241"/>
      <c r="J29" s="241"/>
      <c r="K29" s="241"/>
      <c r="L29" s="241"/>
      <c r="M29" s="241"/>
      <c r="N29" s="241"/>
      <c r="O29" s="241"/>
      <c r="P29" s="241"/>
      <c r="Q29" s="241"/>
      <c r="R29" s="241">
        <f t="shared" ref="R29:R37" si="12">SUM(E29:Q29)</f>
        <v>0</v>
      </c>
      <c r="S29" s="241">
        <f>R29</f>
        <v>0</v>
      </c>
      <c r="T29" s="241"/>
      <c r="U29" s="237"/>
    </row>
    <row r="30" spans="1:21" s="238" customFormat="1" ht="11.4">
      <c r="A30" s="239" t="s">
        <v>911</v>
      </c>
      <c r="B30" s="240">
        <f t="shared" si="11"/>
        <v>0</v>
      </c>
      <c r="C30" s="241"/>
      <c r="D30" s="241"/>
      <c r="E30" s="241">
        <f t="shared" si="7"/>
        <v>0</v>
      </c>
      <c r="F30" s="241"/>
      <c r="G30" s="241"/>
      <c r="H30" s="241"/>
      <c r="I30" s="241"/>
      <c r="J30" s="241"/>
      <c r="K30" s="241"/>
      <c r="L30" s="241"/>
      <c r="M30" s="241"/>
      <c r="N30" s="241"/>
      <c r="O30" s="241"/>
      <c r="P30" s="241"/>
      <c r="Q30" s="241"/>
      <c r="R30" s="241">
        <f t="shared" si="12"/>
        <v>0</v>
      </c>
      <c r="S30" s="241">
        <f t="shared" ref="S30:S37" si="13">R30</f>
        <v>0</v>
      </c>
      <c r="T30" s="241"/>
      <c r="U30" s="237"/>
    </row>
    <row r="31" spans="1:21" s="238" customFormat="1" ht="11.4">
      <c r="A31" s="239" t="s">
        <v>912</v>
      </c>
      <c r="B31" s="240">
        <f t="shared" si="11"/>
        <v>0</v>
      </c>
      <c r="C31" s="241"/>
      <c r="D31" s="241"/>
      <c r="E31" s="241">
        <f t="shared" si="7"/>
        <v>0</v>
      </c>
      <c r="F31" s="241"/>
      <c r="G31" s="241"/>
      <c r="H31" s="241"/>
      <c r="I31" s="241"/>
      <c r="J31" s="241"/>
      <c r="K31" s="241"/>
      <c r="L31" s="241"/>
      <c r="M31" s="241"/>
      <c r="N31" s="241"/>
      <c r="O31" s="241"/>
      <c r="P31" s="241"/>
      <c r="Q31" s="241"/>
      <c r="R31" s="241">
        <f t="shared" si="12"/>
        <v>0</v>
      </c>
      <c r="S31" s="241">
        <f t="shared" si="13"/>
        <v>0</v>
      </c>
      <c r="T31" s="241"/>
      <c r="U31" s="237"/>
    </row>
    <row r="32" spans="1:21" s="238" customFormat="1" ht="11.4">
      <c r="A32" s="239" t="s">
        <v>913</v>
      </c>
      <c r="B32" s="240">
        <f t="shared" si="11"/>
        <v>0</v>
      </c>
      <c r="C32" s="241"/>
      <c r="D32" s="241"/>
      <c r="E32" s="241">
        <f t="shared" si="7"/>
        <v>0</v>
      </c>
      <c r="F32" s="241"/>
      <c r="G32" s="241"/>
      <c r="H32" s="241"/>
      <c r="I32" s="241"/>
      <c r="J32" s="241"/>
      <c r="K32" s="241"/>
      <c r="L32" s="241"/>
      <c r="M32" s="241"/>
      <c r="N32" s="241"/>
      <c r="O32" s="241"/>
      <c r="P32" s="241"/>
      <c r="Q32" s="241"/>
      <c r="R32" s="241">
        <f t="shared" si="12"/>
        <v>0</v>
      </c>
      <c r="S32" s="241">
        <f t="shared" si="13"/>
        <v>0</v>
      </c>
      <c r="T32" s="241"/>
      <c r="U32" s="237"/>
    </row>
    <row r="33" spans="1:21" s="238" customFormat="1" ht="11.4">
      <c r="A33" s="239" t="s">
        <v>914</v>
      </c>
      <c r="B33" s="240">
        <f t="shared" si="11"/>
        <v>0</v>
      </c>
      <c r="C33" s="241"/>
      <c r="D33" s="241"/>
      <c r="E33" s="241">
        <f t="shared" si="7"/>
        <v>0</v>
      </c>
      <c r="F33" s="241"/>
      <c r="G33" s="241"/>
      <c r="H33" s="241"/>
      <c r="I33" s="241"/>
      <c r="J33" s="241"/>
      <c r="K33" s="241"/>
      <c r="L33" s="241"/>
      <c r="M33" s="241"/>
      <c r="N33" s="241"/>
      <c r="O33" s="241"/>
      <c r="P33" s="241"/>
      <c r="Q33" s="241"/>
      <c r="R33" s="241">
        <f t="shared" si="12"/>
        <v>0</v>
      </c>
      <c r="S33" s="241">
        <f t="shared" si="13"/>
        <v>0</v>
      </c>
      <c r="T33" s="241"/>
      <c r="U33" s="237"/>
    </row>
    <row r="34" spans="1:21" s="238" customFormat="1" ht="11.4">
      <c r="A34" s="239" t="s">
        <v>915</v>
      </c>
      <c r="B34" s="240">
        <f t="shared" si="11"/>
        <v>0</v>
      </c>
      <c r="C34" s="241"/>
      <c r="D34" s="241"/>
      <c r="E34" s="241">
        <f t="shared" si="7"/>
        <v>0</v>
      </c>
      <c r="F34" s="241"/>
      <c r="G34" s="241"/>
      <c r="H34" s="241"/>
      <c r="I34" s="241"/>
      <c r="J34" s="241"/>
      <c r="K34" s="241"/>
      <c r="L34" s="241"/>
      <c r="M34" s="241"/>
      <c r="N34" s="241"/>
      <c r="O34" s="241"/>
      <c r="P34" s="241"/>
      <c r="Q34" s="241"/>
      <c r="R34" s="241">
        <f t="shared" si="12"/>
        <v>0</v>
      </c>
      <c r="S34" s="241">
        <f t="shared" si="13"/>
        <v>0</v>
      </c>
      <c r="T34" s="241"/>
      <c r="U34" s="237"/>
    </row>
    <row r="35" spans="1:21" s="238" customFormat="1" ht="11.4">
      <c r="A35" s="239" t="s">
        <v>916</v>
      </c>
      <c r="B35" s="240">
        <f t="shared" si="11"/>
        <v>0</v>
      </c>
      <c r="C35" s="241"/>
      <c r="D35" s="241"/>
      <c r="E35" s="241">
        <f t="shared" si="7"/>
        <v>0</v>
      </c>
      <c r="F35" s="241"/>
      <c r="G35" s="241"/>
      <c r="H35" s="241"/>
      <c r="I35" s="241"/>
      <c r="J35" s="241"/>
      <c r="K35" s="241"/>
      <c r="L35" s="241"/>
      <c r="M35" s="241"/>
      <c r="N35" s="241"/>
      <c r="O35" s="241"/>
      <c r="P35" s="241"/>
      <c r="Q35" s="241"/>
      <c r="R35" s="241">
        <f t="shared" si="12"/>
        <v>0</v>
      </c>
      <c r="S35" s="241">
        <f t="shared" si="13"/>
        <v>0</v>
      </c>
      <c r="T35" s="241"/>
      <c r="U35" s="237"/>
    </row>
    <row r="36" spans="1:21" s="238" customFormat="1" ht="11.4">
      <c r="A36" s="250" t="s">
        <v>1952</v>
      </c>
      <c r="B36" s="240">
        <f t="shared" si="11"/>
        <v>0</v>
      </c>
      <c r="C36" s="241"/>
      <c r="D36" s="241"/>
      <c r="E36" s="241">
        <f t="shared" si="7"/>
        <v>0</v>
      </c>
      <c r="F36" s="241"/>
      <c r="G36" s="241"/>
      <c r="H36" s="241"/>
      <c r="I36" s="241"/>
      <c r="J36" s="241"/>
      <c r="K36" s="241"/>
      <c r="L36" s="241"/>
      <c r="M36" s="241"/>
      <c r="N36" s="241"/>
      <c r="O36" s="241"/>
      <c r="P36" s="241"/>
      <c r="Q36" s="241"/>
      <c r="R36" s="241">
        <f t="shared" si="12"/>
        <v>0</v>
      </c>
      <c r="S36" s="241">
        <f t="shared" si="13"/>
        <v>0</v>
      </c>
      <c r="T36" s="241"/>
      <c r="U36" s="237"/>
    </row>
    <row r="37" spans="1:21" s="238" customFormat="1" ht="11.4">
      <c r="A37" s="246" t="s">
        <v>533</v>
      </c>
      <c r="B37" s="240">
        <f t="shared" si="11"/>
        <v>0</v>
      </c>
      <c r="C37" s="241"/>
      <c r="D37" s="241"/>
      <c r="E37" s="241">
        <f t="shared" si="7"/>
        <v>0</v>
      </c>
      <c r="F37" s="241"/>
      <c r="G37" s="241"/>
      <c r="H37" s="241"/>
      <c r="I37" s="241"/>
      <c r="J37" s="241"/>
      <c r="K37" s="241"/>
      <c r="L37" s="241"/>
      <c r="M37" s="241"/>
      <c r="N37" s="241"/>
      <c r="O37" s="241"/>
      <c r="P37" s="241"/>
      <c r="Q37" s="241"/>
      <c r="R37" s="241">
        <f t="shared" si="12"/>
        <v>0</v>
      </c>
      <c r="S37" s="241">
        <f t="shared" si="13"/>
        <v>0</v>
      </c>
      <c r="T37" s="241"/>
      <c r="U37" s="237"/>
    </row>
    <row r="38" spans="1:21" s="238" customFormat="1">
      <c r="A38" s="243" t="s">
        <v>919</v>
      </c>
      <c r="B38" s="240">
        <f t="shared" si="11"/>
        <v>0</v>
      </c>
      <c r="C38" s="240">
        <f>SUM(C29:C37)</f>
        <v>0</v>
      </c>
      <c r="D38" s="240">
        <f>SUM(D29:D37)</f>
        <v>0</v>
      </c>
      <c r="E38" s="240">
        <f>SUM(E29:E37)</f>
        <v>0</v>
      </c>
      <c r="F38" s="240">
        <f t="shared" ref="F38:T38" si="14">SUM(F29:F37)</f>
        <v>0</v>
      </c>
      <c r="G38" s="240">
        <f t="shared" si="14"/>
        <v>0</v>
      </c>
      <c r="H38" s="240">
        <f t="shared" si="14"/>
        <v>0</v>
      </c>
      <c r="I38" s="240">
        <f t="shared" si="14"/>
        <v>0</v>
      </c>
      <c r="J38" s="240">
        <f t="shared" si="14"/>
        <v>0</v>
      </c>
      <c r="K38" s="240">
        <f t="shared" si="14"/>
        <v>0</v>
      </c>
      <c r="L38" s="240">
        <f t="shared" si="14"/>
        <v>0</v>
      </c>
      <c r="M38" s="240">
        <f t="shared" si="14"/>
        <v>0</v>
      </c>
      <c r="N38" s="240">
        <f t="shared" si="14"/>
        <v>0</v>
      </c>
      <c r="O38" s="240">
        <f t="shared" si="14"/>
        <v>0</v>
      </c>
      <c r="P38" s="240">
        <f t="shared" si="14"/>
        <v>0</v>
      </c>
      <c r="Q38" s="240">
        <f t="shared" si="14"/>
        <v>0</v>
      </c>
      <c r="R38" s="240">
        <f t="shared" si="14"/>
        <v>0</v>
      </c>
      <c r="S38" s="244">
        <f t="shared" si="14"/>
        <v>0</v>
      </c>
      <c r="T38" s="244">
        <f t="shared" si="14"/>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400000</v>
      </c>
      <c r="C40" s="241">
        <f>[1]EVERYTHING!$I$49</f>
        <v>400000</v>
      </c>
      <c r="D40" s="241"/>
      <c r="E40" s="241">
        <f t="shared" ref="E40:E41" si="15">B40-SUM(F40:Q40)</f>
        <v>400000</v>
      </c>
      <c r="F40" s="241"/>
      <c r="G40" s="241"/>
      <c r="H40" s="241"/>
      <c r="I40" s="241"/>
      <c r="J40" s="241"/>
      <c r="K40" s="241"/>
      <c r="L40" s="241"/>
      <c r="M40" s="241"/>
      <c r="N40" s="241"/>
      <c r="O40" s="241"/>
      <c r="P40" s="241"/>
      <c r="Q40" s="241"/>
      <c r="R40" s="241">
        <f>SUM(E40:Q40)</f>
        <v>400000</v>
      </c>
      <c r="S40" s="241">
        <f>R40</f>
        <v>400000</v>
      </c>
      <c r="T40" s="241"/>
      <c r="U40" s="237"/>
    </row>
    <row r="41" spans="1:21" s="238" customFormat="1" ht="11.4">
      <c r="A41" s="239" t="s">
        <v>922</v>
      </c>
      <c r="B41" s="240">
        <f>SUM(C41+D41)</f>
        <v>0</v>
      </c>
      <c r="C41" s="241"/>
      <c r="D41" s="241"/>
      <c r="E41" s="241">
        <f t="shared" si="15"/>
        <v>0</v>
      </c>
      <c r="F41" s="241"/>
      <c r="G41" s="241"/>
      <c r="H41" s="241"/>
      <c r="I41" s="241"/>
      <c r="J41" s="241"/>
      <c r="K41" s="241"/>
      <c r="L41" s="241"/>
      <c r="M41" s="241"/>
      <c r="N41" s="241"/>
      <c r="O41" s="241"/>
      <c r="P41" s="241"/>
      <c r="Q41" s="241"/>
      <c r="R41" s="241">
        <f>SUM(E41:Q41)</f>
        <v>0</v>
      </c>
      <c r="S41" s="241">
        <f>R41</f>
        <v>0</v>
      </c>
      <c r="T41" s="241"/>
      <c r="U41" s="237"/>
    </row>
    <row r="42" spans="1:21" s="238" customFormat="1">
      <c r="A42" s="243" t="s">
        <v>923</v>
      </c>
      <c r="B42" s="240">
        <f>SUM(C42:D42)</f>
        <v>400000</v>
      </c>
      <c r="C42" s="240">
        <f>SUM(C39:C41)</f>
        <v>400000</v>
      </c>
      <c r="D42" s="240">
        <f>SUM(D39:D41)</f>
        <v>0</v>
      </c>
      <c r="E42" s="240">
        <f t="shared" ref="E42:T42" si="16">SUM(E40:E41)</f>
        <v>400000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400000</v>
      </c>
      <c r="S42" s="244">
        <f t="shared" si="16"/>
        <v>400000</v>
      </c>
      <c r="T42" s="244">
        <f t="shared" si="16"/>
        <v>0</v>
      </c>
      <c r="U42" s="237"/>
    </row>
    <row r="43" spans="1:21" s="238" customFormat="1">
      <c r="A43" s="243" t="s">
        <v>924</v>
      </c>
      <c r="B43" s="240">
        <f>SUM(C43:D43)</f>
        <v>0</v>
      </c>
      <c r="C43" s="241">
        <f>[1]EVERYTHING!$I$52</f>
        <v>0</v>
      </c>
      <c r="D43" s="241"/>
      <c r="E43" s="241">
        <f t="shared" ref="E43" si="17">B43-SUM(F43:Q43)</f>
        <v>0</v>
      </c>
      <c r="F43" s="241">
        <v>0</v>
      </c>
      <c r="G43" s="241"/>
      <c r="H43" s="241"/>
      <c r="I43" s="241"/>
      <c r="J43" s="241"/>
      <c r="K43" s="241"/>
      <c r="L43" s="241"/>
      <c r="M43" s="241"/>
      <c r="N43" s="241"/>
      <c r="O43" s="241"/>
      <c r="P43" s="241"/>
      <c r="Q43" s="241"/>
      <c r="R43" s="241">
        <f>SUM(E43:Q43)</f>
        <v>0</v>
      </c>
      <c r="S43" s="241"/>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8">SUM(C45+D45)</f>
        <v>1229253.7585597578</v>
      </c>
      <c r="C45" s="241">
        <f>[1]EVERYTHING!$I$54</f>
        <v>1229253.7585597578</v>
      </c>
      <c r="D45" s="241"/>
      <c r="E45" s="241">
        <f t="shared" ref="E45:E52" si="19">B45-SUM(F45:Q45)</f>
        <v>1229253.7585597578</v>
      </c>
      <c r="F45" s="241"/>
      <c r="G45" s="241"/>
      <c r="H45" s="241"/>
      <c r="I45" s="241"/>
      <c r="J45" s="241"/>
      <c r="K45" s="241"/>
      <c r="L45" s="241"/>
      <c r="M45" s="241"/>
      <c r="N45" s="241"/>
      <c r="O45" s="241"/>
      <c r="P45" s="241"/>
      <c r="Q45" s="241"/>
      <c r="R45" s="241">
        <f t="shared" ref="R45:R52" si="20">SUM(E45:Q45)</f>
        <v>1229253.7585597578</v>
      </c>
      <c r="S45" s="241">
        <f>[1]EVERYTHING!$K$54</f>
        <v>643894.82591225405</v>
      </c>
      <c r="T45" s="241"/>
      <c r="U45" s="237"/>
    </row>
    <row r="46" spans="1:21" s="238" customFormat="1" ht="11.4">
      <c r="A46" s="239" t="s">
        <v>927</v>
      </c>
      <c r="B46" s="240">
        <f t="shared" si="18"/>
        <v>148295.27728661362</v>
      </c>
      <c r="C46" s="241">
        <f>[1]EVERYTHING!$I$56</f>
        <v>148295.27728661362</v>
      </c>
      <c r="D46" s="241"/>
      <c r="E46" s="241">
        <f t="shared" si="19"/>
        <v>148295.27728661362</v>
      </c>
      <c r="F46" s="241"/>
      <c r="G46" s="241"/>
      <c r="H46" s="241"/>
      <c r="I46" s="241"/>
      <c r="J46" s="241"/>
      <c r="K46" s="241"/>
      <c r="L46" s="241"/>
      <c r="M46" s="241"/>
      <c r="N46" s="241"/>
      <c r="O46" s="241"/>
      <c r="P46" s="241"/>
      <c r="Q46" s="241"/>
      <c r="R46" s="241">
        <f t="shared" si="20"/>
        <v>148295.27728661362</v>
      </c>
      <c r="S46" s="241">
        <f>R46</f>
        <v>148295.27728661362</v>
      </c>
      <c r="T46" s="241"/>
      <c r="U46" s="237"/>
    </row>
    <row r="47" spans="1:21" s="238" customFormat="1" ht="12" customHeight="1">
      <c r="A47" s="239" t="s">
        <v>928</v>
      </c>
      <c r="B47" s="240">
        <f t="shared" si="18"/>
        <v>0</v>
      </c>
      <c r="C47" s="241"/>
      <c r="D47" s="241"/>
      <c r="E47" s="241">
        <f t="shared" si="19"/>
        <v>0</v>
      </c>
      <c r="F47" s="241"/>
      <c r="G47" s="241"/>
      <c r="H47" s="241"/>
      <c r="I47" s="241"/>
      <c r="J47" s="241"/>
      <c r="K47" s="241"/>
      <c r="L47" s="241"/>
      <c r="M47" s="241"/>
      <c r="N47" s="241"/>
      <c r="O47" s="241"/>
      <c r="P47" s="241"/>
      <c r="Q47" s="241"/>
      <c r="R47" s="241">
        <f t="shared" si="20"/>
        <v>0</v>
      </c>
      <c r="S47" s="241"/>
      <c r="T47" s="241"/>
      <c r="U47" s="237"/>
    </row>
    <row r="48" spans="1:21" s="238" customFormat="1" ht="11.4">
      <c r="A48" s="239" t="s">
        <v>929</v>
      </c>
      <c r="B48" s="240">
        <f t="shared" si="18"/>
        <v>0</v>
      </c>
      <c r="C48" s="241"/>
      <c r="D48" s="241"/>
      <c r="E48" s="241">
        <f t="shared" si="19"/>
        <v>0</v>
      </c>
      <c r="F48" s="241"/>
      <c r="G48" s="241"/>
      <c r="H48" s="241"/>
      <c r="I48" s="241"/>
      <c r="J48" s="241"/>
      <c r="K48" s="241"/>
      <c r="L48" s="241"/>
      <c r="M48" s="241"/>
      <c r="N48" s="241"/>
      <c r="O48" s="241"/>
      <c r="P48" s="241"/>
      <c r="Q48" s="241"/>
      <c r="R48" s="241">
        <f t="shared" si="20"/>
        <v>0</v>
      </c>
      <c r="S48" s="241"/>
      <c r="T48" s="241"/>
      <c r="U48" s="237"/>
    </row>
    <row r="49" spans="1:21" s="238" customFormat="1" ht="11.4">
      <c r="A49" s="239" t="s">
        <v>932</v>
      </c>
      <c r="B49" s="240">
        <f t="shared" si="18"/>
        <v>40000</v>
      </c>
      <c r="C49" s="241">
        <f>[1]EVERYTHING!$I$60</f>
        <v>40000</v>
      </c>
      <c r="D49" s="241"/>
      <c r="E49" s="241">
        <f t="shared" si="19"/>
        <v>40000</v>
      </c>
      <c r="F49" s="241"/>
      <c r="G49" s="241"/>
      <c r="H49" s="241"/>
      <c r="I49" s="241"/>
      <c r="J49" s="241"/>
      <c r="K49" s="241"/>
      <c r="L49" s="241"/>
      <c r="M49" s="241"/>
      <c r="N49" s="241"/>
      <c r="O49" s="241"/>
      <c r="P49" s="241"/>
      <c r="Q49" s="241"/>
      <c r="R49" s="241">
        <f t="shared" si="20"/>
        <v>40000</v>
      </c>
      <c r="S49" s="241">
        <f>R49</f>
        <v>40000</v>
      </c>
      <c r="T49" s="241"/>
      <c r="U49" s="237"/>
    </row>
    <row r="50" spans="1:21" s="238" customFormat="1" ht="11.4">
      <c r="A50" s="239" t="s">
        <v>930</v>
      </c>
      <c r="B50" s="240">
        <f t="shared" si="18"/>
        <v>8000</v>
      </c>
      <c r="C50" s="241">
        <f>[1]EVERYTHING!$I$58</f>
        <v>8000</v>
      </c>
      <c r="D50" s="241"/>
      <c r="E50" s="241">
        <f t="shared" si="19"/>
        <v>8000</v>
      </c>
      <c r="F50" s="241"/>
      <c r="G50" s="241"/>
      <c r="H50" s="241"/>
      <c r="I50" s="241"/>
      <c r="J50" s="241"/>
      <c r="K50" s="241"/>
      <c r="L50" s="241"/>
      <c r="M50" s="241"/>
      <c r="N50" s="241"/>
      <c r="O50" s="241"/>
      <c r="P50" s="241"/>
      <c r="Q50" s="241"/>
      <c r="R50" s="241">
        <f t="shared" si="20"/>
        <v>8000</v>
      </c>
      <c r="S50" s="241">
        <f t="shared" ref="S50:S52" si="21">R50</f>
        <v>8000</v>
      </c>
      <c r="T50" s="241"/>
      <c r="U50" s="237"/>
    </row>
    <row r="51" spans="1:21" s="238" customFormat="1" ht="11.4">
      <c r="A51" s="239" t="s">
        <v>931</v>
      </c>
      <c r="B51" s="240">
        <f t="shared" si="18"/>
        <v>350000</v>
      </c>
      <c r="C51" s="241">
        <f>[1]EVERYTHING!$I$59</f>
        <v>350000</v>
      </c>
      <c r="D51" s="241"/>
      <c r="E51" s="241">
        <f t="shared" si="19"/>
        <v>350000</v>
      </c>
      <c r="F51" s="241"/>
      <c r="G51" s="241"/>
      <c r="H51" s="241"/>
      <c r="I51" s="241"/>
      <c r="J51" s="241"/>
      <c r="K51" s="241"/>
      <c r="L51" s="241"/>
      <c r="M51" s="241"/>
      <c r="N51" s="241"/>
      <c r="O51" s="241"/>
      <c r="P51" s="241"/>
      <c r="Q51" s="241"/>
      <c r="R51" s="241">
        <f t="shared" si="20"/>
        <v>350000</v>
      </c>
      <c r="S51" s="241">
        <f t="shared" si="21"/>
        <v>350000</v>
      </c>
      <c r="T51" s="241"/>
      <c r="U51" s="237"/>
    </row>
    <row r="52" spans="1:21" s="238" customFormat="1" ht="11.4">
      <c r="A52" s="246" t="s">
        <v>533</v>
      </c>
      <c r="B52" s="240">
        <f t="shared" si="18"/>
        <v>0</v>
      </c>
      <c r="C52" s="241"/>
      <c r="D52" s="241"/>
      <c r="E52" s="241">
        <f t="shared" si="19"/>
        <v>0</v>
      </c>
      <c r="F52" s="241"/>
      <c r="G52" s="241"/>
      <c r="H52" s="241"/>
      <c r="I52" s="241"/>
      <c r="J52" s="241"/>
      <c r="K52" s="241"/>
      <c r="L52" s="241"/>
      <c r="M52" s="241"/>
      <c r="N52" s="241"/>
      <c r="O52" s="241"/>
      <c r="P52" s="241"/>
      <c r="Q52" s="241"/>
      <c r="R52" s="241">
        <f t="shared" si="20"/>
        <v>0</v>
      </c>
      <c r="S52" s="241">
        <f t="shared" si="21"/>
        <v>0</v>
      </c>
      <c r="T52" s="241"/>
      <c r="U52" s="237"/>
    </row>
    <row r="53" spans="1:21" s="248" customFormat="1">
      <c r="A53" s="243" t="s">
        <v>933</v>
      </c>
      <c r="B53" s="244">
        <f>SUM(C53:D53)</f>
        <v>1775549.0358463714</v>
      </c>
      <c r="C53" s="244">
        <f t="shared" ref="C53:T53" si="22">SUM(C45:C52)</f>
        <v>1775549.0358463714</v>
      </c>
      <c r="D53" s="244">
        <f t="shared" si="22"/>
        <v>0</v>
      </c>
      <c r="E53" s="244">
        <f t="shared" si="22"/>
        <v>1775549.0358463714</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1775549.0358463714</v>
      </c>
      <c r="S53" s="244">
        <f t="shared" si="22"/>
        <v>1190190.1031988678</v>
      </c>
      <c r="T53" s="244">
        <f t="shared" si="22"/>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23">SUM(C55+D55)</f>
        <v>0</v>
      </c>
      <c r="C55" s="241"/>
      <c r="D55" s="241"/>
      <c r="E55" s="241">
        <f t="shared" ref="E55:E60" si="24">B55-SUM(F55:Q55)</f>
        <v>0</v>
      </c>
      <c r="F55" s="241"/>
      <c r="G55" s="241"/>
      <c r="H55" s="241"/>
      <c r="I55" s="241"/>
      <c r="J55" s="241"/>
      <c r="K55" s="241"/>
      <c r="L55" s="241"/>
      <c r="M55" s="241"/>
      <c r="N55" s="241"/>
      <c r="O55" s="241"/>
      <c r="P55" s="241"/>
      <c r="Q55" s="241"/>
      <c r="R55" s="241">
        <f t="shared" ref="R55:R60" si="25">SUM(E55:Q55)</f>
        <v>0</v>
      </c>
      <c r="S55" s="242"/>
      <c r="T55" s="242"/>
      <c r="U55" s="237"/>
    </row>
    <row r="56" spans="1:21" s="238" customFormat="1" ht="12" customHeight="1">
      <c r="A56" s="239" t="s">
        <v>928</v>
      </c>
      <c r="B56" s="240">
        <f t="shared" si="23"/>
        <v>0</v>
      </c>
      <c r="C56" s="241"/>
      <c r="D56" s="241"/>
      <c r="E56" s="241">
        <f t="shared" si="24"/>
        <v>0</v>
      </c>
      <c r="F56" s="241"/>
      <c r="G56" s="241"/>
      <c r="H56" s="241"/>
      <c r="I56" s="241"/>
      <c r="J56" s="241"/>
      <c r="K56" s="241"/>
      <c r="L56" s="241"/>
      <c r="M56" s="241"/>
      <c r="N56" s="241"/>
      <c r="O56" s="241"/>
      <c r="P56" s="241"/>
      <c r="Q56" s="241"/>
      <c r="R56" s="241">
        <f t="shared" si="25"/>
        <v>0</v>
      </c>
      <c r="S56" s="242"/>
      <c r="T56" s="242"/>
      <c r="U56" s="237"/>
    </row>
    <row r="57" spans="1:21" s="238" customFormat="1" ht="11.4">
      <c r="A57" s="239" t="s">
        <v>932</v>
      </c>
      <c r="B57" s="240">
        <f t="shared" si="23"/>
        <v>20000</v>
      </c>
      <c r="C57" s="241">
        <f>[1]EVERYTHING!$I$65</f>
        <v>20000</v>
      </c>
      <c r="D57" s="241"/>
      <c r="E57" s="241">
        <f t="shared" si="24"/>
        <v>20000</v>
      </c>
      <c r="F57" s="241"/>
      <c r="G57" s="241"/>
      <c r="H57" s="241"/>
      <c r="I57" s="241"/>
      <c r="J57" s="241"/>
      <c r="K57" s="241"/>
      <c r="L57" s="241"/>
      <c r="M57" s="241"/>
      <c r="N57" s="241"/>
      <c r="O57" s="241"/>
      <c r="P57" s="241"/>
      <c r="Q57" s="241"/>
      <c r="R57" s="241">
        <f t="shared" si="25"/>
        <v>20000</v>
      </c>
      <c r="S57" s="242"/>
      <c r="T57" s="242"/>
      <c r="U57" s="237"/>
    </row>
    <row r="58" spans="1:21" s="238" customFormat="1" ht="11.4">
      <c r="A58" s="239" t="s">
        <v>930</v>
      </c>
      <c r="B58" s="240">
        <f t="shared" si="23"/>
        <v>0</v>
      </c>
      <c r="C58" s="241"/>
      <c r="D58" s="241"/>
      <c r="E58" s="241">
        <f t="shared" si="24"/>
        <v>0</v>
      </c>
      <c r="F58" s="241"/>
      <c r="G58" s="241"/>
      <c r="H58" s="241"/>
      <c r="I58" s="241"/>
      <c r="J58" s="241"/>
      <c r="K58" s="241"/>
      <c r="L58" s="241"/>
      <c r="M58" s="241"/>
      <c r="N58" s="241"/>
      <c r="O58" s="241"/>
      <c r="P58" s="241"/>
      <c r="Q58" s="241"/>
      <c r="R58" s="241">
        <f t="shared" si="25"/>
        <v>0</v>
      </c>
      <c r="S58" s="242"/>
      <c r="T58" s="242"/>
      <c r="U58" s="237"/>
    </row>
    <row r="59" spans="1:21" s="238" customFormat="1" ht="11.4">
      <c r="A59" s="239" t="s">
        <v>931</v>
      </c>
      <c r="B59" s="240">
        <f t="shared" si="23"/>
        <v>0</v>
      </c>
      <c r="C59" s="241"/>
      <c r="D59" s="241"/>
      <c r="E59" s="241">
        <f t="shared" si="24"/>
        <v>0</v>
      </c>
      <c r="F59" s="241"/>
      <c r="G59" s="241"/>
      <c r="H59" s="241"/>
      <c r="I59" s="241"/>
      <c r="J59" s="241"/>
      <c r="K59" s="241"/>
      <c r="L59" s="241"/>
      <c r="M59" s="241"/>
      <c r="N59" s="241"/>
      <c r="O59" s="241"/>
      <c r="P59" s="241"/>
      <c r="Q59" s="241"/>
      <c r="R59" s="241">
        <f t="shared" si="25"/>
        <v>0</v>
      </c>
      <c r="S59" s="242"/>
      <c r="T59" s="242"/>
      <c r="U59" s="237"/>
    </row>
    <row r="60" spans="1:21" s="238" customFormat="1" ht="11.4">
      <c r="A60" s="246" t="s">
        <v>2371</v>
      </c>
      <c r="B60" s="240">
        <f t="shared" si="23"/>
        <v>10000</v>
      </c>
      <c r="C60" s="241">
        <f>[1]EVERYTHING!$I$66</f>
        <v>10000</v>
      </c>
      <c r="D60" s="241"/>
      <c r="E60" s="241">
        <f t="shared" si="24"/>
        <v>10000</v>
      </c>
      <c r="F60" s="241"/>
      <c r="G60" s="241"/>
      <c r="H60" s="241"/>
      <c r="I60" s="241"/>
      <c r="J60" s="241"/>
      <c r="K60" s="241"/>
      <c r="L60" s="241"/>
      <c r="M60" s="241"/>
      <c r="N60" s="241"/>
      <c r="O60" s="241"/>
      <c r="P60" s="241"/>
      <c r="Q60" s="241"/>
      <c r="R60" s="241">
        <f t="shared" si="25"/>
        <v>10000</v>
      </c>
      <c r="S60" s="242"/>
      <c r="T60" s="242"/>
      <c r="U60" s="237"/>
    </row>
    <row r="61" spans="1:21" s="238" customFormat="1" ht="13.95" customHeight="1">
      <c r="A61" s="243" t="s">
        <v>500</v>
      </c>
      <c r="B61" s="240">
        <f>SUM(C61:D61)</f>
        <v>30000</v>
      </c>
      <c r="C61" s="240">
        <f t="shared" ref="C61:R61" si="26">SUM(C55:C60)</f>
        <v>30000</v>
      </c>
      <c r="D61" s="240">
        <f t="shared" si="26"/>
        <v>0</v>
      </c>
      <c r="E61" s="240">
        <f t="shared" si="26"/>
        <v>30000</v>
      </c>
      <c r="F61" s="240">
        <f t="shared" si="26"/>
        <v>0</v>
      </c>
      <c r="G61" s="240">
        <f t="shared" si="26"/>
        <v>0</v>
      </c>
      <c r="H61" s="240">
        <f t="shared" si="26"/>
        <v>0</v>
      </c>
      <c r="I61" s="240">
        <f t="shared" si="26"/>
        <v>0</v>
      </c>
      <c r="J61" s="240">
        <f t="shared" si="26"/>
        <v>0</v>
      </c>
      <c r="K61" s="240">
        <f t="shared" si="26"/>
        <v>0</v>
      </c>
      <c r="L61" s="240">
        <f t="shared" si="26"/>
        <v>0</v>
      </c>
      <c r="M61" s="240">
        <f t="shared" si="26"/>
        <v>0</v>
      </c>
      <c r="N61" s="240">
        <f t="shared" si="26"/>
        <v>0</v>
      </c>
      <c r="O61" s="240">
        <f t="shared" si="26"/>
        <v>0</v>
      </c>
      <c r="P61" s="240">
        <f t="shared" si="26"/>
        <v>0</v>
      </c>
      <c r="Q61" s="240">
        <f t="shared" si="26"/>
        <v>0</v>
      </c>
      <c r="R61" s="240">
        <f t="shared" si="26"/>
        <v>30000</v>
      </c>
      <c r="S61" s="242"/>
      <c r="T61" s="242"/>
      <c r="U61" s="237"/>
    </row>
    <row r="62" spans="1:21" s="238" customFormat="1" ht="11.4">
      <c r="A62" s="249" t="s">
        <v>501</v>
      </c>
      <c r="B62" s="240">
        <f>SUM(C62:D62)</f>
        <v>31197134.035846371</v>
      </c>
      <c r="C62" s="240">
        <f t="shared" ref="C62:R62" si="27">SUM(C8+C11+C13+C14+C15+C26+C27+C38+C42+C43+C53+C61)</f>
        <v>31197134.035846371</v>
      </c>
      <c r="D62" s="240">
        <f t="shared" si="27"/>
        <v>0</v>
      </c>
      <c r="E62" s="240">
        <f t="shared" si="27"/>
        <v>9831806.0358463712</v>
      </c>
      <c r="F62" s="240">
        <f t="shared" si="27"/>
        <v>17414328</v>
      </c>
      <c r="G62" s="240">
        <f t="shared" si="27"/>
        <v>2600000</v>
      </c>
      <c r="H62" s="240">
        <f t="shared" si="27"/>
        <v>400000</v>
      </c>
      <c r="I62" s="240">
        <f t="shared" si="27"/>
        <v>150000</v>
      </c>
      <c r="J62" s="240">
        <f t="shared" si="27"/>
        <v>800000</v>
      </c>
      <c r="K62" s="240">
        <f t="shared" si="27"/>
        <v>1000</v>
      </c>
      <c r="L62" s="240">
        <f t="shared" si="27"/>
        <v>0</v>
      </c>
      <c r="M62" s="240">
        <f t="shared" si="27"/>
        <v>0</v>
      </c>
      <c r="N62" s="240">
        <f t="shared" si="27"/>
        <v>0</v>
      </c>
      <c r="O62" s="240">
        <f t="shared" si="27"/>
        <v>0</v>
      </c>
      <c r="P62" s="240">
        <f t="shared" si="27"/>
        <v>0</v>
      </c>
      <c r="Q62" s="240">
        <f t="shared" si="27"/>
        <v>0</v>
      </c>
      <c r="R62" s="240">
        <f t="shared" si="27"/>
        <v>31197134.035846371</v>
      </c>
      <c r="S62" s="240">
        <f>SUM(S10+S13+S14+S15+S26+S27+S38+S42+S43+S53)</f>
        <v>16641775.103198867</v>
      </c>
      <c r="T62" s="240">
        <f>SUM(T11+T13+T14+T15+T26+T27+T38+T42+T43+T53)</f>
        <v>13925000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f>[1]EVERYTHING!$I$70</f>
        <v>50000</v>
      </c>
      <c r="D64" s="241"/>
      <c r="E64" s="241">
        <f t="shared" ref="E64:E68" si="28">B64-SUM(F64:Q64)</f>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1954</v>
      </c>
      <c r="B65" s="240">
        <f>SUM(C65+D65)</f>
        <v>0</v>
      </c>
      <c r="C65" s="241"/>
      <c r="D65" s="241"/>
      <c r="E65" s="241">
        <f t="shared" si="28"/>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0</v>
      </c>
      <c r="C66" s="241"/>
      <c r="D66" s="241"/>
      <c r="E66" s="241">
        <f t="shared" si="28"/>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f t="shared" si="28"/>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2372</v>
      </c>
      <c r="B68" s="240">
        <f>SUM(C68+D68)</f>
        <v>25000</v>
      </c>
      <c r="C68" s="241">
        <f>[1]EVERYTHING!$I$72</f>
        <v>25000</v>
      </c>
      <c r="D68" s="241"/>
      <c r="E68" s="241">
        <f t="shared" si="28"/>
        <v>25000</v>
      </c>
      <c r="F68" s="241"/>
      <c r="G68" s="241"/>
      <c r="H68" s="241"/>
      <c r="I68" s="241"/>
      <c r="J68" s="241"/>
      <c r="K68" s="241"/>
      <c r="L68" s="241"/>
      <c r="M68" s="241"/>
      <c r="N68" s="241"/>
      <c r="O68" s="241"/>
      <c r="P68" s="241"/>
      <c r="Q68" s="241"/>
      <c r="R68" s="241">
        <f>SUM(E68:Q68)</f>
        <v>25000</v>
      </c>
      <c r="S68" s="241">
        <f>R68</f>
        <v>25000</v>
      </c>
      <c r="T68" s="241"/>
      <c r="U68" s="237"/>
    </row>
    <row r="69" spans="1:21" s="238" customFormat="1">
      <c r="A69" s="243" t="s">
        <v>1957</v>
      </c>
      <c r="B69" s="240">
        <f>SUM(C69:D69)</f>
        <v>75000</v>
      </c>
      <c r="C69" s="240">
        <f>SUM(C63:C68)</f>
        <v>75000</v>
      </c>
      <c r="D69" s="240">
        <f>SUM(D63:D68)</f>
        <v>0</v>
      </c>
      <c r="E69" s="240">
        <f t="shared" ref="E69:T69" si="29">SUM(E64:E68)</f>
        <v>75000</v>
      </c>
      <c r="F69" s="240">
        <f t="shared" si="29"/>
        <v>0</v>
      </c>
      <c r="G69" s="240">
        <f t="shared" si="29"/>
        <v>0</v>
      </c>
      <c r="H69" s="240">
        <f t="shared" si="29"/>
        <v>0</v>
      </c>
      <c r="I69" s="240">
        <f t="shared" si="29"/>
        <v>0</v>
      </c>
      <c r="J69" s="240">
        <f t="shared" si="29"/>
        <v>0</v>
      </c>
      <c r="K69" s="240">
        <f t="shared" si="29"/>
        <v>0</v>
      </c>
      <c r="L69" s="240">
        <f t="shared" si="29"/>
        <v>0</v>
      </c>
      <c r="M69" s="240">
        <f t="shared" si="29"/>
        <v>0</v>
      </c>
      <c r="N69" s="240">
        <f t="shared" si="29"/>
        <v>0</v>
      </c>
      <c r="O69" s="240">
        <f t="shared" si="29"/>
        <v>0</v>
      </c>
      <c r="P69" s="240">
        <f t="shared" si="29"/>
        <v>0</v>
      </c>
      <c r="Q69" s="240">
        <f t="shared" si="29"/>
        <v>0</v>
      </c>
      <c r="R69" s="240">
        <f t="shared" si="29"/>
        <v>75000</v>
      </c>
      <c r="S69" s="244">
        <f t="shared" si="29"/>
        <v>75000</v>
      </c>
      <c r="T69" s="244">
        <f t="shared" si="29"/>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30">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30"/>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76000</v>
      </c>
      <c r="C73" s="241">
        <f>[1]EVERYTHING!$H$77</f>
        <v>76000</v>
      </c>
      <c r="D73" s="241"/>
      <c r="E73" s="241">
        <f t="shared" si="30"/>
        <v>76000</v>
      </c>
      <c r="F73" s="241"/>
      <c r="G73" s="241"/>
      <c r="H73" s="241"/>
      <c r="I73" s="241"/>
      <c r="J73" s="241"/>
      <c r="K73" s="241"/>
      <c r="L73" s="241"/>
      <c r="M73" s="241"/>
      <c r="N73" s="241"/>
      <c r="O73" s="241"/>
      <c r="P73" s="241"/>
      <c r="Q73" s="241"/>
      <c r="R73" s="241">
        <f>SUM(E73:Q73)</f>
        <v>76000</v>
      </c>
      <c r="S73" s="242"/>
      <c r="T73" s="242"/>
      <c r="U73" s="237"/>
    </row>
    <row r="74" spans="1:21" s="238" customFormat="1" ht="11.4">
      <c r="A74" s="239" t="s">
        <v>288</v>
      </c>
      <c r="B74" s="240">
        <f>SUM(C74+D74)</f>
        <v>382802</v>
      </c>
      <c r="C74" s="241">
        <f>[1]EVERYTHING!$H$75+75000</f>
        <v>382802</v>
      </c>
      <c r="D74" s="241"/>
      <c r="E74" s="241">
        <f t="shared" si="30"/>
        <v>382802</v>
      </c>
      <c r="F74" s="241"/>
      <c r="G74" s="241"/>
      <c r="H74" s="241"/>
      <c r="I74" s="241"/>
      <c r="J74" s="241"/>
      <c r="K74" s="241"/>
      <c r="L74" s="241"/>
      <c r="M74" s="241"/>
      <c r="N74" s="241"/>
      <c r="O74" s="241"/>
      <c r="P74" s="241"/>
      <c r="Q74" s="241"/>
      <c r="R74" s="241">
        <f>SUM(E74:Q74)</f>
        <v>382802</v>
      </c>
      <c r="S74" s="242"/>
      <c r="T74" s="242"/>
      <c r="U74" s="237"/>
    </row>
    <row r="75" spans="1:21" s="238" customFormat="1" ht="11.4">
      <c r="A75" s="246" t="s">
        <v>2373</v>
      </c>
      <c r="B75" s="240">
        <f>SUM(C75+D75)</f>
        <v>90000</v>
      </c>
      <c r="C75" s="241">
        <f>[1]EVERYTHING!$H$78</f>
        <v>90000</v>
      </c>
      <c r="D75" s="241"/>
      <c r="E75" s="241">
        <f t="shared" si="30"/>
        <v>90000</v>
      </c>
      <c r="F75" s="241"/>
      <c r="G75" s="241"/>
      <c r="H75" s="241"/>
      <c r="I75" s="241"/>
      <c r="J75" s="241"/>
      <c r="K75" s="241"/>
      <c r="L75" s="241"/>
      <c r="M75" s="241"/>
      <c r="N75" s="241"/>
      <c r="O75" s="241"/>
      <c r="P75" s="241"/>
      <c r="Q75" s="241"/>
      <c r="R75" s="241">
        <f>SUM(E75:Q75)</f>
        <v>90000</v>
      </c>
      <c r="S75" s="242"/>
      <c r="T75" s="242"/>
      <c r="U75" s="237"/>
    </row>
    <row r="76" spans="1:21" s="238" customFormat="1">
      <c r="A76" s="243" t="s">
        <v>289</v>
      </c>
      <c r="B76" s="240">
        <f>SUM(C76:D76)</f>
        <v>548802</v>
      </c>
      <c r="C76" s="240">
        <f t="shared" ref="C76:Q76" si="31">SUM(C71:C75)</f>
        <v>548802</v>
      </c>
      <c r="D76" s="240">
        <f t="shared" si="31"/>
        <v>0</v>
      </c>
      <c r="E76" s="240">
        <f>SUM(E71:E75)</f>
        <v>548802</v>
      </c>
      <c r="F76" s="240">
        <f>SUM(F71:F75)</f>
        <v>0</v>
      </c>
      <c r="G76" s="240">
        <f>SUM(G71:G75)</f>
        <v>0</v>
      </c>
      <c r="H76" s="240">
        <f t="shared" si="31"/>
        <v>0</v>
      </c>
      <c r="I76" s="240">
        <f t="shared" si="31"/>
        <v>0</v>
      </c>
      <c r="J76" s="240">
        <f t="shared" si="31"/>
        <v>0</v>
      </c>
      <c r="K76" s="240">
        <f t="shared" si="31"/>
        <v>0</v>
      </c>
      <c r="L76" s="240">
        <f t="shared" si="31"/>
        <v>0</v>
      </c>
      <c r="M76" s="240">
        <f t="shared" si="31"/>
        <v>0</v>
      </c>
      <c r="N76" s="240">
        <f t="shared" si="31"/>
        <v>0</v>
      </c>
      <c r="O76" s="240">
        <f t="shared" si="31"/>
        <v>0</v>
      </c>
      <c r="P76" s="240">
        <f t="shared" si="31"/>
        <v>0</v>
      </c>
      <c r="Q76" s="240">
        <f t="shared" si="31"/>
        <v>0</v>
      </c>
      <c r="R76" s="240">
        <f>SUM(R71:R75)</f>
        <v>548802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3744146.25</v>
      </c>
      <c r="C78" s="241">
        <f>[1]EVERYTHING!$H$82</f>
        <v>3744146.25</v>
      </c>
      <c r="D78" s="241"/>
      <c r="E78" s="241">
        <f t="shared" ref="E78:E79" si="32">B78-SUM(F78:Q78)</f>
        <v>3744146.25</v>
      </c>
      <c r="F78" s="241"/>
      <c r="G78" s="241"/>
      <c r="H78" s="241"/>
      <c r="I78" s="241"/>
      <c r="J78" s="241"/>
      <c r="K78" s="241"/>
      <c r="L78" s="241"/>
      <c r="M78" s="241"/>
      <c r="N78" s="241"/>
      <c r="O78" s="241"/>
      <c r="P78" s="241"/>
      <c r="Q78" s="241"/>
      <c r="R78" s="241">
        <f>SUM(E78:Q78)</f>
        <v>3744146.25</v>
      </c>
      <c r="S78" s="241">
        <f>R78</f>
        <v>3744146.25</v>
      </c>
      <c r="T78" s="241"/>
      <c r="U78" s="237"/>
    </row>
    <row r="79" spans="1:21" s="238" customFormat="1" ht="11.4">
      <c r="A79" s="239" t="s">
        <v>538</v>
      </c>
      <c r="B79" s="240">
        <f>SUM(C79+D79)</f>
        <v>1165757.6567523363</v>
      </c>
      <c r="C79" s="241">
        <f>[1]EVERYTHING!$H$94</f>
        <v>1165757.6567523363</v>
      </c>
      <c r="D79" s="241"/>
      <c r="E79" s="241">
        <f t="shared" si="32"/>
        <v>1165757.6567523363</v>
      </c>
      <c r="F79" s="241"/>
      <c r="G79" s="241"/>
      <c r="H79" s="241"/>
      <c r="I79" s="241"/>
      <c r="J79" s="241"/>
      <c r="K79" s="241"/>
      <c r="L79" s="241"/>
      <c r="M79" s="241"/>
      <c r="N79" s="241"/>
      <c r="O79" s="241"/>
      <c r="P79" s="241"/>
      <c r="Q79" s="241"/>
      <c r="R79" s="241">
        <f>SUM(E79:Q79)</f>
        <v>1165757.6567523363</v>
      </c>
      <c r="S79" s="241">
        <f>R79</f>
        <v>1165757.6567523363</v>
      </c>
      <c r="T79" s="241"/>
      <c r="U79" s="237"/>
    </row>
    <row r="80" spans="1:21" s="238" customFormat="1">
      <c r="A80" s="243" t="s">
        <v>1742</v>
      </c>
      <c r="B80" s="240">
        <f>SUM(C80:D80)</f>
        <v>4909903.9067523368</v>
      </c>
      <c r="C80" s="666">
        <f>SUM(C78:C79)</f>
        <v>4909903.9067523368</v>
      </c>
      <c r="D80" s="666">
        <f t="shared" ref="D80:R80" si="33">SUM(D78:D79)</f>
        <v>0</v>
      </c>
      <c r="E80" s="666">
        <f t="shared" si="33"/>
        <v>4909903.9067523368</v>
      </c>
      <c r="F80" s="666">
        <f t="shared" si="33"/>
        <v>0</v>
      </c>
      <c r="G80" s="666">
        <f t="shared" si="33"/>
        <v>0</v>
      </c>
      <c r="H80" s="666">
        <f t="shared" si="33"/>
        <v>0</v>
      </c>
      <c r="I80" s="666">
        <f t="shared" si="33"/>
        <v>0</v>
      </c>
      <c r="J80" s="666">
        <f t="shared" si="33"/>
        <v>0</v>
      </c>
      <c r="K80" s="666">
        <f t="shared" si="33"/>
        <v>0</v>
      </c>
      <c r="L80" s="666">
        <f t="shared" si="33"/>
        <v>0</v>
      </c>
      <c r="M80" s="666">
        <f t="shared" si="33"/>
        <v>0</v>
      </c>
      <c r="N80" s="666">
        <f t="shared" si="33"/>
        <v>0</v>
      </c>
      <c r="O80" s="666">
        <f t="shared" si="33"/>
        <v>0</v>
      </c>
      <c r="P80" s="666">
        <f t="shared" si="33"/>
        <v>0</v>
      </c>
      <c r="Q80" s="666">
        <f t="shared" si="33"/>
        <v>0</v>
      </c>
      <c r="R80" s="666">
        <f t="shared" si="33"/>
        <v>4909903.9067523368</v>
      </c>
      <c r="S80" s="666">
        <f>SUM(S78:S79)</f>
        <v>4909903.9067523368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122566.59116297383</v>
      </c>
      <c r="C82" s="241">
        <f>[1]EVERYTHING!$H$84</f>
        <v>122566.59116297383</v>
      </c>
      <c r="D82" s="241"/>
      <c r="E82" s="241">
        <f t="shared" ref="E82:E94" si="34">B82-SUM(F82:Q82)</f>
        <v>122566.59116297383</v>
      </c>
      <c r="F82" s="241"/>
      <c r="G82" s="241"/>
      <c r="H82" s="241"/>
      <c r="I82" s="241"/>
      <c r="J82" s="241"/>
      <c r="K82" s="241"/>
      <c r="L82" s="241"/>
      <c r="M82" s="241"/>
      <c r="N82" s="241"/>
      <c r="O82" s="241"/>
      <c r="P82" s="241"/>
      <c r="Q82" s="241"/>
      <c r="R82" s="241">
        <f>SUM(E82:Q82)</f>
        <v>122566.59116297383</v>
      </c>
      <c r="S82" s="242"/>
      <c r="T82" s="242"/>
      <c r="U82" s="237"/>
    </row>
    <row r="83" spans="1:21" s="238" customFormat="1" ht="11.4">
      <c r="A83" s="239" t="s">
        <v>516</v>
      </c>
      <c r="B83" s="240">
        <f t="shared" ref="B83:B93" si="35">SUM(C83+D83)</f>
        <v>9200</v>
      </c>
      <c r="C83" s="241">
        <f>[1]EVERYTHING!$H$90</f>
        <v>9200</v>
      </c>
      <c r="D83" s="241"/>
      <c r="E83" s="241">
        <f t="shared" si="34"/>
        <v>9200</v>
      </c>
      <c r="F83" s="241"/>
      <c r="G83" s="241"/>
      <c r="H83" s="241"/>
      <c r="I83" s="241"/>
      <c r="J83" s="241"/>
      <c r="K83" s="241"/>
      <c r="L83" s="241"/>
      <c r="M83" s="241"/>
      <c r="N83" s="241"/>
      <c r="O83" s="241"/>
      <c r="P83" s="241"/>
      <c r="Q83" s="241"/>
      <c r="R83" s="241">
        <f t="shared" ref="R83:R93" si="36">SUM(E83:Q83)</f>
        <v>9200</v>
      </c>
      <c r="S83" s="241">
        <f>R83</f>
        <v>9200</v>
      </c>
      <c r="T83" s="241"/>
      <c r="U83" s="237"/>
    </row>
    <row r="84" spans="1:21" s="238" customFormat="1" ht="11.4">
      <c r="A84" s="239" t="s">
        <v>517</v>
      </c>
      <c r="B84" s="240">
        <f t="shared" si="35"/>
        <v>1283938</v>
      </c>
      <c r="C84" s="241">
        <f>[1]EVERYTHING!$H$86</f>
        <v>1283938</v>
      </c>
      <c r="D84" s="241"/>
      <c r="E84" s="241">
        <f t="shared" si="34"/>
        <v>1283938</v>
      </c>
      <c r="F84" s="241"/>
      <c r="G84" s="241"/>
      <c r="H84" s="241"/>
      <c r="I84" s="241"/>
      <c r="J84" s="241"/>
      <c r="K84" s="241"/>
      <c r="L84" s="241"/>
      <c r="M84" s="241"/>
      <c r="N84" s="241"/>
      <c r="O84" s="241"/>
      <c r="P84" s="241"/>
      <c r="Q84" s="241"/>
      <c r="R84" s="241">
        <f t="shared" si="36"/>
        <v>1283938</v>
      </c>
      <c r="S84" s="241">
        <f t="shared" ref="S84:S86" si="37">R84</f>
        <v>1283938</v>
      </c>
      <c r="T84" s="241"/>
      <c r="U84" s="237"/>
    </row>
    <row r="85" spans="1:21" s="238" customFormat="1" ht="11.4">
      <c r="A85" s="239" t="s">
        <v>518</v>
      </c>
      <c r="B85" s="240">
        <f t="shared" si="35"/>
        <v>100000</v>
      </c>
      <c r="C85" s="241">
        <f>[1]EVERYTHING!$H$87</f>
        <v>100000</v>
      </c>
      <c r="D85" s="241"/>
      <c r="E85" s="241">
        <f t="shared" si="34"/>
        <v>100000</v>
      </c>
      <c r="F85" s="241"/>
      <c r="G85" s="241"/>
      <c r="H85" s="241"/>
      <c r="I85" s="241"/>
      <c r="J85" s="241"/>
      <c r="K85" s="241"/>
      <c r="L85" s="241"/>
      <c r="M85" s="241"/>
      <c r="N85" s="241"/>
      <c r="O85" s="241"/>
      <c r="P85" s="241"/>
      <c r="Q85" s="241"/>
      <c r="R85" s="241">
        <f t="shared" si="36"/>
        <v>100000</v>
      </c>
      <c r="S85" s="241">
        <f t="shared" si="37"/>
        <v>100000</v>
      </c>
      <c r="T85" s="241"/>
      <c r="U85" s="237"/>
    </row>
    <row r="86" spans="1:21" s="238" customFormat="1" ht="11.4">
      <c r="A86" s="239" t="s">
        <v>519</v>
      </c>
      <c r="B86" s="240">
        <f t="shared" si="35"/>
        <v>0</v>
      </c>
      <c r="C86" s="241"/>
      <c r="D86" s="241"/>
      <c r="E86" s="241">
        <f t="shared" si="34"/>
        <v>0</v>
      </c>
      <c r="F86" s="241"/>
      <c r="G86" s="241"/>
      <c r="H86" s="241"/>
      <c r="I86" s="241"/>
      <c r="J86" s="241"/>
      <c r="K86" s="241"/>
      <c r="L86" s="241"/>
      <c r="M86" s="241"/>
      <c r="N86" s="241"/>
      <c r="O86" s="241"/>
      <c r="P86" s="241"/>
      <c r="Q86" s="241"/>
      <c r="R86" s="241">
        <f t="shared" si="36"/>
        <v>0</v>
      </c>
      <c r="S86" s="241">
        <f t="shared" si="37"/>
        <v>0</v>
      </c>
      <c r="T86" s="241"/>
      <c r="U86" s="237"/>
    </row>
    <row r="87" spans="1:21" s="238" customFormat="1" ht="11.4">
      <c r="A87" s="239" t="s">
        <v>520</v>
      </c>
      <c r="B87" s="240">
        <f t="shared" si="35"/>
        <v>75000</v>
      </c>
      <c r="C87" s="241">
        <f>[1]EVERYTHING!$H$89</f>
        <v>75000</v>
      </c>
      <c r="D87" s="241"/>
      <c r="E87" s="241">
        <f t="shared" si="34"/>
        <v>75000</v>
      </c>
      <c r="F87" s="241"/>
      <c r="G87" s="241"/>
      <c r="H87" s="241"/>
      <c r="I87" s="241"/>
      <c r="J87" s="241"/>
      <c r="K87" s="241"/>
      <c r="L87" s="241"/>
      <c r="M87" s="241"/>
      <c r="N87" s="241"/>
      <c r="O87" s="241"/>
      <c r="P87" s="241"/>
      <c r="Q87" s="241"/>
      <c r="R87" s="241">
        <f t="shared" si="36"/>
        <v>75000</v>
      </c>
      <c r="S87" s="242"/>
      <c r="T87" s="242"/>
      <c r="U87" s="237"/>
    </row>
    <row r="88" spans="1:21" s="238" customFormat="1" ht="11.4">
      <c r="A88" s="239" t="s">
        <v>521</v>
      </c>
      <c r="B88" s="240">
        <f t="shared" si="35"/>
        <v>30000</v>
      </c>
      <c r="C88" s="241">
        <f>[1]EVERYTHING!$H$91</f>
        <v>30000</v>
      </c>
      <c r="D88" s="241"/>
      <c r="E88" s="241">
        <f t="shared" si="34"/>
        <v>30000</v>
      </c>
      <c r="F88" s="241"/>
      <c r="G88" s="241"/>
      <c r="H88" s="241"/>
      <c r="I88" s="241"/>
      <c r="J88" s="241"/>
      <c r="K88" s="241"/>
      <c r="L88" s="241"/>
      <c r="M88" s="241"/>
      <c r="N88" s="241"/>
      <c r="O88" s="241"/>
      <c r="P88" s="241"/>
      <c r="Q88" s="241"/>
      <c r="R88" s="241">
        <f t="shared" si="36"/>
        <v>30000</v>
      </c>
      <c r="S88" s="241">
        <f>R88</f>
        <v>30000</v>
      </c>
      <c r="T88" s="241"/>
      <c r="U88" s="237"/>
    </row>
    <row r="89" spans="1:21" s="238" customFormat="1" ht="11.4">
      <c r="A89" s="239" t="s">
        <v>522</v>
      </c>
      <c r="B89" s="240">
        <f t="shared" si="35"/>
        <v>10000</v>
      </c>
      <c r="C89" s="241">
        <f>[1]EVERYTHING!$H$88</f>
        <v>10000</v>
      </c>
      <c r="D89" s="241"/>
      <c r="E89" s="241">
        <f t="shared" si="34"/>
        <v>10000</v>
      </c>
      <c r="F89" s="241"/>
      <c r="G89" s="241"/>
      <c r="H89" s="241"/>
      <c r="I89" s="241"/>
      <c r="J89" s="241"/>
      <c r="K89" s="241"/>
      <c r="L89" s="241"/>
      <c r="M89" s="241"/>
      <c r="N89" s="241"/>
      <c r="O89" s="241"/>
      <c r="P89" s="241"/>
      <c r="Q89" s="241"/>
      <c r="R89" s="241">
        <f t="shared" si="36"/>
        <v>10000</v>
      </c>
      <c r="S89" s="241"/>
      <c r="T89" s="241"/>
      <c r="U89" s="237"/>
    </row>
    <row r="90" spans="1:21" s="238" customFormat="1" ht="11.4">
      <c r="A90" s="250" t="s">
        <v>1315</v>
      </c>
      <c r="B90" s="240">
        <f t="shared" si="35"/>
        <v>0</v>
      </c>
      <c r="C90" s="241"/>
      <c r="D90" s="241"/>
      <c r="E90" s="241">
        <f t="shared" si="34"/>
        <v>0</v>
      </c>
      <c r="F90" s="241"/>
      <c r="G90" s="241"/>
      <c r="H90" s="241"/>
      <c r="I90" s="241"/>
      <c r="J90" s="241"/>
      <c r="K90" s="241"/>
      <c r="L90" s="241"/>
      <c r="M90" s="241"/>
      <c r="N90" s="241"/>
      <c r="O90" s="241"/>
      <c r="P90" s="241"/>
      <c r="Q90" s="241"/>
      <c r="R90" s="241">
        <f t="shared" si="36"/>
        <v>0</v>
      </c>
      <c r="S90" s="241"/>
      <c r="T90" s="241"/>
      <c r="U90" s="237"/>
    </row>
    <row r="91" spans="1:21" s="238" customFormat="1" ht="11.4">
      <c r="A91" s="250" t="s">
        <v>1740</v>
      </c>
      <c r="B91" s="240">
        <f t="shared" si="35"/>
        <v>7975</v>
      </c>
      <c r="C91" s="241">
        <f>[1]EVERYTHING!$H$81</f>
        <v>7975</v>
      </c>
      <c r="D91" s="241"/>
      <c r="E91" s="241">
        <f t="shared" si="34"/>
        <v>7975</v>
      </c>
      <c r="F91" s="241"/>
      <c r="G91" s="241"/>
      <c r="H91" s="241"/>
      <c r="I91" s="241"/>
      <c r="J91" s="241"/>
      <c r="K91" s="241"/>
      <c r="L91" s="241"/>
      <c r="M91" s="241"/>
      <c r="N91" s="241"/>
      <c r="O91" s="241"/>
      <c r="P91" s="241"/>
      <c r="Q91" s="241"/>
      <c r="R91" s="241">
        <f t="shared" si="36"/>
        <v>7975</v>
      </c>
      <c r="S91" s="241">
        <f>R91</f>
        <v>7975</v>
      </c>
      <c r="T91" s="241"/>
      <c r="U91" s="237"/>
    </row>
    <row r="92" spans="1:21" s="238" customFormat="1" ht="11.4">
      <c r="A92" s="246" t="s">
        <v>2374</v>
      </c>
      <c r="B92" s="240">
        <f t="shared" si="35"/>
        <v>5000</v>
      </c>
      <c r="C92" s="241">
        <f>[1]EVERYTHING!$H$93</f>
        <v>5000</v>
      </c>
      <c r="D92" s="241"/>
      <c r="E92" s="241">
        <f t="shared" si="34"/>
        <v>5000</v>
      </c>
      <c r="F92" s="241"/>
      <c r="G92" s="241"/>
      <c r="H92" s="241"/>
      <c r="I92" s="241"/>
      <c r="J92" s="241"/>
      <c r="K92" s="241"/>
      <c r="L92" s="241"/>
      <c r="M92" s="241"/>
      <c r="N92" s="241"/>
      <c r="O92" s="241"/>
      <c r="P92" s="241"/>
      <c r="Q92" s="241"/>
      <c r="R92" s="241">
        <f t="shared" si="36"/>
        <v>5000</v>
      </c>
      <c r="S92" s="241">
        <f>R92</f>
        <v>5000</v>
      </c>
      <c r="T92" s="241"/>
      <c r="U92" s="237"/>
    </row>
    <row r="93" spans="1:21" s="238" customFormat="1" ht="11.4">
      <c r="A93" s="246" t="s">
        <v>533</v>
      </c>
      <c r="B93" s="240">
        <f t="shared" si="35"/>
        <v>0</v>
      </c>
      <c r="C93" s="241"/>
      <c r="D93" s="241"/>
      <c r="E93" s="241">
        <f t="shared" si="34"/>
        <v>0</v>
      </c>
      <c r="F93" s="241"/>
      <c r="G93" s="241"/>
      <c r="H93" s="241"/>
      <c r="I93" s="241"/>
      <c r="J93" s="241"/>
      <c r="K93" s="241"/>
      <c r="L93" s="241"/>
      <c r="M93" s="241"/>
      <c r="N93" s="241"/>
      <c r="O93" s="241"/>
      <c r="P93" s="241"/>
      <c r="Q93" s="241"/>
      <c r="R93" s="241">
        <f t="shared" si="36"/>
        <v>0</v>
      </c>
      <c r="S93" s="241"/>
      <c r="T93" s="241"/>
      <c r="U93" s="237"/>
    </row>
    <row r="94" spans="1:21" s="238" customFormat="1" ht="11.4">
      <c r="A94" s="246" t="s">
        <v>533</v>
      </c>
      <c r="B94" s="240">
        <f>SUM(C94+D94)</f>
        <v>0</v>
      </c>
      <c r="C94" s="241"/>
      <c r="D94" s="241"/>
      <c r="E94" s="241">
        <f t="shared" si="34"/>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1643679.5911629738</v>
      </c>
      <c r="C95" s="240">
        <f t="shared" ref="C95:R95" si="38">SUM(C82:C94)</f>
        <v>1643679.5911629738</v>
      </c>
      <c r="D95" s="240">
        <f t="shared" si="38"/>
        <v>0</v>
      </c>
      <c r="E95" s="240">
        <f t="shared" si="38"/>
        <v>1643679.5911629738</v>
      </c>
      <c r="F95" s="240">
        <f t="shared" si="38"/>
        <v>0</v>
      </c>
      <c r="G95" s="240">
        <f t="shared" si="38"/>
        <v>0</v>
      </c>
      <c r="H95" s="240">
        <f t="shared" si="38"/>
        <v>0</v>
      </c>
      <c r="I95" s="240">
        <f t="shared" si="38"/>
        <v>0</v>
      </c>
      <c r="J95" s="240">
        <f t="shared" si="38"/>
        <v>0</v>
      </c>
      <c r="K95" s="240">
        <f t="shared" si="38"/>
        <v>0</v>
      </c>
      <c r="L95" s="240">
        <f t="shared" si="38"/>
        <v>0</v>
      </c>
      <c r="M95" s="240">
        <f t="shared" si="38"/>
        <v>0</v>
      </c>
      <c r="N95" s="240">
        <f t="shared" si="38"/>
        <v>0</v>
      </c>
      <c r="O95" s="240">
        <f t="shared" si="38"/>
        <v>0</v>
      </c>
      <c r="P95" s="240">
        <f t="shared" si="38"/>
        <v>0</v>
      </c>
      <c r="Q95" s="240">
        <f t="shared" si="38"/>
        <v>0</v>
      </c>
      <c r="R95" s="240">
        <f t="shared" si="38"/>
        <v>1643679.5911629738</v>
      </c>
      <c r="S95" s="244">
        <f>SUM(S83:S86,S88:S94)</f>
        <v>1436113</v>
      </c>
      <c r="T95" s="240">
        <f>SUM(T83:T86,T88:T94)</f>
        <v>0</v>
      </c>
      <c r="U95" s="237"/>
    </row>
    <row r="96" spans="1:21" s="238" customFormat="1">
      <c r="A96" s="243" t="s">
        <v>524</v>
      </c>
      <c r="B96" s="240">
        <f>SUM(C96:D96)</f>
        <v>38374519.53376168</v>
      </c>
      <c r="C96" s="240">
        <f t="shared" ref="C96:R96" si="39">SUM(C62+C69+C76+C80+C95)</f>
        <v>38374519.53376168</v>
      </c>
      <c r="D96" s="240">
        <f t="shared" si="39"/>
        <v>0</v>
      </c>
      <c r="E96" s="240">
        <f t="shared" si="39"/>
        <v>17009191.53376168</v>
      </c>
      <c r="F96" s="240">
        <f t="shared" si="39"/>
        <v>17414328</v>
      </c>
      <c r="G96" s="240">
        <f t="shared" si="39"/>
        <v>2600000</v>
      </c>
      <c r="H96" s="240">
        <f t="shared" si="39"/>
        <v>400000</v>
      </c>
      <c r="I96" s="240">
        <f t="shared" si="39"/>
        <v>150000</v>
      </c>
      <c r="J96" s="240">
        <f t="shared" si="39"/>
        <v>800000</v>
      </c>
      <c r="K96" s="240">
        <f t="shared" si="39"/>
        <v>1000</v>
      </c>
      <c r="L96" s="240">
        <f t="shared" si="39"/>
        <v>0</v>
      </c>
      <c r="M96" s="240">
        <f t="shared" si="39"/>
        <v>0</v>
      </c>
      <c r="N96" s="240">
        <f t="shared" si="39"/>
        <v>0</v>
      </c>
      <c r="O96" s="240">
        <f t="shared" si="39"/>
        <v>0</v>
      </c>
      <c r="P96" s="240">
        <f t="shared" si="39"/>
        <v>0</v>
      </c>
      <c r="Q96" s="240">
        <f t="shared" si="39"/>
        <v>0</v>
      </c>
      <c r="R96" s="240">
        <f t="shared" si="39"/>
        <v>38374519.53376168</v>
      </c>
      <c r="S96" s="244">
        <f>SUM(+S62+S69+S80+S95)</f>
        <v>23062792.009951204</v>
      </c>
      <c r="T96" s="244">
        <f>SUM(T62+T69+T80+T95)</f>
        <v>13925000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2785000</v>
      </c>
      <c r="C98" s="241">
        <f>[1]EVERYTHING!$H$98</f>
        <v>2785000</v>
      </c>
      <c r="D98" s="241"/>
      <c r="E98" s="241">
        <f t="shared" ref="E98:E102" si="40">B98-SUM(F98:Q98)</f>
        <v>2785000</v>
      </c>
      <c r="F98" s="241"/>
      <c r="G98" s="241"/>
      <c r="H98" s="241"/>
      <c r="I98" s="241"/>
      <c r="J98" s="241"/>
      <c r="K98" s="241"/>
      <c r="L98" s="241"/>
      <c r="M98" s="241"/>
      <c r="N98" s="241"/>
      <c r="O98" s="241"/>
      <c r="P98" s="241"/>
      <c r="Q98" s="241"/>
      <c r="R98" s="241">
        <f>SUM(E98:Q98)</f>
        <v>2785000</v>
      </c>
      <c r="S98" s="241">
        <f>R98</f>
        <v>2785000</v>
      </c>
      <c r="T98" s="241"/>
      <c r="U98" s="237"/>
    </row>
    <row r="99" spans="1:21" s="238" customFormat="1" ht="11.4">
      <c r="A99" s="239" t="s">
        <v>1958</v>
      </c>
      <c r="B99" s="240">
        <f>SUM(C99+D99)</f>
        <v>15000</v>
      </c>
      <c r="C99" s="241">
        <f>[1]EVERYTHING!$H$99</f>
        <v>15000</v>
      </c>
      <c r="D99" s="241"/>
      <c r="E99" s="241">
        <f t="shared" si="40"/>
        <v>15000</v>
      </c>
      <c r="F99" s="241"/>
      <c r="G99" s="241"/>
      <c r="H99" s="241"/>
      <c r="I99" s="241"/>
      <c r="J99" s="241"/>
      <c r="K99" s="241"/>
      <c r="L99" s="241"/>
      <c r="M99" s="241"/>
      <c r="N99" s="241"/>
      <c r="O99" s="241"/>
      <c r="P99" s="241"/>
      <c r="Q99" s="241"/>
      <c r="R99" s="241">
        <f>SUM(E99:Q99)</f>
        <v>15000</v>
      </c>
      <c r="S99" s="241">
        <f>R99</f>
        <v>15000</v>
      </c>
      <c r="T99" s="241"/>
      <c r="U99" s="237"/>
    </row>
    <row r="100" spans="1:21" s="238" customFormat="1" ht="12" customHeight="1">
      <c r="A100" s="239" t="s">
        <v>527</v>
      </c>
      <c r="B100" s="240">
        <f>SUM(C100+D100)</f>
        <v>0</v>
      </c>
      <c r="C100" s="241"/>
      <c r="D100" s="241"/>
      <c r="E100" s="241">
        <f t="shared" si="40"/>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f t="shared" si="40"/>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f t="shared" si="40"/>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41">SUM(C98:C102)</f>
        <v>2800000</v>
      </c>
      <c r="D103" s="240">
        <f t="shared" si="41"/>
        <v>0</v>
      </c>
      <c r="E103" s="240">
        <f t="shared" si="41"/>
        <v>2800000</v>
      </c>
      <c r="F103" s="240">
        <f t="shared" si="41"/>
        <v>0</v>
      </c>
      <c r="G103" s="240">
        <f t="shared" si="41"/>
        <v>0</v>
      </c>
      <c r="H103" s="240">
        <f t="shared" si="41"/>
        <v>0</v>
      </c>
      <c r="I103" s="240">
        <f t="shared" si="41"/>
        <v>0</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2800000</v>
      </c>
      <c r="S103" s="244">
        <f t="shared" si="41"/>
        <v>2800000</v>
      </c>
      <c r="T103" s="244">
        <f t="shared" si="41"/>
        <v>0</v>
      </c>
      <c r="U103" s="237"/>
    </row>
    <row r="104" spans="1:21" s="238" customFormat="1">
      <c r="A104" s="243" t="s">
        <v>1156</v>
      </c>
      <c r="B104" s="244">
        <f>SUM(C104:D104)</f>
        <v>41174519.53376168</v>
      </c>
      <c r="C104" s="244">
        <f t="shared" ref="C104:R104" si="42">SUM(C96+C103)</f>
        <v>41174519.53376168</v>
      </c>
      <c r="D104" s="244">
        <f t="shared" si="42"/>
        <v>0</v>
      </c>
      <c r="E104" s="244">
        <f t="shared" si="42"/>
        <v>19809191.53376168</v>
      </c>
      <c r="F104" s="244">
        <f t="shared" si="42"/>
        <v>17414328</v>
      </c>
      <c r="G104" s="244">
        <f t="shared" si="42"/>
        <v>2600000</v>
      </c>
      <c r="H104" s="244">
        <f t="shared" si="42"/>
        <v>400000</v>
      </c>
      <c r="I104" s="244">
        <f t="shared" si="42"/>
        <v>150000</v>
      </c>
      <c r="J104" s="244">
        <f t="shared" si="42"/>
        <v>800000</v>
      </c>
      <c r="K104" s="244">
        <f t="shared" si="42"/>
        <v>1000</v>
      </c>
      <c r="L104" s="244">
        <f t="shared" si="42"/>
        <v>0</v>
      </c>
      <c r="M104" s="244">
        <f t="shared" si="42"/>
        <v>0</v>
      </c>
      <c r="N104" s="244">
        <f t="shared" si="42"/>
        <v>0</v>
      </c>
      <c r="O104" s="244">
        <f t="shared" si="42"/>
        <v>0</v>
      </c>
      <c r="P104" s="244">
        <f t="shared" si="42"/>
        <v>0</v>
      </c>
      <c r="Q104" s="244">
        <f t="shared" si="42"/>
        <v>0</v>
      </c>
      <c r="R104" s="240">
        <f t="shared" si="42"/>
        <v>41174519.53376168</v>
      </c>
      <c r="S104" s="244">
        <f>S96+S103</f>
        <v>25862792.009951204</v>
      </c>
      <c r="T104" s="244">
        <f>T96+T103</f>
        <v>13925000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25862792.009951204</v>
      </c>
      <c r="T106" s="244">
        <f>T104+T105</f>
        <v>13925000</v>
      </c>
      <c r="U106" s="256"/>
    </row>
    <row r="107" spans="1:21" s="258" customFormat="1">
      <c r="A107" s="257" t="s">
        <v>1107</v>
      </c>
      <c r="B107" s="252"/>
      <c r="C107" s="252"/>
      <c r="D107" s="252"/>
      <c r="E107" s="240">
        <f>Application!AO634</f>
        <v>19809191.53376168</v>
      </c>
      <c r="F107" s="240">
        <f>Application!AO621</f>
        <v>17414328</v>
      </c>
      <c r="G107" s="240">
        <f>Application!AO622</f>
        <v>2600000</v>
      </c>
      <c r="H107" s="240">
        <f>Application!AO623</f>
        <v>400000</v>
      </c>
      <c r="I107" s="240">
        <f>Application!AO624</f>
        <v>150000</v>
      </c>
      <c r="J107" s="240">
        <f>Application!AO625</f>
        <v>800000</v>
      </c>
      <c r="K107" s="240">
        <f>Application!AO626</f>
        <v>1000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90" t="s">
        <v>1291</v>
      </c>
      <c r="E122" s="1590"/>
      <c r="F122" s="1590"/>
      <c r="U122" s="256"/>
    </row>
    <row r="123" spans="1:21" s="253" customFormat="1" ht="11.4">
      <c r="A123" s="253" t="s">
        <v>1292</v>
      </c>
      <c r="B123" s="546"/>
      <c r="D123" s="1592"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7"/>
      <c r="E128" s="1587"/>
      <c r="F128" s="1587"/>
      <c r="G128" s="1587"/>
      <c r="H128" s="1587"/>
      <c r="I128" s="209"/>
      <c r="J128" s="1588"/>
      <c r="K128" s="1588"/>
      <c r="L128" s="209"/>
      <c r="M128" s="209"/>
      <c r="N128" s="209"/>
      <c r="O128" s="209"/>
      <c r="P128" s="209"/>
      <c r="Q128" s="209"/>
      <c r="R128" s="209"/>
      <c r="S128" s="209"/>
      <c r="U128" s="256"/>
    </row>
    <row r="129" spans="1:21" s="253" customFormat="1" ht="13.2">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3.2">
      <c r="A132" s="548"/>
      <c r="B132" s="209"/>
      <c r="C132" s="209"/>
      <c r="D132" s="1593" t="s">
        <v>1301</v>
      </c>
      <c r="E132" s="1593"/>
      <c r="F132" s="1593"/>
      <c r="G132" s="1593"/>
      <c r="H132" s="1593"/>
      <c r="I132" s="209"/>
      <c r="J132" s="1593" t="s">
        <v>1302</v>
      </c>
      <c r="K132" s="1593"/>
      <c r="L132" s="1593"/>
      <c r="M132" s="159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4"/>
      <c r="B138" s="1587"/>
      <c r="C138" s="1587"/>
      <c r="D138" s="352"/>
      <c r="E138" s="1588"/>
      <c r="F138" s="1588"/>
      <c r="G138" s="209"/>
      <c r="H138" s="209"/>
      <c r="I138" s="209"/>
      <c r="J138" s="209"/>
      <c r="K138" s="209"/>
      <c r="L138" s="209"/>
      <c r="M138" s="209"/>
      <c r="N138" s="209"/>
      <c r="O138" s="209"/>
      <c r="P138" s="209"/>
      <c r="Q138" s="209"/>
      <c r="R138" s="209"/>
      <c r="S138" s="209"/>
    </row>
    <row r="139" spans="1:21" ht="12" customHeight="1">
      <c r="A139" s="1591" t="s">
        <v>1304</v>
      </c>
      <c r="B139" s="1591"/>
      <c r="C139" s="159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22" sqref="AD22:AH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4" t="s">
        <v>1746</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2" t="str">
        <f>IF(T25=100%,'Sources and Basis Breakdown'!G2,'Sources and Basis Breakdown'!F2)</f>
        <v>70% PVC for New Const/
Rehabilitation
DDA/QCT
Building(s)</v>
      </c>
      <c r="U7" s="1602"/>
      <c r="V7" s="1602"/>
      <c r="W7" s="1602"/>
      <c r="X7" s="1602"/>
      <c r="Y7" s="1602" t="str">
        <f>IF(T25=100%,"",'Sources and Basis Breakdown'!G2)</f>
        <v>70% PVC for New Const/
Rehabilitation
NON-DDA/
NON-QCT Building(s)</v>
      </c>
      <c r="Z7" s="1602"/>
      <c r="AA7" s="1602"/>
      <c r="AB7" s="1602"/>
      <c r="AC7" s="1602"/>
      <c r="AD7" s="1602" t="str">
        <f>IF(T25=100%,'Sources and Basis Breakdown'!J2,'Sources and Basis Breakdown'!I2)</f>
        <v>30% PVC for Acquisition
DDA/QCT Building(s)</v>
      </c>
      <c r="AE7" s="1602"/>
      <c r="AF7" s="1602"/>
      <c r="AG7" s="1602"/>
      <c r="AH7" s="1602"/>
      <c r="AI7" s="1602" t="str">
        <f>IF(T25=100%,"",'Sources and Basis Breakdown'!J2)</f>
        <v>30% PVC for Acquisition
NON-DDA/
NON-QCT Building(s)</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508</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25862792.009951204</v>
      </c>
      <c r="U11" s="1619"/>
      <c r="V11" s="1619"/>
      <c r="W11" s="1619"/>
      <c r="X11" s="1619"/>
      <c r="Y11" s="1618">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13925000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1712</v>
      </c>
      <c r="D13" s="1629"/>
      <c r="E13" s="1629"/>
      <c r="F13" s="1629"/>
      <c r="G13" s="1629"/>
      <c r="H13" s="1629"/>
      <c r="I13" s="1629"/>
      <c r="J13" s="1629"/>
      <c r="K13" s="1629"/>
      <c r="L13" s="1629"/>
      <c r="M13" s="1629"/>
      <c r="N13" s="1629"/>
      <c r="O13" s="1629"/>
      <c r="P13" s="1629"/>
      <c r="Q13" s="1629"/>
      <c r="R13" s="1629"/>
      <c r="S13" s="1630"/>
      <c r="T13" s="1620"/>
      <c r="U13" s="1617"/>
      <c r="V13" s="1617"/>
      <c r="W13" s="1617"/>
      <c r="X13" s="1617"/>
      <c r="Y13" s="1620"/>
      <c r="Z13" s="1617"/>
      <c r="AA13" s="1617"/>
      <c r="AB13" s="1617"/>
      <c r="AC13" s="1617"/>
      <c r="AD13" s="1617"/>
      <c r="AE13" s="1617"/>
      <c r="AF13" s="1617"/>
      <c r="AG13" s="1617"/>
      <c r="AH13" s="1617"/>
      <c r="AI13" s="1617"/>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2.9" customHeight="1">
      <c r="B18" s="941"/>
      <c r="C18" s="1624" t="s">
        <v>1217</v>
      </c>
      <c r="D18" s="1624"/>
      <c r="E18" s="1624"/>
      <c r="F18" s="1624"/>
      <c r="G18" s="1624"/>
      <c r="H18" s="1624"/>
      <c r="I18" s="1624"/>
      <c r="J18" s="1624"/>
      <c r="K18" s="1624"/>
      <c r="L18" s="1624"/>
      <c r="M18" s="1624"/>
      <c r="N18" s="1624"/>
      <c r="O18" s="1624"/>
      <c r="P18" s="1624"/>
      <c r="Q18" s="1624"/>
      <c r="R18" s="1624"/>
      <c r="S18" s="1625"/>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2.9" customHeight="1">
      <c r="B19" s="484"/>
      <c r="C19" s="1624" t="s">
        <v>1217</v>
      </c>
      <c r="D19" s="1624"/>
      <c r="E19" s="1624"/>
      <c r="F19" s="1624"/>
      <c r="G19" s="1624"/>
      <c r="H19" s="1624"/>
      <c r="I19" s="1624"/>
      <c r="J19" s="1624"/>
      <c r="K19" s="1624"/>
      <c r="L19" s="1624"/>
      <c r="M19" s="1624"/>
      <c r="N19" s="1624"/>
      <c r="O19" s="1624"/>
      <c r="P19" s="1624"/>
      <c r="Q19" s="1624"/>
      <c r="R19" s="1624"/>
      <c r="S19" s="1625"/>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2.9" customHeight="1">
      <c r="B20" s="1106" t="s">
        <v>771</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1711</v>
      </c>
      <c r="C21" s="1107"/>
      <c r="D21" s="1107"/>
      <c r="E21" s="1107"/>
      <c r="F21" s="1107"/>
      <c r="G21" s="1107"/>
      <c r="H21" s="1107"/>
      <c r="I21" s="1107"/>
      <c r="J21" s="1107"/>
      <c r="K21" s="1107"/>
      <c r="L21" s="1107"/>
      <c r="M21" s="1107"/>
      <c r="N21" s="1107"/>
      <c r="O21" s="1107"/>
      <c r="P21" s="1107"/>
      <c r="Q21" s="1107"/>
      <c r="R21" s="1107"/>
      <c r="S21" s="1109"/>
      <c r="T21" s="1170">
        <f>ROUND([1]EVERYTHING!$I$123,0)</f>
        <v>6671213</v>
      </c>
      <c r="U21" s="1186"/>
      <c r="V21" s="1186"/>
      <c r="W21" s="1186"/>
      <c r="X21" s="1186"/>
      <c r="Y21" s="1170"/>
      <c r="Z21" s="1186"/>
      <c r="AA21" s="1186"/>
      <c r="AB21" s="1186"/>
      <c r="AC21" s="1186"/>
      <c r="AD21" s="1170">
        <f>AD11</f>
        <v>13925000</v>
      </c>
      <c r="AE21" s="1186"/>
      <c r="AF21" s="1186"/>
      <c r="AG21" s="1186"/>
      <c r="AH21" s="1186"/>
      <c r="AI21" s="1170"/>
      <c r="AJ21" s="1186"/>
      <c r="AK21" s="1186"/>
      <c r="AL21" s="1186"/>
      <c r="AM21" s="1186"/>
    </row>
    <row r="22" spans="1:39" ht="12.9" customHeight="1">
      <c r="B22" s="1106" t="s">
        <v>772</v>
      </c>
      <c r="C22" s="1107"/>
      <c r="D22" s="1107"/>
      <c r="E22" s="1107"/>
      <c r="F22" s="1107"/>
      <c r="G22" s="1107"/>
      <c r="H22" s="1107"/>
      <c r="I22" s="1107"/>
      <c r="J22" s="1107"/>
      <c r="K22" s="1107"/>
      <c r="L22" s="1107"/>
      <c r="M22" s="1107"/>
      <c r="N22" s="1107"/>
      <c r="O22" s="1107"/>
      <c r="P22" s="1107"/>
      <c r="Q22" s="1107"/>
      <c r="R22" s="1107"/>
      <c r="S22" s="1109"/>
      <c r="T22" s="1633">
        <f>(ABS(T20)+ABS(T21))*-1</f>
        <v>-6671213</v>
      </c>
      <c r="U22" s="1634"/>
      <c r="V22" s="1634"/>
      <c r="W22" s="1634"/>
      <c r="X22" s="1634"/>
      <c r="Y22" s="1633">
        <f t="shared" ref="Y22" si="0">(ABS(Y20)+ABS(Y21))*-1</f>
        <v>0</v>
      </c>
      <c r="Z22" s="1634"/>
      <c r="AA22" s="1634"/>
      <c r="AB22" s="1634"/>
      <c r="AC22" s="1634"/>
      <c r="AD22" s="1633">
        <f t="shared" ref="AD22" si="1">(ABS(AD20)+ABS(AD21))*-1</f>
        <v>-13925000</v>
      </c>
      <c r="AE22" s="1634"/>
      <c r="AF22" s="1634"/>
      <c r="AG22" s="1634"/>
      <c r="AH22" s="1634"/>
      <c r="AI22" s="1633">
        <f t="shared" ref="AI22" si="2">(ABS(AI20)+ABS(AI21))*-1</f>
        <v>0</v>
      </c>
      <c r="AJ22" s="1634"/>
      <c r="AK22" s="1634"/>
      <c r="AL22" s="1634"/>
      <c r="AM22" s="1634"/>
    </row>
    <row r="23" spans="1:39" ht="12.9" customHeight="1">
      <c r="B23" s="1106" t="s">
        <v>1905</v>
      </c>
      <c r="C23" s="1107"/>
      <c r="D23" s="1107"/>
      <c r="E23" s="1107"/>
      <c r="F23" s="1107"/>
      <c r="G23" s="1107"/>
      <c r="H23" s="1107"/>
      <c r="I23" s="1107"/>
      <c r="J23" s="1107"/>
      <c r="K23" s="1107"/>
      <c r="L23" s="1107"/>
      <c r="M23" s="1107"/>
      <c r="N23" s="1107"/>
      <c r="O23" s="1107"/>
      <c r="P23" s="1107"/>
      <c r="Q23" s="1107"/>
      <c r="R23" s="1107"/>
      <c r="S23" s="1109"/>
      <c r="T23" s="1599">
        <f>T11+T22</f>
        <v>19191579.009951204</v>
      </c>
      <c r="U23" s="1299"/>
      <c r="V23" s="1299"/>
      <c r="W23" s="1299"/>
      <c r="X23" s="1299"/>
      <c r="Y23" s="1599">
        <f>Y11+Y22</f>
        <v>0</v>
      </c>
      <c r="Z23" s="1299"/>
      <c r="AA23" s="1299"/>
      <c r="AB23" s="1299"/>
      <c r="AC23" s="1299"/>
      <c r="AD23" s="1599">
        <f>IF(AD11=AD21,0,AD11)</f>
        <v>0</v>
      </c>
      <c r="AE23" s="1299"/>
      <c r="AF23" s="1299"/>
      <c r="AG23" s="1299"/>
      <c r="AH23" s="1299"/>
      <c r="AI23" s="1599">
        <f>IF(AI11=AI21,0,AI11)</f>
        <v>0</v>
      </c>
      <c r="AJ23" s="1299"/>
      <c r="AK23" s="1299"/>
      <c r="AL23" s="1299"/>
      <c r="AM23" s="1299"/>
    </row>
    <row r="24" spans="1:39" ht="12.9" customHeight="1">
      <c r="B24" s="1106" t="s">
        <v>1218</v>
      </c>
      <c r="C24" s="1107"/>
      <c r="D24" s="1107"/>
      <c r="E24" s="1107"/>
      <c r="F24" s="1107"/>
      <c r="G24" s="1107"/>
      <c r="H24" s="1107"/>
      <c r="I24" s="1107"/>
      <c r="J24" s="1107"/>
      <c r="K24" s="1107"/>
      <c r="L24" s="1107"/>
      <c r="M24" s="1107"/>
      <c r="N24" s="1107"/>
      <c r="O24" s="1107"/>
      <c r="P24" s="1107"/>
      <c r="Q24" s="1107"/>
      <c r="R24" s="1107"/>
      <c r="S24" s="1109"/>
      <c r="T24" s="1600">
        <f>Application!AJ1020</f>
        <v>37610297</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1907</v>
      </c>
      <c r="C25" s="1641"/>
      <c r="D25" s="1641"/>
      <c r="E25" s="1641"/>
      <c r="F25" s="1641"/>
      <c r="G25" s="1641"/>
      <c r="H25" s="1641"/>
      <c r="I25" s="1641"/>
      <c r="J25" s="1641"/>
      <c r="K25" s="1641"/>
      <c r="L25" s="1641"/>
      <c r="M25" s="1641"/>
      <c r="N25" s="1641"/>
      <c r="O25" s="1641"/>
      <c r="P25" s="1641"/>
      <c r="Q25" s="1641"/>
      <c r="R25" s="1641"/>
      <c r="S25" s="1642"/>
      <c r="T25" s="1635">
        <f>IF(OR(AND(Application!T193="no",Application!T194="no",Application!T196="no",Application!Y211="no"),Application!T195="yes"),1,1.3)</f>
        <v>1.3</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774</v>
      </c>
      <c r="C26" s="1107"/>
      <c r="D26" s="1107"/>
      <c r="E26" s="1107"/>
      <c r="F26" s="1107"/>
      <c r="G26" s="1107"/>
      <c r="H26" s="1107"/>
      <c r="I26" s="1107"/>
      <c r="J26" s="1107"/>
      <c r="K26" s="1107"/>
      <c r="L26" s="1107"/>
      <c r="M26" s="1107"/>
      <c r="N26" s="1107"/>
      <c r="O26" s="1107"/>
      <c r="P26" s="1107"/>
      <c r="Q26" s="1107"/>
      <c r="R26" s="1107"/>
      <c r="S26" s="1109"/>
      <c r="T26" s="1094">
        <f>T23*T25</f>
        <v>24949052.712936565</v>
      </c>
      <c r="U26" s="1611"/>
      <c r="V26" s="1611"/>
      <c r="W26" s="1611"/>
      <c r="X26" s="1611"/>
      <c r="Y26" s="1094">
        <f>Y23*Y25</f>
        <v>0</v>
      </c>
      <c r="Z26" s="1611"/>
      <c r="AA26" s="1611"/>
      <c r="AB26" s="1611"/>
      <c r="AC26" s="1611"/>
      <c r="AD26" s="1094">
        <f>AD23*AD25</f>
        <v>0</v>
      </c>
      <c r="AE26" s="1611"/>
      <c r="AF26" s="1611"/>
      <c r="AG26" s="1611"/>
      <c r="AH26" s="1611"/>
      <c r="AI26" s="1094">
        <f>AI23*AI25</f>
        <v>0</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4">
        <f>IF(ISERROR((T26*T27)),0,(T26*T27))</f>
        <v>24949052.712936565</v>
      </c>
      <c r="U28" s="1611"/>
      <c r="V28" s="1611"/>
      <c r="W28" s="1611"/>
      <c r="X28" s="1611"/>
      <c r="Y28" s="1094">
        <f>IF(ISERROR((Y26*Y27)),0,(Y26*Y27))</f>
        <v>0</v>
      </c>
      <c r="Z28" s="1611"/>
      <c r="AA28" s="1611"/>
      <c r="AB28" s="1611"/>
      <c r="AC28" s="1611"/>
      <c r="AD28" s="1094">
        <f>IF(ISERROR((AD26*AD27)),0,(AD26*AD27))</f>
        <v>0</v>
      </c>
      <c r="AE28" s="1611"/>
      <c r="AF28" s="1611"/>
      <c r="AG28" s="1611"/>
      <c r="AH28" s="1611"/>
      <c r="AI28" s="1094">
        <f>IF(ISERROR((AI26*AI27)),0,(AI26*AI27))</f>
        <v>0</v>
      </c>
      <c r="AJ28" s="1611"/>
      <c r="AK28" s="1611"/>
      <c r="AL28" s="1611"/>
      <c r="AM28" s="1611"/>
    </row>
    <row r="29" spans="1:39" ht="12.9" customHeight="1">
      <c r="B29" s="1106" t="s">
        <v>623</v>
      </c>
      <c r="C29" s="1107"/>
      <c r="D29" s="1107"/>
      <c r="E29" s="1107"/>
      <c r="F29" s="1107"/>
      <c r="G29" s="1107"/>
      <c r="H29" s="1107"/>
      <c r="I29" s="1107"/>
      <c r="J29" s="1107"/>
      <c r="K29" s="1107"/>
      <c r="L29" s="1107"/>
      <c r="M29" s="1107"/>
      <c r="N29" s="1107"/>
      <c r="O29" s="1107"/>
      <c r="P29" s="1107"/>
      <c r="Q29" s="1107"/>
      <c r="R29" s="1107"/>
      <c r="S29" s="1109"/>
      <c r="T29" s="1600">
        <f>T28+Y28+AD28+AI28</f>
        <v>24949052.712936565</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613" t="s">
        <v>1906</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 customHeight="1">
      <c r="B31" s="1595" t="s">
        <v>1908</v>
      </c>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31" t="s">
        <v>41</v>
      </c>
      <c r="AE35" s="1231"/>
      <c r="AF35" s="1231"/>
      <c r="AG35" s="1231"/>
      <c r="AH35" s="1231"/>
    </row>
    <row r="36" spans="1:44" ht="12.9" customHeight="1">
      <c r="B36" s="204"/>
      <c r="X36" s="71"/>
      <c r="Y36" s="1602"/>
      <c r="Z36" s="1602"/>
      <c r="AA36" s="1602"/>
      <c r="AB36" s="1602"/>
      <c r="AC36" s="1602"/>
      <c r="AD36" s="1231"/>
      <c r="AE36" s="1231"/>
      <c r="AF36" s="1231"/>
      <c r="AG36" s="1231"/>
      <c r="AH36" s="123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1"/>
      <c r="AE37" s="1231"/>
      <c r="AF37" s="1231"/>
      <c r="AG37" s="1231"/>
      <c r="AH37" s="1231"/>
    </row>
    <row r="38" spans="1:44" ht="12.9"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24949052.712936565</v>
      </c>
      <c r="Z38" s="1299"/>
      <c r="AA38" s="1299"/>
      <c r="AB38" s="1299"/>
      <c r="AC38" s="1299"/>
      <c r="AD38" s="1299">
        <f>IF(T24&gt;=(T23+Y23+AD23+AI23),AD28+AI28,0)</f>
        <v>0</v>
      </c>
      <c r="AE38" s="1299"/>
      <c r="AF38" s="1299"/>
      <c r="AG38" s="1299"/>
      <c r="AH38" s="1299"/>
    </row>
    <row r="39" spans="1:44" ht="12.9" customHeight="1">
      <c r="B39" s="1106" t="s">
        <v>1815</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598">
        <v>0.09</v>
      </c>
      <c r="Z39" s="1598"/>
      <c r="AA39" s="1598"/>
      <c r="AB39" s="1598"/>
      <c r="AC39" s="1598"/>
      <c r="AD39" s="1598">
        <v>0.04</v>
      </c>
      <c r="AE39" s="1598"/>
      <c r="AF39" s="1598"/>
      <c r="AG39" s="1598"/>
      <c r="AH39" s="1598"/>
    </row>
    <row r="40" spans="1:44"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2245415</v>
      </c>
      <c r="Z40" s="1299"/>
      <c r="AA40" s="1299"/>
      <c r="AB40" s="1299"/>
      <c r="AC40" s="1299"/>
      <c r="AD40" s="1599">
        <f>ROUND(AD38*AD39,0)</f>
        <v>0</v>
      </c>
      <c r="AE40" s="1299"/>
      <c r="AF40" s="1299"/>
      <c r="AG40" s="1299"/>
      <c r="AH40" s="1299"/>
    </row>
    <row r="41" spans="1:44" ht="12.9"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IF(Application!Y211="No",'Basis &amp; Credits'!AR42,AR43)</f>
        <v>2245415</v>
      </c>
      <c r="Z41" s="1601"/>
      <c r="AA41" s="1601"/>
      <c r="AB41" s="1601"/>
      <c r="AC41" s="1601"/>
      <c r="AD41" s="1601"/>
      <c r="AE41" s="1601"/>
      <c r="AF41" s="1601"/>
      <c r="AG41" s="1601"/>
      <c r="AH41" s="1599"/>
    </row>
    <row r="42" spans="1:44" ht="12.9" customHeight="1">
      <c r="A42" s="3"/>
      <c r="B42" s="1610" t="s">
        <v>1816</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c r="AR42">
        <f>IF((Y40+AD40)&gt;2500000,2500000,Y40+AD40)</f>
        <v>2245415</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2245415</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2">
        <f>'Sources and Uses Budget'!B104-(MAX(IF('Sources and Uses Budget'!B15="",0,'Sources and Uses Budget'!B15),IF(Application!AG387="",0,Application!AG387)))</f>
        <v>41174519.53376168</v>
      </c>
      <c r="AC46" s="1233"/>
      <c r="AD46" s="1233"/>
      <c r="AE46" s="1233"/>
      <c r="AF46" s="1234"/>
    </row>
    <row r="47" spans="1:44" ht="12.9" customHeight="1">
      <c r="D47" s="3" t="s">
        <v>837</v>
      </c>
      <c r="AB47" s="1232">
        <f>Application!AO633-MAX(IF('Sources and Uses Budget'!B15="",0,'Sources and Uses Budget'!B15),IF(Application!AG387="",0,Application!AG387))</f>
        <v>21365328</v>
      </c>
      <c r="AC47" s="1233"/>
      <c r="AD47" s="1233"/>
      <c r="AE47" s="1233"/>
      <c r="AF47" s="1234"/>
    </row>
    <row r="48" spans="1:44" ht="12.9" customHeight="1">
      <c r="D48" s="3" t="s">
        <v>378</v>
      </c>
      <c r="AB48" s="1232">
        <f>AB46-AB47</f>
        <v>19809191.53376168</v>
      </c>
      <c r="AC48" s="1233"/>
      <c r="AD48" s="1233"/>
      <c r="AE48" s="1233"/>
      <c r="AF48" s="1234"/>
    </row>
    <row r="49" spans="1:40" ht="12.9" customHeight="1">
      <c r="D49" s="3" t="s">
        <v>872</v>
      </c>
      <c r="AA49" s="34"/>
      <c r="AB49" s="1605">
        <f>([1]EVERYTHING!$H$129-[1]EVERYTHING!$H$113)/([1]EVERYTHING!$H$126*10)</f>
        <v>0.88220633970922124</v>
      </c>
      <c r="AC49" s="1606"/>
      <c r="AD49" s="1606"/>
      <c r="AE49" s="1606"/>
      <c r="AF49" s="1607"/>
    </row>
    <row r="50" spans="1:40" s="323" customFormat="1" ht="12.9" customHeight="1">
      <c r="A50"/>
      <c r="B50"/>
      <c r="C50"/>
      <c r="D50"/>
      <c r="E50" s="1612" t="s">
        <v>1951</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22454148</v>
      </c>
      <c r="AC53" s="1233"/>
      <c r="AD53" s="1233"/>
      <c r="AE53" s="1233"/>
      <c r="AF53" s="1234"/>
    </row>
    <row r="54" spans="1:40" ht="12.9" customHeight="1">
      <c r="D54" s="3" t="s">
        <v>561</v>
      </c>
      <c r="AB54" s="1232">
        <f>(AB53/10)</f>
        <v>2245414.7999999998</v>
      </c>
      <c r="AC54" s="1233"/>
      <c r="AD54" s="1233"/>
      <c r="AE54" s="1233"/>
      <c r="AF54" s="1234"/>
    </row>
    <row r="55" spans="1:40" ht="12.9" customHeight="1">
      <c r="D55" s="3" t="s">
        <v>341</v>
      </c>
      <c r="AB55" s="1232">
        <f>(IF((Y41&lt;AB54),Y41,AB54))</f>
        <v>2245414.7999999998</v>
      </c>
      <c r="AC55" s="1233"/>
      <c r="AD55" s="1233"/>
      <c r="AE55" s="1233"/>
      <c r="AF55" s="1234"/>
    </row>
    <row r="56" spans="1:40" ht="12.9" customHeight="1">
      <c r="D56" s="3" t="s">
        <v>107</v>
      </c>
      <c r="AB56" s="1232">
        <f>ROUND((10*AB55*AB49),0)</f>
        <v>19809192</v>
      </c>
      <c r="AC56" s="1233"/>
      <c r="AD56" s="1233"/>
      <c r="AE56" s="1233"/>
      <c r="AF56" s="1234"/>
    </row>
    <row r="57" spans="1:40" ht="12.9" customHeight="1">
      <c r="D57" s="3"/>
      <c r="AB57" s="276"/>
      <c r="AC57" s="276"/>
      <c r="AD57" s="276"/>
      <c r="AE57" s="276"/>
      <c r="AF57" s="276"/>
    </row>
    <row r="58" spans="1:40" ht="12.9" customHeight="1">
      <c r="D58" s="3" t="s">
        <v>106</v>
      </c>
      <c r="AB58" s="1303">
        <f>AB48-AB56</f>
        <v>-0.46623831987380981</v>
      </c>
      <c r="AC58" s="1303"/>
      <c r="AD58" s="1303"/>
      <c r="AE58" s="1303"/>
      <c r="AF58" s="1303"/>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9" t="s">
        <v>298</v>
      </c>
      <c r="Z62" s="1549"/>
      <c r="AA62" s="1549"/>
      <c r="AB62" s="1549"/>
      <c r="AC62" s="1549"/>
      <c r="AD62" s="1549" t="s">
        <v>41</v>
      </c>
      <c r="AE62" s="1549"/>
      <c r="AF62" s="1549"/>
      <c r="AG62" s="1549"/>
      <c r="AH62" s="154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0</v>
      </c>
      <c r="Z63" s="1608"/>
      <c r="AA63" s="1608"/>
      <c r="AB63" s="1608"/>
      <c r="AC63" s="1608"/>
      <c r="AD63" s="1299">
        <f>IF(AND(T25=1.3,Application!D214="At-Risk"),AI28,IF(Application!D214&lt;&gt;"At-Risk",0,AD28))</f>
        <v>0</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21.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f>IF(Application!W198="Yes",95%, 30%)</f>
        <v>0.3</v>
      </c>
      <c r="Z66" s="1604"/>
      <c r="AA66" s="1604"/>
      <c r="AB66" s="1604"/>
      <c r="AC66" s="1604"/>
      <c r="AD66" s="1604">
        <f>IF(Application!W198="Yes",95%, 13%)</f>
        <v>0.13</v>
      </c>
      <c r="AE66" s="1604"/>
      <c r="AF66" s="1604"/>
      <c r="AG66" s="1604"/>
      <c r="AH66" s="1604"/>
    </row>
    <row r="67" spans="1:34" ht="12.9" customHeight="1">
      <c r="C67" s="3"/>
      <c r="D67" s="3" t="s">
        <v>941</v>
      </c>
      <c r="Y67" s="1299">
        <f>ROUND(Y63*Y66,0)</f>
        <v>0</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5"/>
      <c r="AC70" s="1606"/>
      <c r="AD70" s="1606"/>
      <c r="AE70" s="1606"/>
      <c r="AF70" s="1607"/>
    </row>
    <row r="71" spans="1:34" ht="12.9" customHeight="1">
      <c r="A71" s="3"/>
      <c r="C71" s="3"/>
      <c r="D71" s="3"/>
      <c r="E71" s="1609" t="s">
        <v>2248</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303">
        <f>AB48-(AB56+AB77)</f>
        <v>-0.46623831987380981</v>
      </c>
      <c r="AC79" s="1303"/>
      <c r="AD79" s="1303"/>
      <c r="AE79" s="1303"/>
      <c r="AF79" s="1303"/>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9" workbookViewId="0">
      <selection activeCell="B39" sqref="B3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6" t="s">
        <v>1823</v>
      </c>
      <c r="B1" s="1647"/>
      <c r="C1" s="1647"/>
      <c r="D1" s="1647"/>
      <c r="E1" s="1647"/>
      <c r="F1" s="1647"/>
      <c r="G1" s="1647"/>
      <c r="H1" s="1647"/>
      <c r="I1" s="1647"/>
      <c r="J1" s="1648"/>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15000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15000</v>
      </c>
      <c r="C8" s="584">
        <f>SUM(C4:C7)</f>
        <v>0</v>
      </c>
      <c r="D8" s="584">
        <f>SUM(D4:D7)</f>
        <v>0</v>
      </c>
      <c r="E8" s="586"/>
      <c r="F8" s="586"/>
      <c r="G8" s="586"/>
      <c r="H8" s="586"/>
      <c r="I8" s="586"/>
      <c r="J8" s="586"/>
      <c r="K8" s="579"/>
    </row>
    <row r="9" spans="1:11" s="253" customFormat="1" ht="11.4">
      <c r="A9" s="239" t="s">
        <v>1720</v>
      </c>
      <c r="B9" s="584">
        <f>'Sources and Uses Budget'!C9</f>
        <v>13925000</v>
      </c>
      <c r="C9" s="585"/>
      <c r="D9" s="585"/>
      <c r="E9" s="586"/>
      <c r="F9" s="586"/>
      <c r="G9" s="586"/>
      <c r="H9" s="584">
        <f>'Sources and Uses Budget'!T9</f>
        <v>13925000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13925000</v>
      </c>
      <c r="C11" s="584">
        <f>SUM(C9:C10)</f>
        <v>0</v>
      </c>
      <c r="D11" s="584">
        <f>SUM(D9:D10)</f>
        <v>0</v>
      </c>
      <c r="E11" s="586"/>
      <c r="F11" s="586"/>
      <c r="G11" s="586"/>
      <c r="H11" s="584">
        <f>'Sources and Uses Budget'!T11</f>
        <v>13925000</v>
      </c>
      <c r="I11" s="584">
        <f>SUM(I9:I10)</f>
        <v>0</v>
      </c>
      <c r="J11" s="584">
        <f>SUM(J9:J10)</f>
        <v>0</v>
      </c>
      <c r="K11" s="579"/>
    </row>
    <row r="12" spans="1:11" s="253" customFormat="1">
      <c r="A12" s="243" t="s">
        <v>711</v>
      </c>
      <c r="B12" s="584">
        <f>'Sources and Uses Budget'!C12</f>
        <v>13940000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350000</v>
      </c>
      <c r="C17" s="585"/>
      <c r="D17" s="585"/>
      <c r="E17" s="584">
        <f>'Sources and Uses Budget'!S17</f>
        <v>350000</v>
      </c>
      <c r="F17" s="585"/>
      <c r="G17" s="585"/>
      <c r="H17" s="584">
        <f>'Sources and Uses Budget'!T17</f>
        <v>0</v>
      </c>
      <c r="I17" s="585"/>
      <c r="J17" s="585"/>
      <c r="K17" s="579"/>
    </row>
    <row r="18" spans="1:11" s="253" customFormat="1" ht="11.4">
      <c r="A18" s="239" t="s">
        <v>911</v>
      </c>
      <c r="B18" s="584">
        <f>'Sources and Uses Budget'!C18</f>
        <v>11600000</v>
      </c>
      <c r="C18" s="585"/>
      <c r="D18" s="585"/>
      <c r="E18" s="584">
        <f>'Sources and Uses Budget'!S18</f>
        <v>11600000</v>
      </c>
      <c r="F18" s="585"/>
      <c r="G18" s="585"/>
      <c r="H18" s="584">
        <f>'Sources and Uses Budget'!T18</f>
        <v>0</v>
      </c>
      <c r="I18" s="585"/>
      <c r="J18" s="585"/>
      <c r="K18" s="579"/>
    </row>
    <row r="19" spans="1:11" s="253" customFormat="1" ht="11.4">
      <c r="A19" s="239" t="s">
        <v>912</v>
      </c>
      <c r="B19" s="584">
        <f>'Sources and Uses Budget'!C19</f>
        <v>50000</v>
      </c>
      <c r="C19" s="585"/>
      <c r="D19" s="585"/>
      <c r="E19" s="584">
        <f>'Sources and Uses Budget'!S19</f>
        <v>50000</v>
      </c>
      <c r="F19" s="585"/>
      <c r="G19" s="585"/>
      <c r="H19" s="584">
        <f>'Sources and Uses Budget'!T19</f>
        <v>0</v>
      </c>
      <c r="I19" s="585"/>
      <c r="J19" s="585"/>
      <c r="K19" s="579"/>
    </row>
    <row r="20" spans="1:11" s="253" customFormat="1" ht="11.4">
      <c r="A20" s="239" t="s">
        <v>913</v>
      </c>
      <c r="B20" s="584">
        <f>'Sources and Uses Budget'!C20</f>
        <v>271797</v>
      </c>
      <c r="C20" s="585"/>
      <c r="D20" s="585"/>
      <c r="E20" s="584">
        <f>'Sources and Uses Budget'!S20</f>
        <v>271797</v>
      </c>
      <c r="F20" s="585"/>
      <c r="G20" s="585"/>
      <c r="H20" s="584">
        <f>'Sources and Uses Budget'!T20</f>
        <v>0</v>
      </c>
      <c r="I20" s="585"/>
      <c r="J20" s="585"/>
      <c r="K20" s="579"/>
    </row>
    <row r="21" spans="1:11" s="253" customFormat="1" ht="11.4">
      <c r="A21" s="239" t="s">
        <v>914</v>
      </c>
      <c r="B21" s="584">
        <f>'Sources and Uses Budget'!C21</f>
        <v>271797</v>
      </c>
      <c r="C21" s="585"/>
      <c r="D21" s="585"/>
      <c r="E21" s="584">
        <f>'Sources and Uses Budget'!S21</f>
        <v>271797</v>
      </c>
      <c r="F21" s="585"/>
      <c r="G21" s="585"/>
      <c r="H21" s="584">
        <f>'Sources and Uses Budget'!T21</f>
        <v>0</v>
      </c>
      <c r="I21" s="585"/>
      <c r="J21" s="585"/>
      <c r="K21" s="579"/>
    </row>
    <row r="22" spans="1:11" s="253" customFormat="1" ht="11.4">
      <c r="A22" s="239" t="s">
        <v>915</v>
      </c>
      <c r="B22" s="584">
        <f>'Sources and Uses Budget'!C22</f>
        <v>2400000</v>
      </c>
      <c r="C22" s="585"/>
      <c r="D22" s="585"/>
      <c r="E22" s="584">
        <f>'Sources and Uses Budget'!S22</f>
        <v>2400000</v>
      </c>
      <c r="F22" s="585"/>
      <c r="G22" s="585"/>
      <c r="H22" s="584">
        <f>'Sources and Uses Budget'!T22</f>
        <v>0</v>
      </c>
      <c r="I22" s="585"/>
      <c r="J22" s="585"/>
      <c r="K22" s="579"/>
    </row>
    <row r="23" spans="1:11" s="253" customFormat="1" ht="11.4">
      <c r="A23" s="239" t="s">
        <v>916</v>
      </c>
      <c r="B23" s="584">
        <f>'Sources and Uses Budget'!C23</f>
        <v>32991</v>
      </c>
      <c r="C23" s="585"/>
      <c r="D23" s="585"/>
      <c r="E23" s="584">
        <f>'Sources and Uses Budget'!S23</f>
        <v>32991</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15051585</v>
      </c>
      <c r="C25" s="584">
        <f>SUM(C17:C24)</f>
        <v>0</v>
      </c>
      <c r="D25" s="584">
        <f>SUM(D17:D24)</f>
        <v>0</v>
      </c>
      <c r="E25" s="584">
        <f>'Sources and Uses Budget'!S26</f>
        <v>15051585</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400000</v>
      </c>
      <c r="C39" s="585"/>
      <c r="D39" s="585"/>
      <c r="E39" s="584">
        <f>'Sources and Uses Budget'!S40</f>
        <v>400000</v>
      </c>
      <c r="F39" s="585"/>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0</v>
      </c>
      <c r="C42" s="585"/>
      <c r="D42" s="585"/>
      <c r="E42" s="584">
        <f>'Sources and Uses Budget'!S43</f>
        <v>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1229253.7585597578</v>
      </c>
      <c r="C44" s="585"/>
      <c r="D44" s="585"/>
      <c r="E44" s="584">
        <f>'Sources and Uses Budget'!S45</f>
        <v>643894.82591225405</v>
      </c>
      <c r="F44" s="585"/>
      <c r="G44" s="585"/>
      <c r="H44" s="584">
        <f>'Sources and Uses Budget'!T45</f>
        <v>0</v>
      </c>
      <c r="I44" s="585"/>
      <c r="J44" s="585"/>
      <c r="K44" s="579"/>
    </row>
    <row r="45" spans="1:11" s="253" customFormat="1" ht="11.4">
      <c r="A45" s="239" t="s">
        <v>927</v>
      </c>
      <c r="B45" s="584">
        <f>'Sources and Uses Budget'!C46</f>
        <v>148295.27728661362</v>
      </c>
      <c r="C45" s="585"/>
      <c r="D45" s="585"/>
      <c r="E45" s="584">
        <f>'Sources and Uses Budget'!S46</f>
        <v>148295.27728661362</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932</v>
      </c>
      <c r="B48" s="584">
        <f>'Sources and Uses Budget'!C49</f>
        <v>40000</v>
      </c>
      <c r="C48" s="585"/>
      <c r="D48" s="585"/>
      <c r="E48" s="584">
        <f>'Sources and Uses Budget'!S49</f>
        <v>40000</v>
      </c>
      <c r="F48" s="585"/>
      <c r="G48" s="585"/>
      <c r="H48" s="584">
        <f>'Sources and Uses Budget'!T49</f>
        <v>0</v>
      </c>
      <c r="I48" s="585"/>
      <c r="J48" s="585"/>
      <c r="K48" s="579"/>
    </row>
    <row r="49" spans="1:11" s="253" customFormat="1" ht="11.4">
      <c r="A49" s="239" t="s">
        <v>930</v>
      </c>
      <c r="B49" s="584">
        <f>'Sources and Uses Budget'!C50</f>
        <v>8000</v>
      </c>
      <c r="C49" s="585"/>
      <c r="D49" s="585"/>
      <c r="E49" s="584">
        <f>'Sources and Uses Budget'!S50</f>
        <v>8000</v>
      </c>
      <c r="F49" s="585"/>
      <c r="G49" s="585"/>
      <c r="H49" s="584">
        <f>'Sources and Uses Budget'!T50</f>
        <v>0</v>
      </c>
      <c r="I49" s="585"/>
      <c r="J49" s="585"/>
      <c r="K49" s="579"/>
    </row>
    <row r="50" spans="1:11" s="253" customFormat="1" ht="11.4">
      <c r="A50" s="239" t="s">
        <v>931</v>
      </c>
      <c r="B50" s="584">
        <f>'Sources and Uses Budget'!C51</f>
        <v>350000</v>
      </c>
      <c r="C50" s="585"/>
      <c r="D50" s="585"/>
      <c r="E50" s="584">
        <f>'Sources and Uses Budget'!S51</f>
        <v>350000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1775549.0358463714</v>
      </c>
      <c r="C52" s="587">
        <f>SUM(C44:C51)</f>
        <v>0</v>
      </c>
      <c r="D52" s="587">
        <f>SUM(D44:D51)</f>
        <v>0</v>
      </c>
      <c r="E52" s="584">
        <f>'Sources and Uses Budget'!S53</f>
        <v>1190190.1031988678</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20000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(Legal)</v>
      </c>
      <c r="B59" s="584">
        <f>'Sources and Uses Budget'!C60</f>
        <v>10000</v>
      </c>
      <c r="C59" s="585"/>
      <c r="D59" s="585"/>
      <c r="E59" s="586"/>
      <c r="F59" s="586"/>
      <c r="G59" s="586"/>
      <c r="H59" s="586"/>
      <c r="I59" s="586"/>
      <c r="J59" s="586"/>
      <c r="K59" s="579"/>
    </row>
    <row r="60" spans="1:11" s="253" customFormat="1" ht="13.95" customHeight="1">
      <c r="A60" s="243" t="s">
        <v>500</v>
      </c>
      <c r="B60" s="584">
        <f>'Sources and Uses Budget'!C61</f>
        <v>30000</v>
      </c>
      <c r="C60" s="584">
        <f>SUM(C54:C59)</f>
        <v>0</v>
      </c>
      <c r="D60" s="584">
        <f>SUM(D54:D59)</f>
        <v>0</v>
      </c>
      <c r="E60" s="586"/>
      <c r="F60" s="586"/>
      <c r="G60" s="586"/>
      <c r="H60" s="586"/>
      <c r="I60" s="586"/>
      <c r="J60" s="586"/>
      <c r="K60" s="579"/>
    </row>
    <row r="61" spans="1:11" s="253" customFormat="1" ht="11.4">
      <c r="A61" s="249" t="s">
        <v>501</v>
      </c>
      <c r="B61" s="584">
        <f>'Sources and Uses Budget'!C62</f>
        <v>31197134.035846371</v>
      </c>
      <c r="C61" s="584">
        <f>SUM(C8+C11+C13+C14+C15+C25+C26+C37+C41+C42+C52+C60)</f>
        <v>0</v>
      </c>
      <c r="D61" s="584">
        <f>SUM(D8+D11+D13+D14+D15+D25+D26+D37+D41+D42+D52+D60)</f>
        <v>0</v>
      </c>
      <c r="E61" s="584">
        <f>'Sources and Uses Budget'!S62</f>
        <v>16641775.103198867</v>
      </c>
      <c r="F61" s="584">
        <f>SUM(F10+F13+F14+F15+F25+F26+F37+F41+F42+F52)</f>
        <v>0</v>
      </c>
      <c r="G61" s="584">
        <f>SUM(G10+G13+G14+G15+G25+G26+G37+G41+G42+G52)</f>
        <v>0</v>
      </c>
      <c r="H61" s="584">
        <f>'Sources and Uses Budget'!T62</f>
        <v>13925000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(Sponsor Legal)</v>
      </c>
      <c r="B67" s="584">
        <f>'Sources and Uses Budget'!C68</f>
        <v>25000</v>
      </c>
      <c r="C67" s="585"/>
      <c r="D67" s="585"/>
      <c r="E67" s="584">
        <f>'Sources and Uses Budget'!S68</f>
        <v>25000</v>
      </c>
      <c r="F67" s="585"/>
      <c r="G67" s="585"/>
      <c r="H67" s="584">
        <f>'Sources and Uses Budget'!T68</f>
        <v>0</v>
      </c>
      <c r="I67" s="585"/>
      <c r="J67" s="585"/>
      <c r="K67" s="579"/>
    </row>
    <row r="68" spans="1:11" s="253" customFormat="1">
      <c r="A68" s="243" t="s">
        <v>1957</v>
      </c>
      <c r="B68" s="584">
        <f>'Sources and Uses Budget'!C69</f>
        <v>75000</v>
      </c>
      <c r="C68" s="584">
        <f>SUM(C62:C67)</f>
        <v>0</v>
      </c>
      <c r="D68" s="584">
        <f>SUM(D62:D67)</f>
        <v>0</v>
      </c>
      <c r="E68" s="584">
        <f>'Sources and Uses Budget'!S69</f>
        <v>75000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76000</v>
      </c>
      <c r="C72" s="585"/>
      <c r="D72" s="585"/>
      <c r="E72" s="586"/>
      <c r="F72" s="586"/>
      <c r="G72" s="586"/>
      <c r="H72" s="586"/>
      <c r="I72" s="586"/>
      <c r="J72" s="586"/>
      <c r="K72" s="579"/>
    </row>
    <row r="73" spans="1:11" s="253" customFormat="1" ht="11.4">
      <c r="A73" s="239" t="s">
        <v>288</v>
      </c>
      <c r="B73" s="584">
        <f>'Sources and Uses Budget'!C74</f>
        <v>382802</v>
      </c>
      <c r="C73" s="585"/>
      <c r="D73" s="585"/>
      <c r="E73" s="586"/>
      <c r="F73" s="586"/>
      <c r="G73" s="586"/>
      <c r="H73" s="586"/>
      <c r="I73" s="586"/>
      <c r="J73" s="586"/>
      <c r="K73" s="579"/>
    </row>
    <row r="74" spans="1:11" s="253" customFormat="1" ht="11.4">
      <c r="A74" s="239" t="str">
        <f>'Sources and Uses Budget'!$A75</f>
        <v>Other: (Supplemental Operating Reserve)</v>
      </c>
      <c r="B74" s="584">
        <f>'Sources and Uses Budget'!C75</f>
        <v>90000</v>
      </c>
      <c r="C74" s="585"/>
      <c r="D74" s="585"/>
      <c r="E74" s="586"/>
      <c r="F74" s="586"/>
      <c r="G74" s="586"/>
      <c r="H74" s="586"/>
      <c r="I74" s="586"/>
      <c r="J74" s="586"/>
      <c r="K74" s="579"/>
    </row>
    <row r="75" spans="1:11" s="253" customFormat="1">
      <c r="A75" s="243" t="s">
        <v>289</v>
      </c>
      <c r="B75" s="584">
        <f>'Sources and Uses Budget'!C76</f>
        <v>548802</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3744146.25</v>
      </c>
      <c r="C77" s="585"/>
      <c r="D77" s="585"/>
      <c r="E77" s="584">
        <f>'Sources and Uses Budget'!S78</f>
        <v>3744146.25</v>
      </c>
      <c r="F77" s="585"/>
      <c r="G77" s="585"/>
      <c r="H77" s="584">
        <f>'Sources and Uses Budget'!T78</f>
        <v>0</v>
      </c>
      <c r="I77" s="585"/>
      <c r="J77" s="585"/>
      <c r="K77" s="579"/>
    </row>
    <row r="78" spans="1:11" s="253" customFormat="1" ht="11.4">
      <c r="A78" s="239" t="s">
        <v>538</v>
      </c>
      <c r="B78" s="584">
        <f>'Sources and Uses Budget'!C79</f>
        <v>1165757.6567523363</v>
      </c>
      <c r="C78" s="585"/>
      <c r="D78" s="585"/>
      <c r="E78" s="584">
        <f>'Sources and Uses Budget'!S79</f>
        <v>1165757.6567523363</v>
      </c>
      <c r="F78" s="585"/>
      <c r="G78" s="585"/>
      <c r="H78" s="584">
        <f>'Sources and Uses Budget'!T79</f>
        <v>0</v>
      </c>
      <c r="I78" s="585"/>
      <c r="J78" s="585"/>
      <c r="K78" s="579"/>
    </row>
    <row r="79" spans="1:11" s="253" customFormat="1">
      <c r="A79" s="243" t="s">
        <v>1742</v>
      </c>
      <c r="B79" s="584">
        <f>'Sources and Uses Budget'!C80</f>
        <v>4909903.9067523368</v>
      </c>
      <c r="C79" s="667">
        <f>SUM(C77:C78)</f>
        <v>0</v>
      </c>
      <c r="D79" s="667">
        <f>SUM(D77:D78)</f>
        <v>0</v>
      </c>
      <c r="E79" s="584">
        <f>'Sources and Uses Budget'!S80</f>
        <v>4909903.9067523368</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122566.59116297383</v>
      </c>
      <c r="C81" s="585"/>
      <c r="D81" s="585"/>
      <c r="E81" s="586"/>
      <c r="F81" s="586"/>
      <c r="G81" s="586"/>
      <c r="H81" s="586"/>
      <c r="I81" s="586"/>
      <c r="J81" s="586"/>
      <c r="K81" s="579"/>
    </row>
    <row r="82" spans="1:11" s="253" customFormat="1" ht="11.4">
      <c r="A82" s="239" t="s">
        <v>516</v>
      </c>
      <c r="B82" s="584">
        <f>'Sources and Uses Budget'!C83</f>
        <v>9200</v>
      </c>
      <c r="C82" s="585"/>
      <c r="D82" s="585"/>
      <c r="E82" s="584">
        <f>'Sources and Uses Budget'!S83</f>
        <v>9200</v>
      </c>
      <c r="F82" s="585"/>
      <c r="G82" s="585"/>
      <c r="H82" s="584">
        <f>'Sources and Uses Budget'!T83</f>
        <v>0</v>
      </c>
      <c r="I82" s="585"/>
      <c r="J82" s="585"/>
      <c r="K82" s="579"/>
    </row>
    <row r="83" spans="1:11" s="253" customFormat="1" ht="11.4">
      <c r="A83" s="239" t="s">
        <v>517</v>
      </c>
      <c r="B83" s="584">
        <f>'Sources and Uses Budget'!C84</f>
        <v>1283938</v>
      </c>
      <c r="C83" s="585"/>
      <c r="D83" s="585"/>
      <c r="E83" s="584">
        <f>'Sources and Uses Budget'!S84</f>
        <v>1283938</v>
      </c>
      <c r="F83" s="585"/>
      <c r="G83" s="585"/>
      <c r="H83" s="584">
        <f>'Sources and Uses Budget'!T84</f>
        <v>0</v>
      </c>
      <c r="I83" s="585"/>
      <c r="J83" s="585"/>
      <c r="K83" s="579"/>
    </row>
    <row r="84" spans="1:11" s="253" customFormat="1" ht="11.4">
      <c r="A84" s="239" t="s">
        <v>518</v>
      </c>
      <c r="B84" s="584">
        <f>'Sources and Uses Budget'!C85</f>
        <v>100000</v>
      </c>
      <c r="C84" s="585"/>
      <c r="D84" s="585"/>
      <c r="E84" s="584">
        <f>'Sources and Uses Budget'!S85</f>
        <v>100000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75000</v>
      </c>
      <c r="C86" s="585"/>
      <c r="D86" s="585"/>
      <c r="E86" s="586"/>
      <c r="F86" s="586"/>
      <c r="G86" s="586"/>
      <c r="H86" s="586"/>
      <c r="I86" s="586"/>
      <c r="J86" s="586"/>
      <c r="K86" s="579"/>
    </row>
    <row r="87" spans="1:11" s="253" customFormat="1" ht="11.4">
      <c r="A87" s="239" t="s">
        <v>521</v>
      </c>
      <c r="B87" s="584">
        <f>'Sources and Uses Budget'!C88</f>
        <v>30000</v>
      </c>
      <c r="C87" s="585"/>
      <c r="D87" s="585"/>
      <c r="E87" s="584">
        <f>'Sources and Uses Budget'!S88</f>
        <v>30000</v>
      </c>
      <c r="F87" s="585"/>
      <c r="G87" s="585"/>
      <c r="H87" s="584">
        <f>'Sources and Uses Budget'!T88</f>
        <v>0</v>
      </c>
      <c r="I87" s="585"/>
      <c r="J87" s="585"/>
      <c r="K87" s="579"/>
    </row>
    <row r="88" spans="1:11" s="253" customFormat="1" ht="11.4">
      <c r="A88" s="239" t="s">
        <v>522</v>
      </c>
      <c r="B88" s="584">
        <f>'Sources and Uses Budget'!C89</f>
        <v>10000</v>
      </c>
      <c r="C88" s="585"/>
      <c r="D88" s="585"/>
      <c r="E88" s="584">
        <f>'Sources and Uses Budget'!S89</f>
        <v>0</v>
      </c>
      <c r="F88" s="585"/>
      <c r="G88" s="585"/>
      <c r="H88" s="584">
        <f>'Sources and Uses Budget'!T89</f>
        <v>0</v>
      </c>
      <c r="I88" s="585"/>
      <c r="J88" s="585"/>
      <c r="K88" s="579"/>
    </row>
    <row r="89" spans="1:11" s="253" customFormat="1" ht="11.4">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1740</v>
      </c>
      <c r="B90" s="584">
        <f>'Sources and Uses Budget'!C91</f>
        <v>7975</v>
      </c>
      <c r="C90" s="585"/>
      <c r="D90" s="585"/>
      <c r="E90" s="584">
        <f>'Sources and Uses Budget'!S91</f>
        <v>7975</v>
      </c>
      <c r="F90" s="585"/>
      <c r="G90" s="585"/>
      <c r="H90" s="584">
        <f>'Sources and Uses Budget'!T91</f>
        <v>0</v>
      </c>
      <c r="I90" s="585"/>
      <c r="J90" s="585"/>
      <c r="K90" s="579"/>
    </row>
    <row r="91" spans="1:11" s="253" customFormat="1" ht="11.4">
      <c r="A91" s="239" t="str">
        <f>'Sources and Uses Budget'!$A92</f>
        <v>Other: (Relocation Consultant)</v>
      </c>
      <c r="B91" s="584">
        <f>'Sources and Uses Budget'!C92</f>
        <v>5000</v>
      </c>
      <c r="C91" s="585"/>
      <c r="D91" s="585"/>
      <c r="E91" s="584">
        <f>'Sources and Uses Budget'!S92</f>
        <v>5000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1643679.5911629738</v>
      </c>
      <c r="C94" s="584">
        <f>SUM(C81:C93)</f>
        <v>0</v>
      </c>
      <c r="D94" s="584">
        <f>SUM(D81:D93)</f>
        <v>0</v>
      </c>
      <c r="E94" s="584">
        <f>'Sources and Uses Budget'!S95</f>
        <v>1436113</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38374519.53376168</v>
      </c>
      <c r="C95" s="584">
        <f>SUM(C61+C68+C75+C79+C94)</f>
        <v>0</v>
      </c>
      <c r="D95" s="584">
        <f>SUM(D61+D68+D75+D79+D94)</f>
        <v>0</v>
      </c>
      <c r="E95" s="584">
        <f>'Sources and Uses Budget'!S96</f>
        <v>23062792.009951204</v>
      </c>
      <c r="F95" s="587">
        <f>SUM(+F61+F68+F79+F94)</f>
        <v>0</v>
      </c>
      <c r="G95" s="587">
        <f>SUM(+G61+G68+G79+G94)</f>
        <v>0</v>
      </c>
      <c r="H95" s="584">
        <f>'Sources and Uses Budget'!T96</f>
        <v>13925000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2785000</v>
      </c>
      <c r="C97" s="585"/>
      <c r="D97" s="585"/>
      <c r="E97" s="584">
        <f>'Sources and Uses Budget'!S98</f>
        <v>2785000</v>
      </c>
      <c r="F97" s="585"/>
      <c r="G97" s="585"/>
      <c r="H97" s="584">
        <f>'Sources and Uses Budget'!T98</f>
        <v>0</v>
      </c>
      <c r="I97" s="585"/>
      <c r="J97" s="585"/>
      <c r="K97" s="579"/>
    </row>
    <row r="98" spans="1:11" s="253" customFormat="1" ht="11.4">
      <c r="A98" s="239" t="s">
        <v>1958</v>
      </c>
      <c r="B98" s="584">
        <f>'Sources and Uses Budget'!C99</f>
        <v>15000</v>
      </c>
      <c r="C98" s="585"/>
      <c r="D98" s="585"/>
      <c r="E98" s="584">
        <f>'Sources and Uses Budget'!S99</f>
        <v>15000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41174519.53376168</v>
      </c>
      <c r="C103" s="587">
        <f>SUM(C95+C102)</f>
        <v>0</v>
      </c>
      <c r="D103" s="587">
        <f>SUM(D95+D102)</f>
        <v>0</v>
      </c>
      <c r="E103" s="584">
        <f>'Sources and Uses Budget'!S104</f>
        <v>25862792.009951204</v>
      </c>
      <c r="F103" s="587">
        <f>F95+F102</f>
        <v>0</v>
      </c>
      <c r="G103" s="587">
        <f>G95+G102</f>
        <v>0</v>
      </c>
      <c r="H103" s="584">
        <f>'Sources and Uses Budget'!T104</f>
        <v>13925000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25862792.009951204</v>
      </c>
      <c r="F105" s="587">
        <f>F103+F104</f>
        <v>0</v>
      </c>
      <c r="G105" s="587">
        <f>G103+G104</f>
        <v>0</v>
      </c>
      <c r="H105" s="584">
        <f>'Sources and Uses Budget'!T106</f>
        <v>13925000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641" workbookViewId="0">
      <selection activeCell="C650" sqref="C650:AF65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5" t="s">
        <v>846</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row>
    <row r="2" spans="1:43" s="5" customFormat="1" ht="12.7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7" t="s">
        <v>364</v>
      </c>
      <c r="AF4" s="1687"/>
      <c r="AG4" s="1687"/>
      <c r="AH4" s="1687"/>
      <c r="AI4" s="1687"/>
      <c r="AJ4" s="1687"/>
      <c r="AK4" s="1687"/>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0" t="s">
        <v>2334</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800" t="s">
        <v>1243</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6" t="s">
        <v>108</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800" t="s">
        <v>1119</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9" t="s">
        <v>2207</v>
      </c>
      <c r="C20" s="1649"/>
      <c r="D20" s="1649"/>
      <c r="E20" s="1649"/>
      <c r="F20" s="1649"/>
      <c r="G20" s="1649"/>
      <c r="H20" s="1649"/>
      <c r="I20" s="1649"/>
      <c r="J20" s="1649"/>
      <c r="K20" s="1649"/>
      <c r="L20" s="1649"/>
      <c r="M20" s="1649"/>
      <c r="N20" s="1649"/>
      <c r="O20" s="1649"/>
      <c r="P20" s="1649"/>
      <c r="Q20" s="1649"/>
      <c r="R20" s="1649"/>
      <c r="S20" s="1649"/>
      <c r="T20" s="1649"/>
      <c r="U20" s="1649"/>
      <c r="V20" s="1649"/>
      <c r="W20" s="1649"/>
      <c r="X20" s="1649"/>
      <c r="Y20" s="1649"/>
      <c r="Z20" s="1649"/>
      <c r="AA20" s="1649"/>
      <c r="AB20" s="1649"/>
      <c r="AC20" s="1649"/>
      <c r="AD20" s="1649"/>
      <c r="AE20" s="1649"/>
      <c r="AF20" s="1649"/>
      <c r="AG20" s="1649"/>
      <c r="AH20" s="1649"/>
      <c r="AI20" s="1649"/>
      <c r="AJ20" s="1649"/>
      <c r="AK20" s="1649"/>
      <c r="AL20" s="103"/>
      <c r="AM20" s="27"/>
      <c r="AN20" s="670"/>
    </row>
    <row r="21" spans="1:42" s="5" customFormat="1" ht="12.75" customHeight="1">
      <c r="A21" s="27"/>
      <c r="B21" s="1649"/>
      <c r="C21" s="1649"/>
      <c r="D21" s="1649"/>
      <c r="E21" s="1649"/>
      <c r="F21" s="1649"/>
      <c r="G21" s="1649"/>
      <c r="H21" s="1649"/>
      <c r="I21" s="1649"/>
      <c r="J21" s="1649"/>
      <c r="K21" s="1649"/>
      <c r="L21" s="1649"/>
      <c r="M21" s="1649"/>
      <c r="N21" s="1649"/>
      <c r="O21" s="1649"/>
      <c r="P21" s="1649"/>
      <c r="Q21" s="1649"/>
      <c r="R21" s="1649"/>
      <c r="S21" s="1649"/>
      <c r="T21" s="1649"/>
      <c r="U21" s="1649"/>
      <c r="V21" s="1649"/>
      <c r="W21" s="1649"/>
      <c r="X21" s="1649"/>
      <c r="Y21" s="1649"/>
      <c r="Z21" s="1649"/>
      <c r="AA21" s="1649"/>
      <c r="AB21" s="1649"/>
      <c r="AC21" s="1649"/>
      <c r="AD21" s="1649"/>
      <c r="AE21" s="1649"/>
      <c r="AF21" s="1649"/>
      <c r="AG21" s="1649"/>
      <c r="AH21" s="1649"/>
      <c r="AI21" s="1649"/>
      <c r="AJ21" s="1649"/>
      <c r="AK21" s="1649"/>
      <c r="AL21" s="103"/>
      <c r="AM21" s="27"/>
      <c r="AN21" s="670"/>
      <c r="AP21" s="340"/>
    </row>
    <row r="22" spans="1:42" s="5" customFormat="1" ht="12.75" customHeight="1">
      <c r="A22" s="27"/>
      <c r="B22" s="1649"/>
      <c r="C22" s="1649"/>
      <c r="D22" s="1649"/>
      <c r="E22" s="1649"/>
      <c r="F22" s="1649"/>
      <c r="G22" s="1649"/>
      <c r="H22" s="1649"/>
      <c r="I22" s="1649"/>
      <c r="J22" s="1649"/>
      <c r="K22" s="1649"/>
      <c r="L22" s="1649"/>
      <c r="M22" s="1649"/>
      <c r="N22" s="1649"/>
      <c r="O22" s="1649"/>
      <c r="P22" s="1649"/>
      <c r="Q22" s="1649"/>
      <c r="R22" s="1649"/>
      <c r="S22" s="1649"/>
      <c r="T22" s="1649"/>
      <c r="U22" s="1649"/>
      <c r="V22" s="1649"/>
      <c r="W22" s="1649"/>
      <c r="X22" s="1649"/>
      <c r="Y22" s="1649"/>
      <c r="Z22" s="1649"/>
      <c r="AA22" s="1649"/>
      <c r="AB22" s="1649"/>
      <c r="AC22" s="1649"/>
      <c r="AD22" s="1649"/>
      <c r="AE22" s="1649"/>
      <c r="AF22" s="1649"/>
      <c r="AG22" s="1649"/>
      <c r="AH22" s="1649"/>
      <c r="AI22" s="1649"/>
      <c r="AJ22" s="1649"/>
      <c r="AK22" s="1649"/>
      <c r="AL22" s="103"/>
      <c r="AM22" s="27"/>
      <c r="AN22" s="670"/>
    </row>
    <row r="23" spans="1:42" s="4" customFormat="1" ht="12.75" customHeight="1">
      <c r="A23" s="27"/>
      <c r="B23" s="1649"/>
      <c r="C23" s="1649"/>
      <c r="D23" s="1649"/>
      <c r="E23" s="1649"/>
      <c r="F23" s="1649"/>
      <c r="G23" s="1649"/>
      <c r="H23" s="1649"/>
      <c r="I23" s="1649"/>
      <c r="J23" s="1649"/>
      <c r="K23" s="1649"/>
      <c r="L23" s="1649"/>
      <c r="M23" s="1649"/>
      <c r="N23" s="1649"/>
      <c r="O23" s="1649"/>
      <c r="P23" s="1649"/>
      <c r="Q23" s="1649"/>
      <c r="R23" s="1649"/>
      <c r="S23" s="1649"/>
      <c r="T23" s="1649"/>
      <c r="U23" s="1649"/>
      <c r="V23" s="1649"/>
      <c r="W23" s="1649"/>
      <c r="X23" s="1649"/>
      <c r="Y23" s="1649"/>
      <c r="Z23" s="1649"/>
      <c r="AA23" s="1649"/>
      <c r="AB23" s="1649"/>
      <c r="AC23" s="1649"/>
      <c r="AD23" s="1649"/>
      <c r="AE23" s="1649"/>
      <c r="AF23" s="1649"/>
      <c r="AG23" s="1649"/>
      <c r="AH23" s="1649"/>
      <c r="AI23" s="1649"/>
      <c r="AJ23" s="1649"/>
      <c r="AK23" s="1649"/>
      <c r="AL23" s="103"/>
      <c r="AM23" s="27"/>
      <c r="AN23" s="281"/>
    </row>
    <row r="24" spans="1:42" s="4" customFormat="1" ht="12.75" customHeight="1">
      <c r="A24" s="27"/>
      <c r="B24" s="1649"/>
      <c r="C24" s="1649"/>
      <c r="D24" s="1649"/>
      <c r="E24" s="1649"/>
      <c r="F24" s="1649"/>
      <c r="G24" s="1649"/>
      <c r="H24" s="1649"/>
      <c r="I24" s="1649"/>
      <c r="J24" s="1649"/>
      <c r="K24" s="1649"/>
      <c r="L24" s="1649"/>
      <c r="M24" s="1649"/>
      <c r="N24" s="1649"/>
      <c r="O24" s="1649"/>
      <c r="P24" s="1649"/>
      <c r="Q24" s="1649"/>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03"/>
      <c r="AM24" s="27"/>
      <c r="AN24" s="672"/>
      <c r="AO24" s="91"/>
    </row>
    <row r="25" spans="1:42" s="4" customFormat="1" ht="12.75" customHeight="1">
      <c r="A25" s="27"/>
      <c r="B25" s="1649"/>
      <c r="C25" s="1649"/>
      <c r="D25" s="1649"/>
      <c r="E25" s="1649"/>
      <c r="F25" s="1649"/>
      <c r="G25" s="1649"/>
      <c r="H25" s="1649"/>
      <c r="I25" s="1649"/>
      <c r="J25" s="1649"/>
      <c r="K25" s="1649"/>
      <c r="L25" s="1649"/>
      <c r="M25" s="1649"/>
      <c r="N25" s="1649"/>
      <c r="O25" s="1649"/>
      <c r="P25" s="1649"/>
      <c r="Q25" s="1649"/>
      <c r="R25" s="1649"/>
      <c r="S25" s="1649"/>
      <c r="T25" s="1649"/>
      <c r="U25" s="1649"/>
      <c r="V25" s="1649"/>
      <c r="W25" s="1649"/>
      <c r="X25" s="1649"/>
      <c r="Y25" s="1649"/>
      <c r="Z25" s="1649"/>
      <c r="AA25" s="1649"/>
      <c r="AB25" s="1649"/>
      <c r="AC25" s="1649"/>
      <c r="AD25" s="1649"/>
      <c r="AE25" s="1649"/>
      <c r="AF25" s="1649"/>
      <c r="AG25" s="1649"/>
      <c r="AH25" s="1649"/>
      <c r="AI25" s="1649"/>
      <c r="AJ25" s="1649"/>
      <c r="AK25" s="1649"/>
      <c r="AL25" s="103"/>
      <c r="AM25" s="27"/>
      <c r="AN25" s="672"/>
    </row>
    <row r="26" spans="1:42" s="4" customFormat="1" ht="12.75" customHeight="1">
      <c r="A26" s="27"/>
      <c r="B26" s="1649"/>
      <c r="C26" s="1649"/>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49"/>
      <c r="Z26" s="1649"/>
      <c r="AA26" s="1649"/>
      <c r="AB26" s="1649"/>
      <c r="AC26" s="1649"/>
      <c r="AD26" s="1649"/>
      <c r="AE26" s="1649"/>
      <c r="AF26" s="1649"/>
      <c r="AG26" s="1649"/>
      <c r="AH26" s="1649"/>
      <c r="AI26" s="1649"/>
      <c r="AJ26" s="1649"/>
      <c r="AK26" s="1649"/>
      <c r="AL26" s="103"/>
      <c r="AM26" s="27"/>
      <c r="AN26" s="281"/>
    </row>
    <row r="27" spans="1:42" s="4" customFormat="1" ht="12.75" customHeight="1">
      <c r="A27" s="27"/>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1649"/>
      <c r="AF27" s="1649"/>
      <c r="AG27" s="1649"/>
      <c r="AH27" s="1649"/>
      <c r="AI27" s="1649"/>
      <c r="AJ27" s="1649"/>
      <c r="AK27" s="1649"/>
      <c r="AL27" s="103"/>
      <c r="AM27" s="27"/>
      <c r="AN27" s="614"/>
    </row>
    <row r="28" spans="1:42" s="4" customFormat="1" ht="12.75" customHeight="1">
      <c r="A28" s="27"/>
      <c r="B28" s="1649"/>
      <c r="C28" s="1649"/>
      <c r="D28" s="1649"/>
      <c r="E28" s="1649"/>
      <c r="F28" s="1649"/>
      <c r="G28" s="1649"/>
      <c r="H28" s="1649"/>
      <c r="I28" s="1649"/>
      <c r="J28" s="1649"/>
      <c r="K28" s="1649"/>
      <c r="L28" s="1649"/>
      <c r="M28" s="1649"/>
      <c r="N28" s="1649"/>
      <c r="O28" s="1649"/>
      <c r="P28" s="1649"/>
      <c r="Q28" s="1649"/>
      <c r="R28" s="1649"/>
      <c r="S28" s="1649"/>
      <c r="T28" s="1649"/>
      <c r="U28" s="1649"/>
      <c r="V28" s="1649"/>
      <c r="W28" s="1649"/>
      <c r="X28" s="1649"/>
      <c r="Y28" s="1649"/>
      <c r="Z28" s="1649"/>
      <c r="AA28" s="1649"/>
      <c r="AB28" s="1649"/>
      <c r="AC28" s="1649"/>
      <c r="AD28" s="1649"/>
      <c r="AE28" s="1649"/>
      <c r="AF28" s="1649"/>
      <c r="AG28" s="1649"/>
      <c r="AH28" s="1649"/>
      <c r="AI28" s="1649"/>
      <c r="AJ28" s="1649"/>
      <c r="AK28" s="1649"/>
      <c r="AL28" s="103"/>
      <c r="AM28" s="27"/>
      <c r="AN28" s="614"/>
    </row>
    <row r="29" spans="1:42" s="4" customFormat="1" ht="31.65" customHeight="1">
      <c r="A29" s="27"/>
      <c r="B29" s="1649"/>
      <c r="C29" s="1649"/>
      <c r="D29" s="1649"/>
      <c r="E29" s="1649"/>
      <c r="F29" s="1649"/>
      <c r="G29" s="1649"/>
      <c r="H29" s="1649"/>
      <c r="I29" s="1649"/>
      <c r="J29" s="1649"/>
      <c r="K29" s="1649"/>
      <c r="L29" s="1649"/>
      <c r="M29" s="1649"/>
      <c r="N29" s="1649"/>
      <c r="O29" s="1649"/>
      <c r="P29" s="1649"/>
      <c r="Q29" s="1649"/>
      <c r="R29" s="1649"/>
      <c r="S29" s="1649"/>
      <c r="T29" s="1649"/>
      <c r="U29" s="1649"/>
      <c r="V29" s="1649"/>
      <c r="W29" s="1649"/>
      <c r="X29" s="1649"/>
      <c r="Y29" s="1649"/>
      <c r="Z29" s="1649"/>
      <c r="AA29" s="1649"/>
      <c r="AB29" s="1649"/>
      <c r="AC29" s="1649"/>
      <c r="AD29" s="1649"/>
      <c r="AE29" s="1649"/>
      <c r="AF29" s="1649"/>
      <c r="AG29" s="1649"/>
      <c r="AH29" s="1649"/>
      <c r="AI29" s="1649"/>
      <c r="AJ29" s="1649"/>
      <c r="AK29" s="1649"/>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2" t="str">
        <f>Application!AA329</f>
        <v>The Duncan Group DBA People's Self-Help Housing</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800" t="s">
        <v>1247</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00" t="s">
        <v>108</v>
      </c>
      <c r="AA40" s="1800"/>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0" t="s">
        <v>1119</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9" t="s">
        <v>1470</v>
      </c>
      <c r="C49" s="1649"/>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03"/>
      <c r="AM49" s="27"/>
      <c r="AN49" s="281"/>
    </row>
    <row r="50" spans="1:46" s="4" customFormat="1" ht="12.75" customHeight="1">
      <c r="A50" s="26"/>
      <c r="B50" s="1649"/>
      <c r="C50" s="1649"/>
      <c r="D50" s="1649"/>
      <c r="E50" s="1649"/>
      <c r="F50" s="1649"/>
      <c r="G50" s="1649"/>
      <c r="H50" s="1649"/>
      <c r="I50" s="164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03"/>
      <c r="AM50" s="27"/>
      <c r="AN50" s="281"/>
    </row>
    <row r="51" spans="1:46" s="4" customFormat="1" ht="12.75" customHeight="1">
      <c r="A51" s="26"/>
      <c r="B51" s="1649"/>
      <c r="C51" s="1649"/>
      <c r="D51" s="1649"/>
      <c r="E51" s="1649"/>
      <c r="F51" s="1649"/>
      <c r="G51" s="1649"/>
      <c r="H51" s="1649"/>
      <c r="I51" s="164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03"/>
      <c r="AM51" s="27"/>
      <c r="AN51" s="281"/>
    </row>
    <row r="52" spans="1:46" s="4" customFormat="1" ht="12.75" customHeight="1">
      <c r="A52" s="26"/>
      <c r="B52" s="1649"/>
      <c r="C52" s="1649"/>
      <c r="D52" s="1649"/>
      <c r="E52" s="1649"/>
      <c r="F52" s="1649"/>
      <c r="G52" s="1649"/>
      <c r="H52" s="1649"/>
      <c r="I52" s="164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03"/>
      <c r="AM52" s="27"/>
      <c r="AN52" s="281"/>
    </row>
    <row r="53" spans="1:46" s="4" customFormat="1" ht="12.75" customHeight="1">
      <c r="A53" s="26"/>
      <c r="B53" s="1649"/>
      <c r="C53" s="1649"/>
      <c r="D53" s="1649"/>
      <c r="E53" s="1649"/>
      <c r="F53" s="1649"/>
      <c r="G53" s="1649"/>
      <c r="H53" s="1649"/>
      <c r="I53" s="164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03"/>
      <c r="AM53" s="27"/>
      <c r="AN53" s="281"/>
    </row>
    <row r="54" spans="1:46" s="4" customFormat="1" ht="12.75" customHeight="1">
      <c r="A54" s="26"/>
      <c r="B54" s="1649"/>
      <c r="C54" s="1649"/>
      <c r="D54" s="1649"/>
      <c r="E54" s="1649"/>
      <c r="F54" s="1649"/>
      <c r="G54" s="1649"/>
      <c r="H54" s="1649"/>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03"/>
      <c r="AM54" s="27"/>
      <c r="AN54" s="281"/>
    </row>
    <row r="55" spans="1:46" s="4" customFormat="1" ht="33.450000000000003" customHeight="1">
      <c r="A55" s="26"/>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9" t="s">
        <v>2200</v>
      </c>
      <c r="C57" s="1649"/>
      <c r="D57" s="1649"/>
      <c r="E57" s="1649"/>
      <c r="F57" s="1649"/>
      <c r="G57" s="1649"/>
      <c r="H57" s="1649"/>
      <c r="I57" s="164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03"/>
      <c r="AM57" s="27"/>
      <c r="AN57" s="281"/>
    </row>
    <row r="58" spans="1:46" s="4" customFormat="1" ht="12.75" customHeight="1">
      <c r="B58" s="1649"/>
      <c r="C58" s="1649"/>
      <c r="D58" s="1649"/>
      <c r="E58" s="1649"/>
      <c r="F58" s="1649"/>
      <c r="G58" s="1649"/>
      <c r="H58" s="1649"/>
      <c r="I58" s="164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03"/>
      <c r="AM58" s="27"/>
      <c r="AN58" s="281"/>
    </row>
    <row r="59" spans="1:46" s="4" customFormat="1" ht="22.95" customHeight="1">
      <c r="A59" s="426"/>
      <c r="B59" s="1649"/>
      <c r="C59" s="1649"/>
      <c r="D59" s="1649"/>
      <c r="E59" s="1649"/>
      <c r="F59" s="1649"/>
      <c r="G59" s="1649"/>
      <c r="H59" s="1649"/>
      <c r="I59" s="164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7" t="s">
        <v>364</v>
      </c>
      <c r="AF64" s="1687"/>
      <c r="AG64" s="1687"/>
      <c r="AH64" s="1687"/>
      <c r="AI64" s="1687"/>
      <c r="AJ64" s="1687"/>
      <c r="AK64" s="1687"/>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800" t="s">
        <v>664</v>
      </c>
      <c r="C66" s="1800"/>
      <c r="D66" s="1800"/>
      <c r="E66" s="1800"/>
      <c r="F66" s="1800"/>
      <c r="G66" s="1800"/>
      <c r="H66" s="1800"/>
      <c r="I66" s="1800"/>
      <c r="J66" s="1800"/>
      <c r="K66" s="1800"/>
      <c r="AF66" s="1695" t="s">
        <v>938</v>
      </c>
      <c r="AG66" s="1695"/>
      <c r="AH66" s="1695"/>
      <c r="AI66" s="1695"/>
      <c r="AJ66" s="1695"/>
      <c r="AK66" s="1695"/>
      <c r="AL66" s="1695"/>
      <c r="AN66" s="281"/>
      <c r="AP66" s="4" t="s">
        <v>124</v>
      </c>
      <c r="AS66" s="4" t="s">
        <v>665</v>
      </c>
      <c r="AT66" s="4">
        <v>10</v>
      </c>
    </row>
    <row r="67" spans="1:46" s="4" customFormat="1" ht="12.75" customHeight="1">
      <c r="B67" s="1801" t="s">
        <v>1319</v>
      </c>
      <c r="C67" s="1801"/>
      <c r="D67" s="1801"/>
      <c r="E67" s="1801"/>
      <c r="F67" s="1801"/>
      <c r="G67" s="1801"/>
      <c r="H67" s="1801"/>
      <c r="I67" s="1801"/>
      <c r="J67" s="1801"/>
      <c r="K67" s="1801"/>
      <c r="L67" s="1801"/>
      <c r="M67" s="1801"/>
      <c r="N67" s="1801"/>
      <c r="O67" s="1801"/>
      <c r="P67" s="1801"/>
      <c r="Q67" s="1801"/>
      <c r="R67" s="1801"/>
      <c r="S67" s="1801"/>
      <c r="T67" s="1800" t="s">
        <v>124</v>
      </c>
      <c r="U67" s="1800"/>
      <c r="V67" s="1800"/>
      <c r="W67" s="1800"/>
      <c r="X67" s="1800"/>
      <c r="Y67" s="1800"/>
      <c r="Z67" s="1800"/>
      <c r="AA67" s="1800"/>
      <c r="AB67" s="1800"/>
      <c r="AC67" s="1800"/>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977</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9" t="s">
        <v>2115</v>
      </c>
      <c r="C75" s="1649"/>
      <c r="D75" s="1649"/>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03"/>
      <c r="AM75" s="27"/>
      <c r="AN75" s="281"/>
    </row>
    <row r="76" spans="1:46" s="4" customFormat="1" ht="12.75" customHeight="1">
      <c r="A76" s="27"/>
      <c r="B76" s="1649"/>
      <c r="C76" s="1649"/>
      <c r="D76" s="1649"/>
      <c r="E76" s="1649"/>
      <c r="F76" s="1649"/>
      <c r="G76" s="1649"/>
      <c r="H76" s="1649"/>
      <c r="I76" s="164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03"/>
      <c r="AM76" s="27"/>
      <c r="AN76" s="281"/>
    </row>
    <row r="77" spans="1:46" s="4" customFormat="1" ht="12.75" customHeight="1">
      <c r="A77" s="27"/>
      <c r="B77" s="1649"/>
      <c r="C77" s="1649"/>
      <c r="D77" s="1649"/>
      <c r="E77" s="1649"/>
      <c r="F77" s="1649"/>
      <c r="G77" s="1649"/>
      <c r="H77" s="1649"/>
      <c r="I77" s="164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03"/>
      <c r="AM77" s="27"/>
      <c r="AN77" s="281"/>
    </row>
    <row r="78" spans="1:46" s="4" customFormat="1" ht="12.75" customHeight="1">
      <c r="A78" s="27"/>
      <c r="B78" s="1649"/>
      <c r="C78" s="1649"/>
      <c r="D78" s="1649"/>
      <c r="E78" s="1649"/>
      <c r="F78" s="1649"/>
      <c r="G78" s="1649"/>
      <c r="H78" s="1649"/>
      <c r="I78" s="164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03"/>
      <c r="AM78" s="27"/>
      <c r="AN78" s="281"/>
    </row>
    <row r="79" spans="1:46" s="4" customFormat="1" ht="12.75" customHeight="1">
      <c r="A79" s="27"/>
      <c r="B79" s="1649"/>
      <c r="C79" s="1649"/>
      <c r="D79" s="1649"/>
      <c r="E79" s="1649"/>
      <c r="F79" s="1649"/>
      <c r="G79" s="1649"/>
      <c r="H79" s="1649"/>
      <c r="I79" s="164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03"/>
      <c r="AM79" s="27"/>
      <c r="AN79" s="281"/>
    </row>
    <row r="80" spans="1:46" s="4" customFormat="1" ht="12.75" customHeight="1">
      <c r="A80" s="27"/>
      <c r="B80" s="1649"/>
      <c r="C80" s="1649"/>
      <c r="D80" s="1649"/>
      <c r="E80" s="1649"/>
      <c r="F80" s="1649"/>
      <c r="G80" s="1649"/>
      <c r="H80" s="1649"/>
      <c r="I80" s="164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03"/>
      <c r="AM80" s="27"/>
      <c r="AN80" s="281"/>
    </row>
    <row r="81" spans="1:42" ht="12.75" customHeight="1">
      <c r="A81" s="27"/>
      <c r="B81" s="1649"/>
      <c r="C81" s="1649"/>
      <c r="D81" s="1649"/>
      <c r="E81" s="1649"/>
      <c r="F81" s="1649"/>
      <c r="G81" s="1649"/>
      <c r="H81" s="1649"/>
      <c r="I81" s="164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03"/>
      <c r="AM81" s="27"/>
    </row>
    <row r="82" spans="1:42" s="4" customFormat="1" ht="12.75" customHeight="1">
      <c r="B82" s="1649"/>
      <c r="C82" s="1649"/>
      <c r="D82" s="1649"/>
      <c r="E82" s="1649"/>
      <c r="F82" s="1649"/>
      <c r="G82" s="1649"/>
      <c r="H82" s="1649"/>
      <c r="I82" s="164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03"/>
      <c r="AN82" s="281"/>
    </row>
    <row r="83" spans="1:42" s="4" customFormat="1" ht="12.75" customHeight="1">
      <c r="B83" s="1649"/>
      <c r="C83" s="1649"/>
      <c r="D83" s="1649"/>
      <c r="E83" s="1649"/>
      <c r="F83" s="1649"/>
      <c r="G83" s="1649"/>
      <c r="H83" s="1649"/>
      <c r="I83" s="164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03"/>
      <c r="AN83" s="281"/>
    </row>
    <row r="84" spans="1:42" s="4" customFormat="1" ht="14.4" customHeight="1">
      <c r="B84" s="1649"/>
      <c r="C84" s="1649"/>
      <c r="D84" s="1649"/>
      <c r="E84" s="1649"/>
      <c r="F84" s="1649"/>
      <c r="G84" s="1649"/>
      <c r="H84" s="1649"/>
      <c r="I84" s="164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03"/>
      <c r="AN84" s="281"/>
    </row>
    <row r="85" spans="1:42" s="4" customFormat="1" ht="12.75" customHeight="1">
      <c r="B85" s="1649"/>
      <c r="C85" s="1649"/>
      <c r="D85" s="1649"/>
      <c r="E85" s="1649"/>
      <c r="F85" s="1649"/>
      <c r="G85" s="1649"/>
      <c r="H85" s="1649"/>
      <c r="I85" s="164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58</v>
      </c>
      <c r="AG95" s="1695"/>
      <c r="AH95" s="1695"/>
      <c r="AI95" s="1695"/>
      <c r="AJ95" s="1695"/>
      <c r="AK95" s="1695"/>
      <c r="AL95" s="1695"/>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59</v>
      </c>
      <c r="AG100" s="1695"/>
      <c r="AH100" s="1695"/>
      <c r="AI100" s="1695"/>
      <c r="AJ100" s="1695"/>
      <c r="AK100" s="1695"/>
      <c r="AL100" s="1695"/>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60</v>
      </c>
      <c r="AG105" s="1695"/>
      <c r="AH105" s="1695"/>
      <c r="AI105" s="1695"/>
      <c r="AJ105" s="1695"/>
      <c r="AK105" s="1695"/>
      <c r="AL105" s="1695"/>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61</v>
      </c>
      <c r="AG109" s="1695"/>
      <c r="AH109" s="1695"/>
      <c r="AI109" s="1695"/>
      <c r="AJ109" s="1695"/>
      <c r="AK109" s="1695"/>
      <c r="AL109" s="1695"/>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6" t="s">
        <v>731</v>
      </c>
      <c r="I112" s="1686"/>
      <c r="J112" s="116"/>
      <c r="K112" s="116"/>
      <c r="L112" s="116"/>
      <c r="M112" s="937" t="s">
        <v>2099</v>
      </c>
      <c r="R112" s="1805" t="s">
        <v>2219</v>
      </c>
      <c r="S112" s="1805"/>
      <c r="T112" s="1805"/>
      <c r="U112" s="1805"/>
      <c r="V112" s="1805"/>
      <c r="W112" s="1805"/>
      <c r="Y112" s="1574" t="str">
        <f>IF(AND(H112="(i)",NOT(Application!AF411&gt;25)),AO103,IF(AND(H112="(iv)",OR(R112=AO108,R112=AO109),NOT(AP94)),AO104,""))</f>
        <v/>
      </c>
      <c r="Z112" s="1574"/>
      <c r="AA112" s="1574"/>
      <c r="AB112" s="1574"/>
      <c r="AC112" s="1574"/>
      <c r="AD112" s="1574"/>
      <c r="AE112" s="1574"/>
      <c r="AF112" s="1574"/>
      <c r="AG112" s="1574"/>
      <c r="AH112" s="1574"/>
      <c r="AI112" s="1574"/>
      <c r="AJ112" s="1574"/>
      <c r="AK112" s="1574"/>
      <c r="AL112" s="1574"/>
      <c r="AM112" s="1886"/>
      <c r="AN112" s="957"/>
    </row>
    <row r="113" spans="1:47" s="4" customFormat="1" ht="12.75" customHeight="1">
      <c r="B113" s="5"/>
      <c r="C113" s="115"/>
      <c r="E113" s="116"/>
      <c r="F113" s="116"/>
      <c r="G113" s="116"/>
      <c r="H113" s="116"/>
      <c r="I113" s="116"/>
      <c r="J113" s="116"/>
      <c r="K113" s="116"/>
      <c r="L113" s="116"/>
      <c r="M113" s="116"/>
      <c r="Y113" s="1574"/>
      <c r="Z113" s="1574"/>
      <c r="AA113" s="1574"/>
      <c r="AB113" s="1574"/>
      <c r="AC113" s="1574"/>
      <c r="AD113" s="1574"/>
      <c r="AE113" s="1574"/>
      <c r="AF113" s="1574"/>
      <c r="AG113" s="1574"/>
      <c r="AH113" s="1574"/>
      <c r="AI113" s="1574"/>
      <c r="AJ113" s="1574"/>
      <c r="AK113" s="1574"/>
      <c r="AL113" s="1574"/>
      <c r="AM113" s="1886"/>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7" t="s">
        <v>2247</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124</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1471</v>
      </c>
      <c r="AP117" s="4">
        <v>3</v>
      </c>
    </row>
    <row r="118" spans="1:47" s="4" customFormat="1" ht="12.75" customHeight="1">
      <c r="B118" s="5"/>
      <c r="C118" s="115"/>
      <c r="E118" s="4" t="s">
        <v>147</v>
      </c>
      <c r="F118" s="116"/>
      <c r="G118" s="116"/>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0" t="s">
        <v>124</v>
      </c>
      <c r="C120" s="1800"/>
      <c r="D120" s="49"/>
      <c r="E120" s="1649" t="s">
        <v>1769</v>
      </c>
      <c r="F120" s="1649"/>
      <c r="G120" s="1649"/>
      <c r="H120" s="1649"/>
      <c r="I120" s="164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49"/>
      <c r="AI120" s="49"/>
      <c r="AJ120" s="49"/>
      <c r="AK120" s="49"/>
      <c r="AL120" s="49"/>
      <c r="AN120" s="281"/>
    </row>
    <row r="121" spans="1:47" s="4" customFormat="1" ht="12.75" customHeight="1">
      <c r="B121" s="5"/>
      <c r="C121" s="115"/>
      <c r="D121" s="49"/>
      <c r="E121" s="1649"/>
      <c r="F121" s="1649"/>
      <c r="G121" s="1649"/>
      <c r="H121" s="1649"/>
      <c r="I121" s="164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49"/>
      <c r="AI121" s="49"/>
      <c r="AJ121" s="49"/>
      <c r="AK121" s="49"/>
      <c r="AL121" s="49"/>
      <c r="AN121" s="281"/>
    </row>
    <row r="122" spans="1:47" s="4" customFormat="1" ht="12.75" customHeight="1">
      <c r="B122" s="5"/>
      <c r="C122" s="115"/>
      <c r="D122" s="49"/>
      <c r="E122" s="1649"/>
      <c r="F122" s="1649"/>
      <c r="G122" s="1649"/>
      <c r="H122" s="1649"/>
      <c r="I122" s="164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4</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3" t="s">
        <v>1837</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5" t="s">
        <v>61</v>
      </c>
      <c r="AG128" s="1695"/>
      <c r="AH128" s="1695"/>
      <c r="AI128" s="1695"/>
      <c r="AJ128" s="1695"/>
      <c r="AK128" s="1695"/>
      <c r="AL128" s="1695"/>
      <c r="AM128" s="4"/>
      <c r="AN128" s="298"/>
      <c r="AO128" s="4" t="str">
        <f>S133</f>
        <v>N/A</v>
      </c>
    </row>
    <row r="129" spans="1:42" s="4" customFormat="1" ht="12.75" customHeight="1">
      <c r="A129" s="120"/>
      <c r="B129" s="5"/>
      <c r="C129" s="115"/>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81"/>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81"/>
    </row>
    <row r="131" spans="1:42" s="4" customFormat="1" ht="12.75" customHeight="1">
      <c r="A131" s="35"/>
      <c r="B131" s="102"/>
      <c r="C131" s="121"/>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2"/>
      <c r="AG131" s="19"/>
      <c r="AH131" s="19"/>
      <c r="AI131" s="19"/>
      <c r="AJ131" s="19"/>
      <c r="AN131" s="281"/>
    </row>
    <row r="132" spans="1:42" s="4" customFormat="1" ht="22.95" customHeight="1">
      <c r="B132" s="102"/>
      <c r="C132" s="121"/>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103</v>
      </c>
      <c r="AG135" s="1695"/>
      <c r="AH135" s="1695"/>
      <c r="AI135" s="1695"/>
      <c r="AJ135" s="1695"/>
      <c r="AK135" s="1695"/>
      <c r="AL135" s="169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6" t="s">
        <v>124</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0</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61</v>
      </c>
      <c r="AG143" s="1695"/>
      <c r="AH143" s="1695"/>
      <c r="AI143" s="1695"/>
      <c r="AJ143" s="1695"/>
      <c r="AK143" s="1695"/>
      <c r="AL143" s="1695"/>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6" t="s">
        <v>124</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0</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9" t="s">
        <v>746</v>
      </c>
      <c r="F156" s="1649"/>
      <c r="G156" s="1649"/>
      <c r="H156" s="1649"/>
      <c r="I156" s="164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E156" s="342"/>
      <c r="AF156" s="1113" t="s">
        <v>59</v>
      </c>
      <c r="AG156" s="1113"/>
      <c r="AH156" s="1113"/>
      <c r="AI156" s="1113"/>
      <c r="AJ156" s="1113"/>
      <c r="AK156" s="1113"/>
      <c r="AL156" s="1113"/>
      <c r="AN156" s="281"/>
    </row>
    <row r="157" spans="1:42" s="4" customFormat="1" ht="12.75" customHeight="1">
      <c r="C157" s="3"/>
      <c r="E157" s="1649"/>
      <c r="F157" s="1649"/>
      <c r="G157" s="1649"/>
      <c r="H157" s="1649"/>
      <c r="I157" s="164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E157" s="342"/>
      <c r="AF157" s="342"/>
      <c r="AG157" s="342"/>
      <c r="AH157" s="342"/>
      <c r="AI157" s="342"/>
      <c r="AJ157" s="342"/>
      <c r="AK157" s="342"/>
      <c r="AL157" s="342"/>
      <c r="AN157" s="281"/>
    </row>
    <row r="158" spans="1:42" s="4" customFormat="1" ht="12.75" customHeight="1">
      <c r="C158" s="3"/>
      <c r="D158" s="26"/>
      <c r="E158" s="1649"/>
      <c r="F158" s="1649"/>
      <c r="G158" s="1649"/>
      <c r="H158" s="1649"/>
      <c r="I158" s="164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9" t="s">
        <v>1713</v>
      </c>
      <c r="F160" s="1649"/>
      <c r="G160" s="1649"/>
      <c r="H160" s="1649"/>
      <c r="I160" s="164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E160" s="342"/>
      <c r="AF160" s="1113" t="s">
        <v>60</v>
      </c>
      <c r="AG160" s="1113"/>
      <c r="AH160" s="1113"/>
      <c r="AI160" s="1113"/>
      <c r="AJ160" s="1113"/>
      <c r="AK160" s="1113"/>
      <c r="AL160" s="1113"/>
      <c r="AN160" s="281"/>
    </row>
    <row r="161" spans="1:42" s="4" customFormat="1" ht="12.75" customHeight="1">
      <c r="C161" s="3"/>
      <c r="E161" s="1649"/>
      <c r="F161" s="1649"/>
      <c r="G161" s="1649"/>
      <c r="H161" s="1649"/>
      <c r="I161" s="164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E161" s="342"/>
      <c r="AF161" s="342"/>
      <c r="AG161" s="342"/>
      <c r="AH161" s="342"/>
      <c r="AI161" s="342"/>
      <c r="AJ161" s="342"/>
      <c r="AK161" s="342"/>
      <c r="AL161" s="342"/>
      <c r="AN161" s="281"/>
    </row>
    <row r="162" spans="1:42" s="4" customFormat="1" ht="15" customHeight="1">
      <c r="C162" s="3"/>
      <c r="D162" s="26"/>
      <c r="E162" s="1649"/>
      <c r="F162" s="1649"/>
      <c r="G162" s="1649"/>
      <c r="H162" s="1649"/>
      <c r="I162" s="164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9" t="s">
        <v>1714</v>
      </c>
      <c r="F164" s="1649"/>
      <c r="G164" s="1649"/>
      <c r="H164" s="1649"/>
      <c r="I164" s="164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E164" s="342"/>
      <c r="AF164" s="1113" t="s">
        <v>61</v>
      </c>
      <c r="AG164" s="1113"/>
      <c r="AH164" s="1113"/>
      <c r="AI164" s="1113"/>
      <c r="AJ164" s="1113"/>
      <c r="AK164" s="1113"/>
      <c r="AL164" s="1113"/>
      <c r="AN164" s="281"/>
    </row>
    <row r="165" spans="1:42" s="4" customFormat="1" ht="12.75" customHeight="1">
      <c r="B165" s="5"/>
      <c r="C165" s="45"/>
      <c r="E165" s="1649"/>
      <c r="F165" s="1649"/>
      <c r="G165" s="1649"/>
      <c r="H165" s="1649"/>
      <c r="I165" s="164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E165" s="1113"/>
      <c r="AF165" s="1113"/>
      <c r="AG165" s="1113"/>
      <c r="AH165" s="1113"/>
      <c r="AI165" s="1113"/>
      <c r="AJ165" s="1113"/>
      <c r="AK165" s="1113"/>
      <c r="AL165" s="967"/>
      <c r="AN165" s="281"/>
    </row>
    <row r="166" spans="1:42" s="4" customFormat="1" ht="12.75" customHeight="1">
      <c r="A166" s="120"/>
      <c r="D166" s="26"/>
      <c r="E166" s="1649"/>
      <c r="F166" s="1649"/>
      <c r="G166" s="1649"/>
      <c r="H166" s="1649"/>
      <c r="I166" s="164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9" t="s">
        <v>1715</v>
      </c>
      <c r="F168" s="1649"/>
      <c r="G168" s="1649"/>
      <c r="H168" s="1649"/>
      <c r="I168" s="164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E168" s="342"/>
      <c r="AF168" s="1113" t="s">
        <v>60</v>
      </c>
      <c r="AG168" s="1113"/>
      <c r="AH168" s="1113"/>
      <c r="AI168" s="1113"/>
      <c r="AJ168" s="1113"/>
      <c r="AK168" s="1113"/>
      <c r="AL168" s="1113"/>
      <c r="AN168" s="281"/>
    </row>
    <row r="169" spans="1:42" s="4" customFormat="1" ht="12.75" customHeight="1">
      <c r="A169" s="111"/>
      <c r="B169" s="5"/>
      <c r="C169" s="126"/>
      <c r="D169" s="26"/>
      <c r="E169" s="1649"/>
      <c r="F169" s="1649"/>
      <c r="G169" s="1649"/>
      <c r="H169" s="1649"/>
      <c r="I169" s="164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9"/>
      <c r="F170" s="1649"/>
      <c r="G170" s="1649"/>
      <c r="H170" s="1649"/>
      <c r="I170" s="164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9" t="s">
        <v>1716</v>
      </c>
      <c r="F172" s="1649"/>
      <c r="G172" s="1649"/>
      <c r="H172" s="1649"/>
      <c r="I172" s="164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E172" s="342"/>
      <c r="AF172" s="1113" t="s">
        <v>61</v>
      </c>
      <c r="AG172" s="1113"/>
      <c r="AH172" s="1113"/>
      <c r="AI172" s="1113"/>
      <c r="AJ172" s="1113"/>
      <c r="AK172" s="1113"/>
      <c r="AL172" s="1113"/>
      <c r="AM172" s="20"/>
      <c r="AN172" s="281"/>
      <c r="AO172" s="26" t="s">
        <v>890</v>
      </c>
      <c r="AP172" s="4">
        <v>3</v>
      </c>
    </row>
    <row r="173" spans="1:42" s="4" customFormat="1" ht="12.75" customHeight="1">
      <c r="B173" s="5"/>
      <c r="C173" s="45"/>
      <c r="D173" s="26"/>
      <c r="E173" s="1649"/>
      <c r="F173" s="1649"/>
      <c r="G173" s="1649"/>
      <c r="H173" s="1649"/>
      <c r="I173" s="164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9"/>
      <c r="F174" s="1649"/>
      <c r="G174" s="1649"/>
      <c r="H174" s="1649"/>
      <c r="I174" s="164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9" t="s">
        <v>1473</v>
      </c>
      <c r="F176" s="1649"/>
      <c r="G176" s="1649"/>
      <c r="H176" s="1649"/>
      <c r="I176" s="164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E176" s="342"/>
      <c r="AF176" s="1113" t="s">
        <v>103</v>
      </c>
      <c r="AG176" s="1113"/>
      <c r="AH176" s="1113"/>
      <c r="AI176" s="1113"/>
      <c r="AJ176" s="1113"/>
      <c r="AK176" s="1113"/>
      <c r="AL176" s="1113"/>
      <c r="AM176" s="20"/>
      <c r="AN176" s="281"/>
      <c r="AO176" s="26" t="s">
        <v>281</v>
      </c>
      <c r="AP176" s="4">
        <v>1</v>
      </c>
    </row>
    <row r="177" spans="1:61" s="4" customFormat="1" ht="22.95" customHeight="1">
      <c r="A177" s="120"/>
      <c r="B177" s="5"/>
      <c r="C177" s="45"/>
      <c r="D177" s="26"/>
      <c r="E177" s="1649"/>
      <c r="F177" s="1649"/>
      <c r="G177" s="1649"/>
      <c r="H177" s="1649"/>
      <c r="I177" s="164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9" t="s">
        <v>1474</v>
      </c>
      <c r="F179" s="1649"/>
      <c r="G179" s="1649"/>
      <c r="H179" s="1649"/>
      <c r="I179" s="164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E179" s="342"/>
      <c r="AF179" s="1113" t="s">
        <v>318</v>
      </c>
      <c r="AG179" s="1113"/>
      <c r="AH179" s="1113"/>
      <c r="AI179" s="1113"/>
      <c r="AJ179" s="1113"/>
      <c r="AK179" s="1113"/>
      <c r="AL179" s="1113"/>
      <c r="AM179" s="20"/>
      <c r="AN179" s="281"/>
    </row>
    <row r="180" spans="1:61" s="4" customFormat="1" ht="22.95" customHeight="1">
      <c r="A180" s="120"/>
      <c r="B180" s="5"/>
      <c r="C180" s="45"/>
      <c r="D180" s="26"/>
      <c r="E180" s="1649"/>
      <c r="F180" s="1649"/>
      <c r="G180" s="1649"/>
      <c r="H180" s="1649"/>
      <c r="I180" s="164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6" t="s">
        <v>581</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5</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5" t="s">
        <v>2310</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40" t="s">
        <v>61</v>
      </c>
      <c r="AG188" s="1140"/>
      <c r="AH188" s="1140"/>
      <c r="AI188" s="1140"/>
      <c r="AJ188" s="1140"/>
      <c r="AK188" s="1140"/>
      <c r="AL188" s="1140"/>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9" t="s">
        <v>2233</v>
      </c>
      <c r="F191" s="1649"/>
      <c r="G191" s="1649"/>
      <c r="H191" s="1649"/>
      <c r="I191" s="1649"/>
      <c r="J191" s="1649"/>
      <c r="K191" s="1649"/>
      <c r="L191" s="1649"/>
      <c r="M191" s="1649"/>
      <c r="N191" s="1649"/>
      <c r="O191" s="1649"/>
      <c r="P191" s="1649"/>
      <c r="Q191" s="1649"/>
      <c r="R191" s="1649"/>
      <c r="S191" s="1649"/>
      <c r="T191" s="1649"/>
      <c r="U191" s="1649"/>
      <c r="V191" s="1649"/>
      <c r="W191" s="1649"/>
      <c r="X191" s="1649"/>
      <c r="Y191" s="1649"/>
      <c r="Z191" s="1649"/>
      <c r="AA191" s="1649"/>
      <c r="AB191" s="1649"/>
      <c r="AF191" s="1113" t="s">
        <v>61</v>
      </c>
      <c r="AG191" s="1113"/>
      <c r="AH191" s="1113"/>
      <c r="AI191" s="1113"/>
      <c r="AJ191" s="1113"/>
      <c r="AK191" s="1113"/>
      <c r="AL191" s="1113"/>
      <c r="AN191" s="281"/>
      <c r="AO191" s="26" t="s">
        <v>581</v>
      </c>
      <c r="AP191" s="4">
        <v>3</v>
      </c>
    </row>
    <row r="192" spans="1:61" s="4" customFormat="1" ht="12.75" customHeight="1">
      <c r="B192" s="5"/>
      <c r="C192" s="121"/>
      <c r="E192" s="1649"/>
      <c r="F192" s="1649"/>
      <c r="G192" s="1649"/>
      <c r="H192" s="1649"/>
      <c r="I192" s="1649"/>
      <c r="J192" s="1649"/>
      <c r="K192" s="1649"/>
      <c r="L192" s="1649"/>
      <c r="M192" s="1649"/>
      <c r="N192" s="1649"/>
      <c r="O192" s="1649"/>
      <c r="P192" s="1649"/>
      <c r="Q192" s="1649"/>
      <c r="R192" s="1649"/>
      <c r="S192" s="1649"/>
      <c r="T192" s="1649"/>
      <c r="U192" s="1649"/>
      <c r="V192" s="1649"/>
      <c r="W192" s="1649"/>
      <c r="X192" s="1649"/>
      <c r="Y192" s="1649"/>
      <c r="Z192" s="1649"/>
      <c r="AA192" s="1649"/>
      <c r="AB192" s="1649"/>
      <c r="AE192" s="19"/>
      <c r="AF192" s="1113"/>
      <c r="AG192" s="1113"/>
      <c r="AH192" s="1113"/>
      <c r="AI192" s="1113"/>
      <c r="AJ192" s="1113"/>
      <c r="AK192" s="1113"/>
      <c r="AL192" s="1113"/>
      <c r="AN192" s="281"/>
      <c r="AO192" s="26" t="s">
        <v>197</v>
      </c>
      <c r="AP192" s="26">
        <f>3*$AO$197</f>
        <v>0</v>
      </c>
    </row>
    <row r="193" spans="1:53" s="4" customFormat="1" ht="12.75" customHeight="1">
      <c r="B193" s="5"/>
      <c r="C193" s="121"/>
      <c r="E193" s="1649"/>
      <c r="F193" s="1649"/>
      <c r="G193" s="1649"/>
      <c r="H193" s="1649"/>
      <c r="I193" s="1649"/>
      <c r="J193" s="1649"/>
      <c r="K193" s="1649"/>
      <c r="L193" s="1649"/>
      <c r="M193" s="1649"/>
      <c r="N193" s="1649"/>
      <c r="O193" s="1649"/>
      <c r="P193" s="1649"/>
      <c r="Q193" s="1649"/>
      <c r="R193" s="1649"/>
      <c r="S193" s="1649"/>
      <c r="T193" s="1649"/>
      <c r="U193" s="1649"/>
      <c r="V193" s="1649"/>
      <c r="W193" s="1649"/>
      <c r="X193" s="1649"/>
      <c r="Y193" s="1649"/>
      <c r="Z193" s="1649"/>
      <c r="AA193" s="1649"/>
      <c r="AB193" s="1649"/>
      <c r="AE193" s="19"/>
      <c r="AF193" s="102"/>
      <c r="AG193" s="19"/>
      <c r="AH193" s="19"/>
      <c r="AI193" s="19"/>
      <c r="AJ193" s="19"/>
      <c r="AK193" s="19"/>
      <c r="AL193" s="19"/>
      <c r="AN193" s="281"/>
      <c r="AO193" s="4" t="s">
        <v>890</v>
      </c>
      <c r="AP193" s="26">
        <f>2*$AO$197</f>
        <v>0</v>
      </c>
    </row>
    <row r="194" spans="1:53" s="4" customFormat="1" ht="6.75" customHeight="1">
      <c r="B194" s="5"/>
      <c r="C194" s="121"/>
      <c r="E194" s="1649"/>
      <c r="F194" s="1649"/>
      <c r="G194" s="1649"/>
      <c r="H194" s="1649"/>
      <c r="I194" s="1649"/>
      <c r="J194" s="1649"/>
      <c r="K194" s="1649"/>
      <c r="L194" s="1649"/>
      <c r="M194" s="1649"/>
      <c r="N194" s="1649"/>
      <c r="O194" s="1649"/>
      <c r="P194" s="1649"/>
      <c r="Q194" s="1649"/>
      <c r="R194" s="1649"/>
      <c r="S194" s="1649"/>
      <c r="T194" s="1649"/>
      <c r="U194" s="1649"/>
      <c r="V194" s="1649"/>
      <c r="W194" s="1649"/>
      <c r="X194" s="1649"/>
      <c r="Y194" s="1649"/>
      <c r="Z194" s="1649"/>
      <c r="AA194" s="1649"/>
      <c r="AB194" s="164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9" t="s">
        <v>2234</v>
      </c>
      <c r="F196" s="1649"/>
      <c r="G196" s="1649"/>
      <c r="H196" s="1649"/>
      <c r="I196" s="1649"/>
      <c r="J196" s="1649"/>
      <c r="K196" s="1649"/>
      <c r="L196" s="1649"/>
      <c r="M196" s="1649"/>
      <c r="N196" s="1649"/>
      <c r="O196" s="1649"/>
      <c r="P196" s="1649"/>
      <c r="Q196" s="1649"/>
      <c r="R196" s="1649"/>
      <c r="S196" s="1649"/>
      <c r="T196" s="1649"/>
      <c r="U196" s="1649"/>
      <c r="V196" s="1649"/>
      <c r="W196" s="1649"/>
      <c r="X196" s="1649"/>
      <c r="Y196" s="1649"/>
      <c r="Z196" s="1649"/>
      <c r="AA196" s="1649"/>
      <c r="AB196" s="1649"/>
      <c r="AF196" s="1113" t="s">
        <v>103</v>
      </c>
      <c r="AG196" s="1113"/>
      <c r="AH196" s="1113"/>
      <c r="AI196" s="1113"/>
      <c r="AJ196" s="1113"/>
      <c r="AK196" s="1113"/>
      <c r="AL196" s="1113"/>
      <c r="AN196" s="281"/>
      <c r="AY196" s="4" t="s">
        <v>2235</v>
      </c>
      <c r="AZ196" s="959">
        <f>Application!AC215</f>
        <v>75</v>
      </c>
    </row>
    <row r="197" spans="1:53" s="4" customFormat="1" ht="12.75" customHeight="1">
      <c r="B197" s="5"/>
      <c r="C197" s="45"/>
      <c r="E197" s="1649"/>
      <c r="F197" s="1649"/>
      <c r="G197" s="1649"/>
      <c r="H197" s="1649"/>
      <c r="I197" s="1649"/>
      <c r="J197" s="1649"/>
      <c r="K197" s="1649"/>
      <c r="L197" s="1649"/>
      <c r="M197" s="1649"/>
      <c r="N197" s="1649"/>
      <c r="O197" s="1649"/>
      <c r="P197" s="1649"/>
      <c r="Q197" s="1649"/>
      <c r="R197" s="1649"/>
      <c r="S197" s="1649"/>
      <c r="T197" s="1649"/>
      <c r="U197" s="1649"/>
      <c r="V197" s="1649"/>
      <c r="W197" s="1649"/>
      <c r="X197" s="1649"/>
      <c r="Y197" s="1649"/>
      <c r="Z197" s="1649"/>
      <c r="AA197" s="1649"/>
      <c r="AB197" s="1649"/>
      <c r="AD197" s="5"/>
      <c r="AE197" s="19"/>
      <c r="AF197" s="1113"/>
      <c r="AG197" s="1113"/>
      <c r="AH197" s="1113"/>
      <c r="AI197" s="1113"/>
      <c r="AJ197" s="1113"/>
      <c r="AK197" s="1113"/>
      <c r="AL197" s="1113"/>
      <c r="AN197" s="281"/>
      <c r="AO197" s="127" t="b">
        <f>IF(OR(Application!D214="Special Needs",Application!D211="At-Risk and Special Needs"),IF(BA203&gt;=0.25,TRUE,FALSE),IF(AZ203&gt;=0.25,TRUE,FALSE))</f>
        <v>0</v>
      </c>
      <c r="AY197" s="4" t="s">
        <v>2236</v>
      </c>
      <c r="AZ197" s="959">
        <f>Application!G730</f>
        <v>75</v>
      </c>
    </row>
    <row r="198" spans="1:53" s="4" customFormat="1" ht="12.75" customHeight="1">
      <c r="B198" s="5"/>
      <c r="C198" s="45"/>
      <c r="E198" s="1649"/>
      <c r="F198" s="1649"/>
      <c r="G198" s="1649"/>
      <c r="H198" s="1649"/>
      <c r="I198" s="1649"/>
      <c r="J198" s="1649"/>
      <c r="K198" s="1649"/>
      <c r="L198" s="1649"/>
      <c r="M198" s="1649"/>
      <c r="N198" s="1649"/>
      <c r="O198" s="1649"/>
      <c r="P198" s="1649"/>
      <c r="Q198" s="1649"/>
      <c r="R198" s="1649"/>
      <c r="S198" s="1649"/>
      <c r="T198" s="1649"/>
      <c r="U198" s="1649"/>
      <c r="V198" s="1649"/>
      <c r="W198" s="1649"/>
      <c r="X198" s="1649"/>
      <c r="Y198" s="1649"/>
      <c r="Z198" s="1649"/>
      <c r="AA198" s="1649"/>
      <c r="AB198" s="1649"/>
      <c r="AD198" s="5"/>
      <c r="AE198" s="19"/>
      <c r="AN198" s="281"/>
      <c r="AY198" s="4" t="s">
        <v>2238</v>
      </c>
      <c r="AZ198" s="4">
        <f>Application!CC626</f>
        <v>0</v>
      </c>
    </row>
    <row r="199" spans="1:53" customFormat="1" ht="12.75" customHeight="1">
      <c r="A199" s="4"/>
      <c r="B199" s="5"/>
      <c r="C199" s="45"/>
      <c r="D199" s="4"/>
      <c r="E199" s="1649"/>
      <c r="F199" s="1649"/>
      <c r="G199" s="1649"/>
      <c r="H199" s="1649"/>
      <c r="I199" s="164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2292</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6" t="s">
        <v>581</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9">
        <f>VLOOKUP($H$204,$AO$190:$AP$193,2,FALSE)</f>
        <v>3</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1254</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695" t="s">
        <v>61</v>
      </c>
      <c r="AG210" s="1695"/>
      <c r="AH210" s="1695"/>
      <c r="AI210" s="1695"/>
      <c r="AJ210" s="1695"/>
      <c r="AK210" s="1695"/>
      <c r="AL210" s="1695"/>
      <c r="AM210" s="4"/>
      <c r="AN210" s="204"/>
      <c r="AO210" s="4" t="s">
        <v>124</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3.95"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5" customHeight="1">
      <c r="A213" s="4"/>
      <c r="B213" s="5"/>
      <c r="C213" s="45"/>
      <c r="D213" s="26" t="s">
        <v>197</v>
      </c>
      <c r="E213" s="1694" t="s">
        <v>1255</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103</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6" t="s">
        <v>124</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9" t="s">
        <v>1490</v>
      </c>
      <c r="F222" s="1649"/>
      <c r="G222" s="1649"/>
      <c r="H222" s="1649"/>
      <c r="I222" s="164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4"/>
      <c r="AD222" s="4"/>
      <c r="AF222" s="1695" t="s">
        <v>61</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9"/>
      <c r="F223" s="1649"/>
      <c r="G223" s="1649"/>
      <c r="H223" s="1649"/>
      <c r="I223" s="164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9" t="s">
        <v>882</v>
      </c>
      <c r="F225" s="1649"/>
      <c r="G225" s="1649"/>
      <c r="H225" s="1649"/>
      <c r="I225" s="164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4"/>
      <c r="AD225" s="4"/>
      <c r="AF225" s="1695" t="s">
        <v>103</v>
      </c>
      <c r="AG225" s="1695"/>
      <c r="AH225" s="1695"/>
      <c r="AI225" s="1695"/>
      <c r="AJ225" s="1695"/>
      <c r="AK225" s="1695"/>
      <c r="AL225" s="1695"/>
      <c r="AM225" s="4"/>
      <c r="AN225" s="204"/>
      <c r="AO225" s="4" t="s">
        <v>124</v>
      </c>
      <c r="AP225" s="472">
        <v>0</v>
      </c>
      <c r="AT225" s="21"/>
      <c r="AU225" s="21"/>
      <c r="AV225" s="21"/>
      <c r="AW225" s="21"/>
      <c r="AX225" s="21"/>
      <c r="AY225" s="21"/>
      <c r="AZ225" s="21"/>
    </row>
    <row r="226" spans="1:82" customFormat="1">
      <c r="A226" s="4"/>
      <c r="B226" s="5"/>
      <c r="C226" s="115"/>
      <c r="D226" s="4"/>
      <c r="E226" s="1649"/>
      <c r="F226" s="1649"/>
      <c r="G226" s="1649"/>
      <c r="H226" s="1649"/>
      <c r="I226" s="164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6" t="s">
        <v>197</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2</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9" t="s">
        <v>1123</v>
      </c>
      <c r="F234" s="1649"/>
      <c r="G234" s="1649"/>
      <c r="H234" s="1649"/>
      <c r="I234" s="164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4"/>
      <c r="AD234" s="4"/>
      <c r="AF234" s="1695" t="s">
        <v>61</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9"/>
      <c r="F235" s="1649"/>
      <c r="G235" s="1649"/>
      <c r="H235" s="1649"/>
      <c r="I235" s="164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4"/>
      <c r="AD235" s="4"/>
      <c r="AL235" s="4"/>
      <c r="AM235" s="4"/>
      <c r="AN235" s="204"/>
    </row>
    <row r="236" spans="1:82" customFormat="1" ht="12.75" customHeight="1">
      <c r="A236" s="4"/>
      <c r="B236" s="5"/>
      <c r="C236" s="115"/>
      <c r="D236" s="26"/>
      <c r="E236" s="1649"/>
      <c r="F236" s="1649"/>
      <c r="G236" s="1649"/>
      <c r="H236" s="1649"/>
      <c r="I236" s="164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9" t="s">
        <v>1124</v>
      </c>
      <c r="F238" s="1649"/>
      <c r="G238" s="1649"/>
      <c r="H238" s="1649"/>
      <c r="I238" s="1649"/>
      <c r="J238" s="1649"/>
      <c r="K238" s="1649"/>
      <c r="L238" s="1649"/>
      <c r="M238" s="1649"/>
      <c r="N238" s="1649"/>
      <c r="O238" s="1649"/>
      <c r="P238" s="1649"/>
      <c r="Q238" s="1649"/>
      <c r="R238" s="1649"/>
      <c r="S238" s="1649"/>
      <c r="T238" s="1649"/>
      <c r="U238" s="1649"/>
      <c r="V238" s="1649"/>
      <c r="W238" s="1649"/>
      <c r="X238" s="1649"/>
      <c r="Y238" s="1649"/>
      <c r="Z238" s="1649"/>
      <c r="AA238" s="1649"/>
      <c r="AB238" s="343"/>
      <c r="AC238" s="4"/>
      <c r="AD238" s="4"/>
      <c r="AF238" s="1695" t="s">
        <v>103</v>
      </c>
      <c r="AG238" s="1695"/>
      <c r="AH238" s="1695"/>
      <c r="AI238" s="1695"/>
      <c r="AJ238" s="1695"/>
      <c r="AK238" s="1695"/>
      <c r="AL238" s="1695"/>
      <c r="AM238" s="4"/>
      <c r="AN238" s="204"/>
      <c r="AO238" s="38"/>
      <c r="AP238" s="21"/>
    </row>
    <row r="239" spans="1:82" customFormat="1">
      <c r="A239" s="4"/>
      <c r="B239" s="5"/>
      <c r="C239" s="45"/>
      <c r="D239" s="4"/>
      <c r="E239" s="1649"/>
      <c r="F239" s="1649"/>
      <c r="G239" s="1649"/>
      <c r="H239" s="1649"/>
      <c r="I239" s="1649"/>
      <c r="J239" s="1649"/>
      <c r="K239" s="1649"/>
      <c r="L239" s="1649"/>
      <c r="M239" s="1649"/>
      <c r="N239" s="1649"/>
      <c r="O239" s="1649"/>
      <c r="P239" s="1649"/>
      <c r="Q239" s="1649"/>
      <c r="R239" s="1649"/>
      <c r="S239" s="1649"/>
      <c r="T239" s="1649"/>
      <c r="U239" s="1649"/>
      <c r="V239" s="1649"/>
      <c r="W239" s="1649"/>
      <c r="X239" s="1649"/>
      <c r="Y239" s="1649"/>
      <c r="Z239" s="1649"/>
      <c r="AA239" s="164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9"/>
      <c r="F240" s="1649"/>
      <c r="G240" s="1649"/>
      <c r="H240" s="1649"/>
      <c r="I240" s="1649"/>
      <c r="J240" s="1649"/>
      <c r="K240" s="1649"/>
      <c r="L240" s="1649"/>
      <c r="M240" s="1649"/>
      <c r="N240" s="1649"/>
      <c r="O240" s="1649"/>
      <c r="P240" s="1649"/>
      <c r="Q240" s="1649"/>
      <c r="R240" s="1649"/>
      <c r="S240" s="1649"/>
      <c r="T240" s="1649"/>
      <c r="U240" s="1649"/>
      <c r="V240" s="1649"/>
      <c r="W240" s="1649"/>
      <c r="X240" s="1649"/>
      <c r="Y240" s="1649"/>
      <c r="Z240" s="1649"/>
      <c r="AA240" s="164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6" t="s">
        <v>197</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2</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9" t="s">
        <v>317</v>
      </c>
      <c r="F248" s="1649"/>
      <c r="G248" s="1649"/>
      <c r="H248" s="1649"/>
      <c r="I248" s="164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4"/>
      <c r="AD248" s="4"/>
      <c r="AF248" s="1695" t="s">
        <v>103</v>
      </c>
      <c r="AG248" s="1695"/>
      <c r="AH248" s="1695"/>
      <c r="AI248" s="1695"/>
      <c r="AJ248" s="1695"/>
      <c r="AK248" s="1695"/>
      <c r="AL248" s="169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9"/>
      <c r="F249" s="1649"/>
      <c r="G249" s="1649"/>
      <c r="H249" s="1649"/>
      <c r="I249" s="164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9" t="s">
        <v>1256</v>
      </c>
      <c r="F251" s="1649"/>
      <c r="G251" s="1649"/>
      <c r="H251" s="1649"/>
      <c r="I251" s="164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9"/>
      <c r="F252" s="1649"/>
      <c r="G252" s="1649"/>
      <c r="H252" s="1649"/>
      <c r="I252" s="164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6" t="s">
        <v>581</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9" t="s">
        <v>1949</v>
      </c>
      <c r="F260" s="1649"/>
      <c r="G260" s="1649"/>
      <c r="H260" s="1649"/>
      <c r="I260" s="164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F260" s="1695" t="s">
        <v>103</v>
      </c>
      <c r="AG260" s="1695"/>
      <c r="AH260" s="1695"/>
      <c r="AI260" s="1695"/>
      <c r="AJ260" s="1695"/>
      <c r="AK260" s="1695"/>
      <c r="AL260" s="1695"/>
      <c r="AM260" s="104"/>
      <c r="AN260" s="204"/>
      <c r="AO260" s="4" t="s">
        <v>124</v>
      </c>
      <c r="AP260" s="472">
        <v>0</v>
      </c>
    </row>
    <row r="261" spans="1:82" customFormat="1">
      <c r="A261" s="4"/>
      <c r="B261" s="102"/>
      <c r="C261" s="137"/>
      <c r="D261" s="26"/>
      <c r="E261" s="1649"/>
      <c r="F261" s="1649"/>
      <c r="G261" s="1649"/>
      <c r="H261" s="1649"/>
      <c r="I261" s="164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9"/>
      <c r="F262" s="1649"/>
      <c r="G262" s="1649"/>
      <c r="H262" s="1649"/>
      <c r="I262" s="164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5" t="s">
        <v>1950</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61</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6" t="s">
        <v>124</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9" t="s">
        <v>2209</v>
      </c>
      <c r="F275" s="1649"/>
      <c r="G275" s="1649"/>
      <c r="H275" s="1649"/>
      <c r="I275" s="164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F275" s="1695" t="s">
        <v>1633</v>
      </c>
      <c r="AG275" s="1695"/>
      <c r="AH275" s="1695"/>
      <c r="AI275" s="1695"/>
      <c r="AJ275" s="1695"/>
      <c r="AK275" s="1695"/>
      <c r="AL275" s="1695"/>
      <c r="AM275" s="104"/>
      <c r="AN275" s="204"/>
      <c r="AO275" s="26" t="s">
        <v>108</v>
      </c>
      <c r="AP275" s="4">
        <v>8</v>
      </c>
      <c r="AT275" s="428"/>
      <c r="AU275" s="428"/>
      <c r="AV275" s="428"/>
      <c r="AW275" s="428"/>
      <c r="AX275" s="428"/>
      <c r="AY275" s="428"/>
      <c r="AZ275" s="428"/>
    </row>
    <row r="276" spans="1:82" customFormat="1">
      <c r="A276" s="4"/>
      <c r="B276" s="102"/>
      <c r="C276" s="137"/>
      <c r="D276" s="26"/>
      <c r="E276" s="1649"/>
      <c r="F276" s="1649"/>
      <c r="G276" s="1649"/>
      <c r="H276" s="1649"/>
      <c r="I276" s="164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9"/>
      <c r="F277" s="1649"/>
      <c r="G277" s="1649"/>
      <c r="H277" s="1649"/>
      <c r="I277" s="164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6" t="s">
        <v>124</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18</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2404</v>
      </c>
      <c r="I287" s="1056"/>
      <c r="J287" s="1056"/>
      <c r="K287" s="1056"/>
      <c r="L287" s="1056"/>
      <c r="M287" s="1056"/>
      <c r="N287" s="1056"/>
      <c r="O287" s="1056"/>
      <c r="P287" s="1056"/>
      <c r="Q287" s="1056"/>
      <c r="R287" s="1056"/>
      <c r="S287"/>
      <c r="T287" s="41" t="s">
        <v>89</v>
      </c>
      <c r="U287"/>
      <c r="V287" s="41"/>
      <c r="W287" s="41"/>
      <c r="X287" s="41"/>
      <c r="Y287" s="41"/>
      <c r="Z287"/>
      <c r="AA287" s="1056" t="s">
        <v>2411</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2405</v>
      </c>
      <c r="I288" s="1054"/>
      <c r="J288" s="1054"/>
      <c r="K288" s="1054"/>
      <c r="L288" s="1054"/>
      <c r="M288" s="1054"/>
      <c r="N288" s="1054"/>
      <c r="O288" s="1054"/>
      <c r="P288" s="1054"/>
      <c r="Q288" s="1054"/>
      <c r="R288" s="1054"/>
      <c r="S288"/>
      <c r="T288" s="41" t="s">
        <v>699</v>
      </c>
      <c r="U288"/>
      <c r="V288" s="41"/>
      <c r="W288" s="41"/>
      <c r="X288" s="41"/>
      <c r="Y288" s="41"/>
      <c r="Z288"/>
      <c r="AA288" s="1054" t="s">
        <v>2412</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2406</v>
      </c>
      <c r="I289" s="1054"/>
      <c r="J289" s="1054"/>
      <c r="K289" s="1054"/>
      <c r="L289" s="1054"/>
      <c r="M289" s="1054"/>
      <c r="N289" s="1054"/>
      <c r="O289" s="1054"/>
      <c r="P289" s="1054"/>
      <c r="Q289" s="1054"/>
      <c r="R289" s="1054"/>
      <c r="S289"/>
      <c r="T289" s="41" t="s">
        <v>99</v>
      </c>
      <c r="U289"/>
      <c r="V289" s="41"/>
      <c r="W289" s="41"/>
      <c r="X289" s="41"/>
      <c r="Y289" s="41"/>
      <c r="Z289"/>
      <c r="AA289" s="1054" t="s">
        <v>2406</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2407</v>
      </c>
      <c r="I290" s="1054"/>
      <c r="J290" s="1054"/>
      <c r="K290" s="1054"/>
      <c r="L290" s="1054"/>
      <c r="M290" s="1054"/>
      <c r="N290" s="1054"/>
      <c r="O290" s="1054"/>
      <c r="P290" s="1054"/>
      <c r="Q290" s="1054"/>
      <c r="R290" s="1054"/>
      <c r="S290"/>
      <c r="T290" s="41" t="s">
        <v>374</v>
      </c>
      <c r="U290"/>
      <c r="V290" s="41"/>
      <c r="W290" s="41"/>
      <c r="X290" s="41"/>
      <c r="Y290" s="41"/>
      <c r="Z290"/>
      <c r="AA290" s="1054" t="s">
        <v>2413</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2408</v>
      </c>
      <c r="I291" s="1058"/>
      <c r="J291" s="1058"/>
      <c r="K291" s="1058"/>
      <c r="L291" s="1058"/>
      <c r="M291" s="1058"/>
      <c r="N291" s="5" t="s">
        <v>818</v>
      </c>
      <c r="O291" s="5"/>
      <c r="P291" s="1053"/>
      <c r="Q291" s="1053"/>
      <c r="R291" s="1053"/>
      <c r="S291" s="41"/>
      <c r="T291" s="41" t="s">
        <v>375</v>
      </c>
      <c r="U291"/>
      <c r="V291" s="41"/>
      <c r="W291" s="41"/>
      <c r="X291" s="41"/>
      <c r="Y291" s="41"/>
      <c r="Z291"/>
      <c r="AA291" s="1057" t="s">
        <v>2414</v>
      </c>
      <c r="AB291" s="1058"/>
      <c r="AC291" s="1058"/>
      <c r="AD291" s="1058"/>
      <c r="AE291" s="1058"/>
      <c r="AF291" s="1058"/>
      <c r="AG291" s="5" t="s">
        <v>818</v>
      </c>
      <c r="AH291" s="5"/>
      <c r="AI291" s="1053"/>
      <c r="AJ291" s="1053"/>
      <c r="AK291" s="1053"/>
      <c r="AL291" s="10"/>
      <c r="AN291" s="281"/>
      <c r="AO291" s="211"/>
      <c r="AP291" t="s">
        <v>2315</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347</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2409</v>
      </c>
      <c r="I293" s="1054"/>
      <c r="J293" s="1054"/>
      <c r="K293" s="1054"/>
      <c r="L293" s="1054"/>
      <c r="M293" s="1054"/>
      <c r="N293" s="1054"/>
      <c r="O293" s="1054"/>
      <c r="P293" s="1054"/>
      <c r="Q293" s="1054"/>
      <c r="R293" s="1054"/>
      <c r="S293" s="41"/>
      <c r="T293" s="41" t="s">
        <v>90</v>
      </c>
      <c r="U293"/>
      <c r="V293" s="41"/>
      <c r="W293" s="41"/>
      <c r="X293" s="41"/>
      <c r="Y293" s="41"/>
      <c r="Z293"/>
      <c r="AA293" s="1054" t="s">
        <v>2415</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63" t="s">
        <v>2410</v>
      </c>
      <c r="I294" s="1863"/>
      <c r="J294" s="1863"/>
      <c r="K294" s="1863"/>
      <c r="L294" s="1863"/>
      <c r="M294" s="1863"/>
      <c r="N294" s="1863"/>
      <c r="O294" s="1863"/>
      <c r="P294" s="1863"/>
      <c r="Q294" s="1863"/>
      <c r="R294" s="1863"/>
      <c r="S294" s="41"/>
      <c r="T294" s="41" t="s">
        <v>101</v>
      </c>
      <c r="U294" s="41"/>
      <c r="V294" s="41"/>
      <c r="W294" s="41"/>
      <c r="X294" s="41"/>
      <c r="Y294" s="41"/>
      <c r="Z294" s="12"/>
      <c r="AA294" s="1863" t="s">
        <v>2416</v>
      </c>
      <c r="AB294" s="1863"/>
      <c r="AC294" s="1863"/>
      <c r="AD294" s="1863"/>
      <c r="AE294" s="1863"/>
      <c r="AF294" s="1863"/>
      <c r="AG294" s="1863"/>
      <c r="AH294" s="1863"/>
      <c r="AI294" s="1863"/>
      <c r="AJ294" s="1863"/>
      <c r="AK294" s="186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2417</v>
      </c>
      <c r="I296" s="1056"/>
      <c r="J296" s="1056"/>
      <c r="K296" s="1056"/>
      <c r="L296" s="1056"/>
      <c r="M296" s="1056"/>
      <c r="N296" s="1056"/>
      <c r="O296" s="1056"/>
      <c r="P296" s="1056"/>
      <c r="Q296" s="1056"/>
      <c r="R296" s="1056"/>
      <c r="S296"/>
      <c r="T296" s="41" t="s">
        <v>89</v>
      </c>
      <c r="U296"/>
      <c r="V296" s="41"/>
      <c r="W296" s="41"/>
      <c r="X296" s="41"/>
      <c r="Y296" s="41"/>
      <c r="Z296"/>
      <c r="AA296" s="1056" t="s">
        <v>2423</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2418</v>
      </c>
      <c r="I297" s="1054"/>
      <c r="J297" s="1054"/>
      <c r="K297" s="1054"/>
      <c r="L297" s="1054"/>
      <c r="M297" s="1054"/>
      <c r="N297" s="1054"/>
      <c r="O297" s="1054"/>
      <c r="P297" s="1054"/>
      <c r="Q297" s="1054"/>
      <c r="R297" s="1054"/>
      <c r="S297"/>
      <c r="T297" s="41" t="s">
        <v>699</v>
      </c>
      <c r="U297"/>
      <c r="V297" s="41"/>
      <c r="W297" s="41"/>
      <c r="X297" s="41"/>
      <c r="Y297" s="41"/>
      <c r="Z297"/>
      <c r="AA297" s="1054" t="s">
        <v>2424</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2419</v>
      </c>
      <c r="I298" s="1054"/>
      <c r="J298" s="1054"/>
      <c r="K298" s="1054"/>
      <c r="L298" s="1054"/>
      <c r="M298" s="1054"/>
      <c r="N298" s="1054"/>
      <c r="O298" s="1054"/>
      <c r="P298" s="1054"/>
      <c r="Q298" s="1054"/>
      <c r="R298" s="1054"/>
      <c r="S298"/>
      <c r="T298" s="41" t="s">
        <v>99</v>
      </c>
      <c r="U298"/>
      <c r="V298" s="41"/>
      <c r="W298" s="41"/>
      <c r="X298" s="41"/>
      <c r="Y298" s="41"/>
      <c r="Z298"/>
      <c r="AA298" s="1054" t="s">
        <v>2397</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2420</v>
      </c>
      <c r="I299" s="1054"/>
      <c r="J299" s="1054"/>
      <c r="K299" s="1054"/>
      <c r="L299" s="1054"/>
      <c r="M299" s="1054"/>
      <c r="N299" s="1054"/>
      <c r="O299" s="1054"/>
      <c r="P299" s="1054"/>
      <c r="Q299" s="1054"/>
      <c r="R299" s="1054"/>
      <c r="S299"/>
      <c r="T299" s="41" t="s">
        <v>374</v>
      </c>
      <c r="U299"/>
      <c r="V299" s="41"/>
      <c r="W299" s="41"/>
      <c r="X299" s="41"/>
      <c r="Y299" s="41"/>
      <c r="Z299"/>
      <c r="AA299" s="1054" t="s">
        <v>2425</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2421</v>
      </c>
      <c r="I300" s="1058"/>
      <c r="J300" s="1058"/>
      <c r="K300" s="1058"/>
      <c r="L300" s="1058"/>
      <c r="M300" s="1058"/>
      <c r="N300" s="5" t="s">
        <v>818</v>
      </c>
      <c r="O300" s="5"/>
      <c r="P300" s="1053"/>
      <c r="Q300" s="1053"/>
      <c r="R300" s="1053"/>
      <c r="S300" s="41"/>
      <c r="T300" s="41" t="s">
        <v>375</v>
      </c>
      <c r="U300"/>
      <c r="V300" s="41"/>
      <c r="W300" s="41"/>
      <c r="X300" s="41"/>
      <c r="Y300" s="41"/>
      <c r="Z300"/>
      <c r="AA300" s="1057" t="s">
        <v>2426</v>
      </c>
      <c r="AB300" s="1058"/>
      <c r="AC300" s="1058"/>
      <c r="AD300" s="1058"/>
      <c r="AE300" s="1058"/>
      <c r="AF300" s="1058"/>
      <c r="AG300" s="5" t="s">
        <v>818</v>
      </c>
      <c r="AH300" s="5"/>
      <c r="AI300" s="1053"/>
      <c r="AJ300" s="1053"/>
      <c r="AK300" s="1053"/>
      <c r="AL300" s="10"/>
      <c r="AN300" s="281"/>
    </row>
    <row r="301" spans="1:42" s="4" customFormat="1" ht="12.75" customHeight="1">
      <c r="B301" s="41" t="s">
        <v>88</v>
      </c>
      <c r="C301" s="41"/>
      <c r="D301" s="41"/>
      <c r="E301" s="41"/>
      <c r="F301" s="41"/>
      <c r="G301" s="41"/>
      <c r="H301" s="1054" t="s">
        <v>98</v>
      </c>
      <c r="I301" s="1054"/>
      <c r="J301" s="1054"/>
      <c r="K301" s="1054"/>
      <c r="L301" s="1054"/>
      <c r="M301" s="1054"/>
      <c r="N301" s="1054"/>
      <c r="O301" s="1054"/>
      <c r="P301" s="1054"/>
      <c r="Q301" s="1054"/>
      <c r="R301" s="1054"/>
      <c r="S301" s="41"/>
      <c r="T301" s="41" t="s">
        <v>88</v>
      </c>
      <c r="U301"/>
      <c r="V301" s="41"/>
      <c r="W301" s="41"/>
      <c r="X301" s="41"/>
      <c r="Y301" s="41"/>
      <c r="Z301"/>
      <c r="AA301" s="1054" t="s">
        <v>95</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863" t="s">
        <v>2422</v>
      </c>
      <c r="I302" s="1054"/>
      <c r="J302" s="1054"/>
      <c r="K302" s="1054"/>
      <c r="L302" s="1054"/>
      <c r="M302" s="1054"/>
      <c r="N302" s="1054"/>
      <c r="O302" s="1054"/>
      <c r="P302" s="1054"/>
      <c r="Q302" s="1054"/>
      <c r="R302" s="1054"/>
      <c r="S302" s="41"/>
      <c r="T302" s="41" t="s">
        <v>90</v>
      </c>
      <c r="U302"/>
      <c r="V302" s="41"/>
      <c r="W302" s="41"/>
      <c r="X302" s="41"/>
      <c r="Y302" s="41"/>
      <c r="Z302"/>
      <c r="AA302" s="1054" t="s">
        <v>2427</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63">
        <v>0.76</v>
      </c>
      <c r="I303" s="1863"/>
      <c r="J303" s="1863"/>
      <c r="K303" s="1863"/>
      <c r="L303" s="1863"/>
      <c r="M303" s="1863"/>
      <c r="N303" s="1863"/>
      <c r="O303" s="1863"/>
      <c r="P303" s="1863"/>
      <c r="Q303" s="1863"/>
      <c r="R303" s="1863"/>
      <c r="S303" s="41"/>
      <c r="T303" s="41" t="s">
        <v>101</v>
      </c>
      <c r="U303" s="41"/>
      <c r="V303" s="41"/>
      <c r="W303" s="41"/>
      <c r="X303" s="41"/>
      <c r="Y303" s="41"/>
      <c r="Z303" s="12"/>
      <c r="AA303" s="1863" t="s">
        <v>2428</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2464</v>
      </c>
      <c r="I305" s="1056"/>
      <c r="J305" s="1056"/>
      <c r="K305" s="1056"/>
      <c r="L305" s="1056"/>
      <c r="M305" s="1056"/>
      <c r="N305" s="1056"/>
      <c r="O305" s="1056"/>
      <c r="P305" s="1056"/>
      <c r="Q305" s="1056"/>
      <c r="R305" s="1056"/>
      <c r="S305"/>
      <c r="T305" s="41" t="s">
        <v>89</v>
      </c>
      <c r="U305"/>
      <c r="V305" s="41"/>
      <c r="W305" s="41"/>
      <c r="X305" s="41"/>
      <c r="Y305" s="41"/>
      <c r="Z305"/>
      <c r="AA305" s="1056" t="s">
        <v>2469</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2465</v>
      </c>
      <c r="I306" s="1054"/>
      <c r="J306" s="1054"/>
      <c r="K306" s="1054"/>
      <c r="L306" s="1054"/>
      <c r="M306" s="1054"/>
      <c r="N306" s="1054"/>
      <c r="O306" s="1054"/>
      <c r="P306" s="1054"/>
      <c r="Q306" s="1054"/>
      <c r="R306" s="1054"/>
      <c r="S306"/>
      <c r="T306" s="41" t="s">
        <v>699</v>
      </c>
      <c r="U306"/>
      <c r="V306" s="41"/>
      <c r="W306" s="41"/>
      <c r="X306" s="41"/>
      <c r="Y306" s="41"/>
      <c r="Z306"/>
      <c r="AA306" s="1054" t="s">
        <v>2470</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2406</v>
      </c>
      <c r="I307" s="1054"/>
      <c r="J307" s="1054"/>
      <c r="K307" s="1054"/>
      <c r="L307" s="1054"/>
      <c r="M307" s="1054"/>
      <c r="N307" s="1054"/>
      <c r="O307" s="1054"/>
      <c r="P307" s="1054"/>
      <c r="Q307" s="1054"/>
      <c r="R307" s="1054"/>
      <c r="S307"/>
      <c r="T307" s="41" t="s">
        <v>99</v>
      </c>
      <c r="U307"/>
      <c r="V307" s="41"/>
      <c r="W307" s="41"/>
      <c r="X307" s="41"/>
      <c r="Y307" s="41"/>
      <c r="Z307"/>
      <c r="AA307" s="1054" t="s">
        <v>2406</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2466</v>
      </c>
      <c r="I308" s="1054"/>
      <c r="J308" s="1054"/>
      <c r="K308" s="1054"/>
      <c r="L308" s="1054"/>
      <c r="M308" s="1054"/>
      <c r="N308" s="1054"/>
      <c r="O308" s="1054"/>
      <c r="P308" s="1054"/>
      <c r="Q308" s="1054"/>
      <c r="R308" s="1054"/>
      <c r="S308"/>
      <c r="T308" s="41" t="s">
        <v>374</v>
      </c>
      <c r="U308"/>
      <c r="V308" s="41"/>
      <c r="W308" s="41"/>
      <c r="X308" s="41"/>
      <c r="Y308" s="41"/>
      <c r="Z308"/>
      <c r="AA308" s="1054" t="s">
        <v>2471</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2467</v>
      </c>
      <c r="I309" s="1058"/>
      <c r="J309" s="1058"/>
      <c r="K309" s="1058"/>
      <c r="L309" s="1058"/>
      <c r="M309" s="1058"/>
      <c r="N309" s="5" t="s">
        <v>818</v>
      </c>
      <c r="O309" s="5"/>
      <c r="P309" s="1053"/>
      <c r="Q309" s="1053"/>
      <c r="R309" s="1053"/>
      <c r="S309" s="41"/>
      <c r="T309" s="41" t="s">
        <v>375</v>
      </c>
      <c r="U309"/>
      <c r="V309" s="41"/>
      <c r="W309" s="41"/>
      <c r="X309" s="41"/>
      <c r="Y309" s="41"/>
      <c r="Z309"/>
      <c r="AA309" s="1057" t="s">
        <v>2472</v>
      </c>
      <c r="AB309" s="1058"/>
      <c r="AC309" s="1058"/>
      <c r="AD309" s="1058"/>
      <c r="AE309" s="1058"/>
      <c r="AF309" s="1058"/>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t="s">
        <v>2315</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863" t="s">
        <v>2468</v>
      </c>
      <c r="I311" s="1054"/>
      <c r="J311" s="1054"/>
      <c r="K311" s="1054"/>
      <c r="L311" s="1054"/>
      <c r="M311" s="1054"/>
      <c r="N311" s="1054"/>
      <c r="O311" s="1054"/>
      <c r="P311" s="1054"/>
      <c r="Q311" s="1054"/>
      <c r="R311" s="1054"/>
      <c r="S311" s="41"/>
      <c r="T311" s="41" t="s">
        <v>90</v>
      </c>
      <c r="U311"/>
      <c r="V311" s="41"/>
      <c r="W311" s="41"/>
      <c r="X311" s="41"/>
      <c r="Y311" s="41"/>
      <c r="Z311"/>
      <c r="AA311" s="1054" t="s">
        <v>2473</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63">
        <v>0.31</v>
      </c>
      <c r="I312" s="1863"/>
      <c r="J312" s="1863"/>
      <c r="K312" s="1863"/>
      <c r="L312" s="1863"/>
      <c r="M312" s="1863"/>
      <c r="N312" s="1863"/>
      <c r="O312" s="1863"/>
      <c r="P312" s="1863"/>
      <c r="Q312" s="1863"/>
      <c r="R312" s="1863"/>
      <c r="S312" s="41"/>
      <c r="T312" s="41" t="s">
        <v>101</v>
      </c>
      <c r="U312" s="41"/>
      <c r="V312" s="41"/>
      <c r="W312" s="41"/>
      <c r="X312" s="41"/>
      <c r="Y312" s="41"/>
      <c r="Z312" s="12"/>
      <c r="AA312" s="1863">
        <v>0.95</v>
      </c>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3"/>
      <c r="Q318" s="1053"/>
      <c r="R318" s="1053"/>
      <c r="S318" s="41"/>
      <c r="T318" s="41" t="s">
        <v>375</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63"/>
      <c r="I321" s="1863"/>
      <c r="J321" s="1863"/>
      <c r="K321" s="1863"/>
      <c r="L321" s="1863"/>
      <c r="M321" s="1863"/>
      <c r="N321" s="1863"/>
      <c r="O321" s="1863"/>
      <c r="P321" s="1863"/>
      <c r="Q321" s="1863"/>
      <c r="R321" s="1863"/>
      <c r="S321" s="41"/>
      <c r="T321" s="41" t="s">
        <v>101</v>
      </c>
      <c r="U321" s="41"/>
      <c r="V321" s="41"/>
      <c r="W321" s="41"/>
      <c r="X321" s="41"/>
      <c r="Y321" s="41"/>
      <c r="Z321" s="12"/>
      <c r="AA321" s="1863"/>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3"/>
      <c r="Q327" s="1053"/>
      <c r="R327" s="1053"/>
      <c r="S327" s="41"/>
      <c r="T327" s="41" t="s">
        <v>375</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63"/>
      <c r="I330" s="1863"/>
      <c r="J330" s="1863"/>
      <c r="K330" s="1863"/>
      <c r="L330" s="1863"/>
      <c r="M330" s="1863"/>
      <c r="N330" s="1863"/>
      <c r="O330" s="1863"/>
      <c r="P330" s="1863"/>
      <c r="Q330" s="1863"/>
      <c r="R330" s="1863"/>
      <c r="S330" s="41"/>
      <c r="T330" s="41" t="s">
        <v>101</v>
      </c>
      <c r="U330" s="41"/>
      <c r="V330" s="41"/>
      <c r="W330" s="41"/>
      <c r="X330" s="41"/>
      <c r="Y330" s="41"/>
      <c r="Z330" s="12"/>
      <c r="AA330" s="1863"/>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7" t="s">
        <v>364</v>
      </c>
      <c r="AF333" s="1687"/>
      <c r="AG333" s="1687"/>
      <c r="AH333" s="1687"/>
      <c r="AI333" s="1687"/>
      <c r="AJ333" s="1687"/>
      <c r="AK333" s="1687"/>
      <c r="AL333" s="3"/>
      <c r="AM333" s="827"/>
      <c r="AN333" s="3"/>
    </row>
    <row r="334" spans="1:76" s="4" customFormat="1" ht="12.75" customHeight="1">
      <c r="A334" s="3"/>
      <c r="B334" s="5"/>
      <c r="C334" s="1862" t="s">
        <v>1838</v>
      </c>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c r="AA334" s="1862"/>
      <c r="AB334" s="1862"/>
      <c r="AC334" s="1862"/>
      <c r="AD334" s="1862"/>
      <c r="AE334" s="1862"/>
      <c r="AF334" s="1862"/>
      <c r="AG334" s="1862"/>
      <c r="AH334" s="1862"/>
      <c r="AI334" s="1862"/>
      <c r="AJ334" s="186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c r="AA335" s="1862"/>
      <c r="AB335" s="1862"/>
      <c r="AC335" s="1862"/>
      <c r="AD335" s="1862"/>
      <c r="AE335" s="1862"/>
      <c r="AF335" s="1862"/>
      <c r="AG335" s="1862"/>
      <c r="AH335" s="1862"/>
      <c r="AI335" s="1862"/>
      <c r="AJ335" s="186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c r="AA336" s="1862"/>
      <c r="AB336" s="1862"/>
      <c r="AC336" s="1862"/>
      <c r="AD336" s="1862"/>
      <c r="AE336" s="1862"/>
      <c r="AF336" s="1862"/>
      <c r="AG336" s="1862"/>
      <c r="AH336" s="1862"/>
      <c r="AI336" s="1862"/>
      <c r="AJ336" s="186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c r="AA337" s="1862"/>
      <c r="AB337" s="1862"/>
      <c r="AC337" s="1862"/>
      <c r="AD337" s="1862"/>
      <c r="AE337" s="1862"/>
      <c r="AF337" s="1862"/>
      <c r="AG337" s="1862"/>
      <c r="AH337" s="1862"/>
      <c r="AI337" s="1862"/>
      <c r="AJ337" s="186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c r="AA338" s="1862"/>
      <c r="AB338" s="1862"/>
      <c r="AC338" s="1862"/>
      <c r="AD338" s="1862"/>
      <c r="AE338" s="1862"/>
      <c r="AF338" s="1862"/>
      <c r="AG338" s="1862"/>
      <c r="AH338" s="1862"/>
      <c r="AI338" s="1862"/>
      <c r="AJ338" s="186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c r="AA339" s="1862"/>
      <c r="AB339" s="1862"/>
      <c r="AC339" s="1862"/>
      <c r="AD339" s="1862"/>
      <c r="AE339" s="1862"/>
      <c r="AF339" s="1862"/>
      <c r="AG339" s="1862"/>
      <c r="AH339" s="1862"/>
      <c r="AI339" s="1862"/>
      <c r="AJ339" s="186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c r="AA340" s="1862"/>
      <c r="AB340" s="1862"/>
      <c r="AC340" s="1862"/>
      <c r="AD340" s="1862"/>
      <c r="AE340" s="1862"/>
      <c r="AF340" s="1862"/>
      <c r="AG340" s="1862"/>
      <c r="AH340" s="1862"/>
      <c r="AI340" s="1862"/>
      <c r="AJ340" s="186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c r="AA341" s="1862"/>
      <c r="AB341" s="1862"/>
      <c r="AC341" s="1862"/>
      <c r="AD341" s="1862"/>
      <c r="AE341" s="1862"/>
      <c r="AF341" s="1862"/>
      <c r="AG341" s="1862"/>
      <c r="AH341" s="1862"/>
      <c r="AI341" s="1862"/>
      <c r="AJ341" s="1862"/>
      <c r="AK341" s="27"/>
      <c r="AL341" s="27"/>
      <c r="AM341" s="27"/>
      <c r="AN341" s="281"/>
      <c r="AO341" s="185"/>
    </row>
    <row r="342" spans="1:76" s="4" customFormat="1" ht="12.75" customHeight="1">
      <c r="A342" s="27"/>
      <c r="B342" s="26"/>
      <c r="C342" s="1862" t="s">
        <v>1839</v>
      </c>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c r="AA342" s="1862"/>
      <c r="AB342" s="1862"/>
      <c r="AC342" s="1862"/>
      <c r="AD342" s="1862"/>
      <c r="AE342" s="1862"/>
      <c r="AF342" s="1862"/>
      <c r="AG342" s="1862"/>
      <c r="AH342" s="1862"/>
      <c r="AI342" s="1862"/>
      <c r="AJ342" s="1862"/>
      <c r="AK342" s="27"/>
      <c r="AL342" s="27"/>
      <c r="AM342" s="27"/>
      <c r="AN342" s="281"/>
    </row>
    <row r="343" spans="1:76" s="4" customFormat="1" ht="12.75" customHeight="1">
      <c r="A343" s="27"/>
      <c r="B343" s="26"/>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c r="AA343" s="1862"/>
      <c r="AB343" s="1862"/>
      <c r="AC343" s="1862"/>
      <c r="AD343" s="1862"/>
      <c r="AE343" s="1862"/>
      <c r="AF343" s="1862"/>
      <c r="AG343" s="1862"/>
      <c r="AH343" s="1862"/>
      <c r="AI343" s="1862"/>
      <c r="AJ343" s="1862"/>
      <c r="AK343" s="27"/>
      <c r="AL343" s="27"/>
      <c r="AM343" s="27"/>
      <c r="AN343" s="281"/>
    </row>
    <row r="344" spans="1:76" s="4" customFormat="1" ht="12.75" customHeight="1">
      <c r="A344" s="27"/>
      <c r="B344" s="26"/>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c r="AA344" s="1862"/>
      <c r="AB344" s="1862"/>
      <c r="AC344" s="1862"/>
      <c r="AD344" s="1862"/>
      <c r="AE344" s="1862"/>
      <c r="AF344" s="1862"/>
      <c r="AG344" s="1862"/>
      <c r="AH344" s="1862"/>
      <c r="AI344" s="1862"/>
      <c r="AJ344" s="1862"/>
      <c r="AK344" s="27"/>
      <c r="AL344" s="27"/>
      <c r="AM344" s="27"/>
      <c r="AN344" s="281"/>
      <c r="AQ344"/>
    </row>
    <row r="345" spans="1:76" s="4" customFormat="1" ht="12.75" customHeight="1">
      <c r="A345" s="27"/>
      <c r="B345" s="26"/>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c r="AA345" s="1862"/>
      <c r="AB345" s="1862"/>
      <c r="AC345" s="1862"/>
      <c r="AD345" s="1862"/>
      <c r="AE345" s="1862"/>
      <c r="AF345" s="1862"/>
      <c r="AG345" s="1862"/>
      <c r="AH345" s="1862"/>
      <c r="AI345" s="1862"/>
      <c r="AJ345" s="1862"/>
      <c r="AK345" s="27"/>
      <c r="AL345" s="27"/>
      <c r="AM345" s="27"/>
      <c r="AN345" s="281"/>
      <c r="AQ345"/>
    </row>
    <row r="346" spans="1:76" s="4" customFormat="1" ht="12.45" customHeight="1">
      <c r="A346" s="27"/>
      <c r="B346" s="26"/>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c r="AA346" s="1862"/>
      <c r="AB346" s="1862"/>
      <c r="AC346" s="1862"/>
      <c r="AD346" s="1862"/>
      <c r="AE346" s="1862"/>
      <c r="AF346" s="1862"/>
      <c r="AG346" s="1862"/>
      <c r="AH346" s="1862"/>
      <c r="AI346" s="1862"/>
      <c r="AJ346" s="1862"/>
      <c r="AK346" s="27"/>
      <c r="AL346" s="27"/>
      <c r="AM346" s="27"/>
      <c r="AN346" s="281"/>
      <c r="AQ346"/>
      <c r="AR346"/>
    </row>
    <row r="347" spans="1:76" s="4" customFormat="1" ht="12.75" customHeight="1">
      <c r="A347" s="27"/>
      <c r="B347" s="26"/>
      <c r="C347" s="1862" t="s">
        <v>2293</v>
      </c>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c r="AA347" s="1862"/>
      <c r="AB347" s="1862"/>
      <c r="AC347" s="1862"/>
      <c r="AD347" s="1862"/>
      <c r="AE347" s="1862"/>
      <c r="AF347" s="1862"/>
      <c r="AG347" s="1862"/>
      <c r="AH347" s="1862"/>
      <c r="AI347" s="1862"/>
      <c r="AJ347" s="1862"/>
      <c r="AK347" s="27"/>
      <c r="AL347" s="27"/>
      <c r="AM347" s="27"/>
      <c r="AN347" s="281"/>
      <c r="AQ347"/>
      <c r="AR347"/>
    </row>
    <row r="348" spans="1:76" s="4" customFormat="1" ht="12.75" customHeight="1">
      <c r="A348" s="27"/>
      <c r="B348" s="26"/>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c r="AA348" s="1862"/>
      <c r="AB348" s="1862"/>
      <c r="AC348" s="1862"/>
      <c r="AD348" s="1862"/>
      <c r="AE348" s="1862"/>
      <c r="AF348" s="1862"/>
      <c r="AG348" s="1862"/>
      <c r="AH348" s="1862"/>
      <c r="AI348" s="1862"/>
      <c r="AJ348" s="1862"/>
      <c r="AK348" s="27"/>
      <c r="AL348" s="27"/>
      <c r="AM348" s="27"/>
      <c r="AN348" s="281"/>
      <c r="AR348"/>
    </row>
    <row r="349" spans="1:76" s="4" customFormat="1" ht="12.75" customHeight="1">
      <c r="A349" s="27"/>
      <c r="B349" s="26"/>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c r="AA349" s="1862"/>
      <c r="AB349" s="1862"/>
      <c r="AC349" s="1862"/>
      <c r="AD349" s="1862"/>
      <c r="AE349" s="1862"/>
      <c r="AF349" s="1862"/>
      <c r="AG349" s="1862"/>
      <c r="AH349" s="1862"/>
      <c r="AI349" s="1862"/>
      <c r="AJ349" s="1862"/>
      <c r="AK349" s="27"/>
      <c r="AL349" s="27"/>
      <c r="AM349" s="27"/>
      <c r="AN349" s="281"/>
      <c r="AR349"/>
    </row>
    <row r="350" spans="1:76" s="4" customFormat="1" ht="12.75" customHeight="1">
      <c r="A350" s="27"/>
      <c r="B350" s="26"/>
      <c r="C350" s="1862" t="s">
        <v>1840</v>
      </c>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c r="AA350" s="1862"/>
      <c r="AB350" s="1862"/>
      <c r="AC350" s="1862"/>
      <c r="AD350" s="1862"/>
      <c r="AE350" s="1862"/>
      <c r="AF350" s="1862"/>
      <c r="AG350" s="1862"/>
      <c r="AH350" s="1862"/>
      <c r="AI350" s="1862"/>
      <c r="AJ350" s="1862"/>
      <c r="AK350" s="27"/>
      <c r="AL350" s="27"/>
      <c r="AM350" s="27"/>
      <c r="AN350" s="281"/>
      <c r="AQ350"/>
      <c r="AR350"/>
    </row>
    <row r="351" spans="1:76" s="4" customFormat="1" ht="12.75" customHeight="1">
      <c r="A351" s="27"/>
      <c r="B351" s="26"/>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c r="AA351" s="1862"/>
      <c r="AB351" s="1862"/>
      <c r="AC351" s="1862"/>
      <c r="AD351" s="1862"/>
      <c r="AE351" s="1862"/>
      <c r="AF351" s="1862"/>
      <c r="AG351" s="1862"/>
      <c r="AH351" s="1862"/>
      <c r="AI351" s="1862"/>
      <c r="AJ351" s="1862"/>
      <c r="AK351" s="27"/>
      <c r="AL351" s="27"/>
      <c r="AM351" s="27"/>
      <c r="AN351" s="281"/>
      <c r="AQ351"/>
      <c r="AR351"/>
    </row>
    <row r="352" spans="1:76" s="4" customFormat="1" ht="13.2" customHeight="1">
      <c r="A352" s="27"/>
      <c r="B352" s="26"/>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c r="AA352" s="1862"/>
      <c r="AB352" s="1862"/>
      <c r="AC352" s="1862"/>
      <c r="AD352" s="1862"/>
      <c r="AE352" s="1862"/>
      <c r="AF352" s="1862"/>
      <c r="AG352" s="1862"/>
      <c r="AH352" s="1862"/>
      <c r="AI352" s="1862"/>
      <c r="AJ352" s="1862"/>
      <c r="AK352" s="27"/>
      <c r="AL352" s="27"/>
      <c r="AM352" s="27"/>
      <c r="AN352" s="281"/>
      <c r="AQ352"/>
      <c r="AR352"/>
    </row>
    <row r="353" spans="1:46" s="4" customFormat="1" ht="12.75" customHeight="1">
      <c r="A353" s="27"/>
      <c r="B353" s="26"/>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c r="AA353" s="1862"/>
      <c r="AB353" s="1862"/>
      <c r="AC353" s="1862"/>
      <c r="AD353" s="1862"/>
      <c r="AE353" s="1862"/>
      <c r="AF353" s="1862"/>
      <c r="AG353" s="1862"/>
      <c r="AH353" s="1862"/>
      <c r="AI353" s="1862"/>
      <c r="AJ353" s="1862"/>
      <c r="AK353" s="27"/>
      <c r="AL353" s="27"/>
      <c r="AM353" s="27"/>
      <c r="AN353" s="281"/>
      <c r="AO353" s="170"/>
      <c r="AP353" s="170"/>
      <c r="AQ353"/>
    </row>
    <row r="354" spans="1:46" s="4" customFormat="1" ht="11.85" customHeight="1">
      <c r="A354" s="27"/>
      <c r="B354" s="26"/>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c r="AA354" s="1862"/>
      <c r="AB354" s="1862"/>
      <c r="AC354" s="1862"/>
      <c r="AD354" s="1862"/>
      <c r="AE354" s="1862"/>
      <c r="AF354" s="1862"/>
      <c r="AG354" s="1862"/>
      <c r="AH354" s="1862"/>
      <c r="AI354" s="1862"/>
      <c r="AJ354" s="1862"/>
      <c r="AK354" s="27"/>
      <c r="AL354" s="27"/>
      <c r="AM354" s="27"/>
      <c r="AN354" s="281"/>
      <c r="AO354" s="688" t="s">
        <v>900</v>
      </c>
      <c r="AP354" s="71">
        <f>IF(C379="Yes",5,0)</f>
        <v>0</v>
      </c>
      <c r="AS354" s="3" t="s">
        <v>1776</v>
      </c>
    </row>
    <row r="355" spans="1:46" s="4" customFormat="1" ht="12.75" customHeight="1">
      <c r="A355" s="27"/>
      <c r="B355" s="26"/>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c r="AA355" s="1862"/>
      <c r="AB355" s="1862"/>
      <c r="AC355" s="1862"/>
      <c r="AD355" s="1862"/>
      <c r="AE355" s="1862"/>
      <c r="AF355" s="1862"/>
      <c r="AG355" s="1862"/>
      <c r="AH355" s="1862"/>
      <c r="AI355" s="1862"/>
      <c r="AJ355" s="1862"/>
      <c r="AK355" s="27"/>
      <c r="AL355" s="27"/>
      <c r="AM355" s="27"/>
      <c r="AN355" s="281"/>
      <c r="AO355" s="688"/>
      <c r="AP355" s="71"/>
      <c r="AS355" s="1874">
        <f>IF(AQ368=0,AQ381,AQ368)</f>
        <v>10</v>
      </c>
      <c r="AT355" s="1874"/>
    </row>
    <row r="356" spans="1:46" s="4" customFormat="1" ht="12.75" customHeight="1">
      <c r="A356" s="27"/>
      <c r="B356" s="26"/>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c r="AA356" s="1862"/>
      <c r="AB356" s="1862"/>
      <c r="AC356" s="1862"/>
      <c r="AD356" s="1862"/>
      <c r="AE356" s="1862"/>
      <c r="AF356" s="1862"/>
      <c r="AG356" s="1862"/>
      <c r="AH356" s="1862"/>
      <c r="AI356" s="1862"/>
      <c r="AJ356" s="1862"/>
      <c r="AK356" s="27"/>
      <c r="AL356" s="27"/>
      <c r="AM356" s="27"/>
      <c r="AN356" s="281"/>
      <c r="AO356" s="688" t="s">
        <v>901</v>
      </c>
      <c r="AP356" s="71">
        <f>IF(C389="Yes",5,0)</f>
        <v>0</v>
      </c>
      <c r="AS356" s="3" t="s">
        <v>1809</v>
      </c>
    </row>
    <row r="357" spans="1:46" s="4" customFormat="1" ht="12.75" customHeight="1">
      <c r="A357" s="27"/>
      <c r="B357" s="26"/>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c r="AA357" s="1862"/>
      <c r="AB357" s="1862"/>
      <c r="AC357" s="1862"/>
      <c r="AD357" s="1862"/>
      <c r="AE357" s="1862"/>
      <c r="AF357" s="1862"/>
      <c r="AG357" s="1862"/>
      <c r="AH357" s="1862"/>
      <c r="AI357" s="1862"/>
      <c r="AJ357" s="1862"/>
      <c r="AK357" s="27"/>
      <c r="AL357" s="27"/>
      <c r="AM357" s="27"/>
      <c r="AN357" s="281"/>
      <c r="AO357" s="688"/>
      <c r="AP357" s="71"/>
      <c r="AS357" s="1874">
        <f>IF(AND(AQ368&gt;0,AQ381&gt;0),(AQ368+AQ381)/2,0)</f>
        <v>0</v>
      </c>
      <c r="AT357" s="1874"/>
    </row>
    <row r="358" spans="1:46" s="4" customFormat="1" ht="12.75" customHeight="1">
      <c r="A358" s="27"/>
      <c r="B358" s="26"/>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c r="AA358" s="1862"/>
      <c r="AB358" s="1862"/>
      <c r="AC358" s="1862"/>
      <c r="AD358" s="1862"/>
      <c r="AE358" s="1862"/>
      <c r="AF358" s="1862"/>
      <c r="AG358" s="1862"/>
      <c r="AH358" s="1862"/>
      <c r="AI358" s="1862"/>
      <c r="AJ358" s="1862"/>
      <c r="AK358" s="27"/>
      <c r="AL358" s="27"/>
      <c r="AM358" s="27"/>
      <c r="AN358" s="281"/>
      <c r="AO358" s="688" t="s">
        <v>907</v>
      </c>
      <c r="AP358" s="71">
        <f>IF(C399="Yes",7,0)</f>
        <v>0</v>
      </c>
    </row>
    <row r="359" spans="1:46" s="4" customFormat="1" ht="12.75" customHeight="1">
      <c r="A359" s="27"/>
      <c r="B359" s="26"/>
      <c r="C359" s="1862" t="s">
        <v>1841</v>
      </c>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c r="AA359" s="1862"/>
      <c r="AB359" s="1862"/>
      <c r="AC359" s="1862"/>
      <c r="AD359" s="1862"/>
      <c r="AE359" s="1862"/>
      <c r="AF359" s="1862"/>
      <c r="AG359" s="1862"/>
      <c r="AH359" s="1862"/>
      <c r="AI359" s="1862"/>
      <c r="AJ359" s="1862"/>
      <c r="AK359" s="27"/>
      <c r="AL359" s="27"/>
      <c r="AM359" s="27"/>
      <c r="AN359" s="281"/>
      <c r="AO359" s="281"/>
      <c r="AP359" s="71">
        <f>IF(C401="Yes",5,0)</f>
        <v>0</v>
      </c>
    </row>
    <row r="360" spans="1:46" s="4" customFormat="1" ht="12.75" customHeight="1">
      <c r="A360" s="27"/>
      <c r="B360" s="26"/>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c r="AA360" s="1862"/>
      <c r="AB360" s="1862"/>
      <c r="AC360" s="1862"/>
      <c r="AD360" s="1862"/>
      <c r="AE360" s="1862"/>
      <c r="AF360" s="1862"/>
      <c r="AG360" s="1862"/>
      <c r="AH360" s="1862"/>
      <c r="AI360" s="1862"/>
      <c r="AJ360" s="1862"/>
      <c r="AK360" s="27"/>
      <c r="AL360" s="27"/>
      <c r="AM360" s="27"/>
      <c r="AN360" s="281"/>
      <c r="AO360" s="281"/>
      <c r="AP360" s="71"/>
    </row>
    <row r="361" spans="1:46" s="4" customFormat="1" ht="12.75" customHeight="1">
      <c r="A361" s="27"/>
      <c r="B361" s="26"/>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c r="AA361" s="1862"/>
      <c r="AB361" s="1862"/>
      <c r="AC361" s="1862"/>
      <c r="AD361" s="1862"/>
      <c r="AE361" s="1862"/>
      <c r="AF361" s="1862"/>
      <c r="AG361" s="1862"/>
      <c r="AH361" s="1862"/>
      <c r="AI361" s="1862"/>
      <c r="AJ361" s="1862"/>
      <c r="AK361" s="27"/>
      <c r="AL361" s="27"/>
      <c r="AM361" s="27"/>
      <c r="AN361" s="281"/>
      <c r="AO361" s="688" t="s">
        <v>431</v>
      </c>
      <c r="AP361" s="71">
        <f>IF(C409="Yes",5,0)</f>
        <v>0</v>
      </c>
    </row>
    <row r="362" spans="1:46" s="4" customFormat="1" ht="11.85" customHeight="1">
      <c r="A362" s="27"/>
      <c r="B362" s="26"/>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c r="AA362" s="1862"/>
      <c r="AB362" s="1862"/>
      <c r="AC362" s="1862"/>
      <c r="AD362" s="1862"/>
      <c r="AE362" s="1862"/>
      <c r="AF362" s="1862"/>
      <c r="AG362" s="1862"/>
      <c r="AH362" s="1862"/>
      <c r="AI362" s="1862"/>
      <c r="AJ362" s="1862"/>
      <c r="AK362" s="27"/>
      <c r="AL362" s="27"/>
      <c r="AM362" s="27"/>
      <c r="AN362" s="281"/>
      <c r="AO362" s="281"/>
      <c r="AP362" s="71">
        <f>IF(C411="Yes",3,0)</f>
        <v>0</v>
      </c>
    </row>
    <row r="363" spans="1:46" s="4" customFormat="1" ht="12.45" customHeight="1">
      <c r="A363" s="27"/>
      <c r="B363" s="26"/>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c r="AA363" s="1862"/>
      <c r="AB363" s="1862"/>
      <c r="AC363" s="1862"/>
      <c r="AD363" s="1862"/>
      <c r="AE363" s="1862"/>
      <c r="AF363" s="1862"/>
      <c r="AG363" s="1862"/>
      <c r="AH363" s="1862"/>
      <c r="AI363" s="1862"/>
      <c r="AJ363" s="1862"/>
      <c r="AK363" s="27"/>
      <c r="AL363" s="27"/>
      <c r="AM363" s="27"/>
      <c r="AN363" s="281"/>
      <c r="AO363" s="281"/>
      <c r="AP363" s="71"/>
    </row>
    <row r="364" spans="1:46" s="4" customFormat="1" ht="12.75" customHeight="1">
      <c r="A364" s="27"/>
      <c r="B364" s="26"/>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c r="AA364" s="1862"/>
      <c r="AB364" s="1862"/>
      <c r="AC364" s="1862"/>
      <c r="AD364" s="1862"/>
      <c r="AE364" s="1862"/>
      <c r="AF364" s="1862"/>
      <c r="AG364" s="1862"/>
      <c r="AH364" s="1862"/>
      <c r="AI364" s="1862"/>
      <c r="AJ364" s="1862"/>
      <c r="AK364" s="27"/>
      <c r="AL364" s="27"/>
      <c r="AM364" s="27"/>
      <c r="AN364" s="281"/>
      <c r="AO364" s="688" t="s">
        <v>171</v>
      </c>
      <c r="AP364" s="71">
        <f>IF(C414="Yes",5,0)</f>
        <v>0</v>
      </c>
    </row>
    <row r="365" spans="1:46" s="4" customFormat="1" ht="12.75" customHeight="1">
      <c r="A365" s="27"/>
      <c r="B365" s="26"/>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c r="AA365" s="1862"/>
      <c r="AB365" s="1862"/>
      <c r="AC365" s="1862"/>
      <c r="AD365" s="1862"/>
      <c r="AE365" s="1862"/>
      <c r="AF365" s="1862"/>
      <c r="AG365" s="1862"/>
      <c r="AH365" s="1862"/>
      <c r="AI365" s="1862"/>
      <c r="AJ365" s="1862"/>
      <c r="AK365" s="27"/>
      <c r="AL365" s="27"/>
      <c r="AM365" s="27"/>
      <c r="AN365" s="281"/>
      <c r="AO365" s="688" t="s">
        <v>434</v>
      </c>
      <c r="AP365" s="71">
        <f>IF(C423="Yes",5,0)</f>
        <v>0</v>
      </c>
    </row>
    <row r="366" spans="1:46" s="4" customFormat="1" ht="12.75" customHeight="1">
      <c r="A366" s="27"/>
      <c r="B366" s="26"/>
      <c r="C366" s="1862" t="s">
        <v>1842</v>
      </c>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c r="AA366" s="1862"/>
      <c r="AB366" s="1862"/>
      <c r="AC366" s="1862"/>
      <c r="AD366" s="1862"/>
      <c r="AE366" s="1862"/>
      <c r="AF366" s="1862"/>
      <c r="AG366" s="1862"/>
      <c r="AH366" s="1862"/>
      <c r="AI366" s="1862"/>
      <c r="AJ366" s="1862"/>
      <c r="AK366" s="27"/>
      <c r="AL366" s="27"/>
      <c r="AM366" s="27"/>
      <c r="AN366" s="281"/>
      <c r="AO366" s="281"/>
      <c r="AP366" s="71">
        <f>IF(C425="Yes",3,0)</f>
        <v>0</v>
      </c>
    </row>
    <row r="367" spans="1:46" s="4" customFormat="1" ht="12.75" customHeight="1">
      <c r="A367" s="27"/>
      <c r="B367" s="26"/>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c r="AA367" s="1862"/>
      <c r="AB367" s="1862"/>
      <c r="AC367" s="1862"/>
      <c r="AD367" s="1862"/>
      <c r="AE367" s="1862"/>
      <c r="AF367" s="1862"/>
      <c r="AG367" s="1862"/>
      <c r="AH367" s="1862"/>
      <c r="AI367" s="1862"/>
      <c r="AJ367" s="1862"/>
      <c r="AK367" s="27"/>
      <c r="AL367" s="27"/>
      <c r="AM367" s="27"/>
      <c r="AN367" s="281"/>
      <c r="AO367" s="689"/>
      <c r="AP367" s="55"/>
    </row>
    <row r="368" spans="1:46" s="4" customFormat="1" ht="68.099999999999994" customHeight="1">
      <c r="A368" s="27"/>
      <c r="B368" s="26"/>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c r="AA368" s="1862"/>
      <c r="AB368" s="1862"/>
      <c r="AC368" s="1862"/>
      <c r="AD368" s="1862"/>
      <c r="AE368" s="1862"/>
      <c r="AF368" s="1862"/>
      <c r="AG368" s="1862"/>
      <c r="AH368" s="1862"/>
      <c r="AI368" s="1862"/>
      <c r="AJ368" s="1862"/>
      <c r="AK368" s="27"/>
      <c r="AL368" s="27"/>
      <c r="AM368" s="27"/>
      <c r="AN368" s="281"/>
      <c r="AO368" s="690" t="s">
        <v>610</v>
      </c>
      <c r="AP368" s="168">
        <f>SUM(AP354:AP367)</f>
        <v>0</v>
      </c>
      <c r="AQ368" s="1231">
        <f>IF(AP368&gt;0,AP368,0)</f>
        <v>0</v>
      </c>
      <c r="AR368" s="1231"/>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6">
        <f>Application!CQ649-U371</f>
        <v>0</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7">
        <f>IF(Application!D214="SRO",Application!CQ628,Application!AG733)</f>
        <v>75</v>
      </c>
      <c r="V371" s="1707"/>
      <c r="W371" s="1707"/>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4" t="s">
        <v>1785</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9"/>
      <c r="G376" s="1649"/>
      <c r="H376" s="1649"/>
      <c r="I376" s="1649"/>
      <c r="J376" s="1649"/>
      <c r="K376" s="1649"/>
      <c r="L376" s="1649"/>
      <c r="M376" s="1649"/>
      <c r="N376" s="1649"/>
      <c r="O376" s="1649"/>
      <c r="P376" s="1649"/>
      <c r="Q376" s="1649"/>
      <c r="R376" s="1649"/>
      <c r="S376" s="1649"/>
      <c r="T376" s="1649"/>
      <c r="U376" s="1649"/>
      <c r="V376" s="1649"/>
      <c r="W376" s="1649"/>
      <c r="X376" s="1649"/>
      <c r="Y376" s="1649"/>
      <c r="Z376" s="1649"/>
      <c r="AA376" s="1649"/>
      <c r="AB376" s="1649"/>
      <c r="AC376" s="1649"/>
      <c r="AD376" s="1649"/>
      <c r="AE376" s="1649"/>
      <c r="AF376" s="164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9"/>
      <c r="G377" s="1649"/>
      <c r="H377" s="1649"/>
      <c r="I377" s="1649"/>
      <c r="J377" s="1649"/>
      <c r="K377" s="1649"/>
      <c r="L377" s="1649"/>
      <c r="M377" s="1649"/>
      <c r="N377" s="1649"/>
      <c r="O377" s="1649"/>
      <c r="P377" s="1649"/>
      <c r="Q377" s="1649"/>
      <c r="R377" s="1649"/>
      <c r="S377" s="1649"/>
      <c r="T377" s="1649"/>
      <c r="U377" s="1649"/>
      <c r="V377" s="1649"/>
      <c r="W377" s="1649"/>
      <c r="X377" s="1649"/>
      <c r="Y377" s="1649"/>
      <c r="Z377" s="1649"/>
      <c r="AA377" s="1649"/>
      <c r="AB377" s="1649"/>
      <c r="AC377" s="1649"/>
      <c r="AD377" s="1649"/>
      <c r="AE377" s="1649"/>
      <c r="AF377" s="164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9"/>
      <c r="G378" s="1649"/>
      <c r="H378" s="1649"/>
      <c r="I378" s="1649"/>
      <c r="J378" s="1649"/>
      <c r="K378" s="1649"/>
      <c r="L378" s="1649"/>
      <c r="M378" s="1649"/>
      <c r="N378" s="1649"/>
      <c r="O378" s="1649"/>
      <c r="P378" s="1649"/>
      <c r="Q378" s="1649"/>
      <c r="R378" s="1649"/>
      <c r="S378" s="1649"/>
      <c r="T378" s="1649"/>
      <c r="U378" s="1649"/>
      <c r="V378" s="1649"/>
      <c r="W378" s="1649"/>
      <c r="X378" s="1649"/>
      <c r="Y378" s="1649"/>
      <c r="Z378" s="1649"/>
      <c r="AA378" s="1649"/>
      <c r="AB378" s="1649"/>
      <c r="AC378" s="1649"/>
      <c r="AD378" s="1649"/>
      <c r="AE378" s="1649"/>
      <c r="AF378" s="164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20"/>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31">
        <f>IF(AP381&gt;0,AP381,0)</f>
        <v>10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4" t="s">
        <v>1784</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9"/>
      <c r="G385" s="1649"/>
      <c r="H385" s="1649"/>
      <c r="I385" s="1649"/>
      <c r="J385" s="1649"/>
      <c r="K385" s="1649"/>
      <c r="L385" s="1649"/>
      <c r="M385" s="1649"/>
      <c r="N385" s="1649"/>
      <c r="O385" s="1649"/>
      <c r="P385" s="1649"/>
      <c r="Q385" s="1649"/>
      <c r="R385" s="1649"/>
      <c r="S385" s="1649"/>
      <c r="T385" s="1649"/>
      <c r="U385" s="1649"/>
      <c r="V385" s="1649"/>
      <c r="W385" s="1649"/>
      <c r="X385" s="1649"/>
      <c r="Y385" s="1649"/>
      <c r="Z385" s="1649"/>
      <c r="AA385" s="1649"/>
      <c r="AB385" s="1649"/>
      <c r="AC385" s="1649"/>
      <c r="AD385" s="1649"/>
      <c r="AE385" s="1649"/>
      <c r="AF385" s="164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9"/>
      <c r="G386" s="1649"/>
      <c r="H386" s="1649"/>
      <c r="I386" s="1649"/>
      <c r="J386" s="1649"/>
      <c r="K386" s="1649"/>
      <c r="L386" s="1649"/>
      <c r="M386" s="1649"/>
      <c r="N386" s="1649"/>
      <c r="O386" s="1649"/>
      <c r="P386" s="1649"/>
      <c r="Q386" s="1649"/>
      <c r="R386" s="1649"/>
      <c r="S386" s="1649"/>
      <c r="T386" s="1649"/>
      <c r="U386" s="1649"/>
      <c r="V386" s="1649"/>
      <c r="W386" s="1649"/>
      <c r="X386" s="1649"/>
      <c r="Y386" s="1649"/>
      <c r="Z386" s="1649"/>
      <c r="AA386" s="1649"/>
      <c r="AB386" s="1649"/>
      <c r="AC386" s="1649"/>
      <c r="AD386" s="1649"/>
      <c r="AE386" s="1649"/>
      <c r="AF386" s="164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9"/>
      <c r="G387" s="1649"/>
      <c r="H387" s="1649"/>
      <c r="I387" s="1649"/>
      <c r="J387" s="1649"/>
      <c r="K387" s="1649"/>
      <c r="L387" s="1649"/>
      <c r="M387" s="1649"/>
      <c r="N387" s="1649"/>
      <c r="O387" s="1649"/>
      <c r="P387" s="1649"/>
      <c r="Q387" s="1649"/>
      <c r="R387" s="1649"/>
      <c r="S387" s="1649"/>
      <c r="T387" s="1649"/>
      <c r="U387" s="1649"/>
      <c r="V387" s="1649"/>
      <c r="W387" s="1649"/>
      <c r="X387" s="1649"/>
      <c r="Y387" s="1649"/>
      <c r="Z387" s="1649"/>
      <c r="AA387" s="1649"/>
      <c r="AB387" s="1649"/>
      <c r="AC387" s="1649"/>
      <c r="AD387" s="1649"/>
      <c r="AE387" s="1649"/>
      <c r="AF387" s="164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9"/>
      <c r="G388" s="1649"/>
      <c r="H388" s="1649"/>
      <c r="I388" s="1649"/>
      <c r="J388" s="1649"/>
      <c r="K388" s="1649"/>
      <c r="L388" s="1649"/>
      <c r="M388" s="1649"/>
      <c r="N388" s="1649"/>
      <c r="O388" s="1649"/>
      <c r="P388" s="1649"/>
      <c r="Q388" s="1649"/>
      <c r="R388" s="1649"/>
      <c r="S388" s="1649"/>
      <c r="T388" s="1649"/>
      <c r="U388" s="1649"/>
      <c r="V388" s="1649"/>
      <c r="W388" s="1649"/>
      <c r="X388" s="1649"/>
      <c r="Y388" s="1649"/>
      <c r="Z388" s="1649"/>
      <c r="AA388" s="1649"/>
      <c r="AB388" s="1649"/>
      <c r="AC388" s="1649"/>
      <c r="AD388" s="1649"/>
      <c r="AE388" s="1649"/>
      <c r="AF388" s="164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20"/>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1948</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20"/>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963</v>
      </c>
      <c r="AG399" s="1549"/>
      <c r="AH399" s="1549"/>
      <c r="AI399" s="1549"/>
      <c r="AJ399" s="1549"/>
      <c r="AK399" s="1549"/>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20"/>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4" t="s">
        <v>1783</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9"/>
      <c r="G406" s="1649"/>
      <c r="H406" s="1649"/>
      <c r="I406" s="1649"/>
      <c r="J406" s="1649"/>
      <c r="K406" s="1649"/>
      <c r="L406" s="1649"/>
      <c r="M406" s="1649"/>
      <c r="N406" s="1649"/>
      <c r="O406" s="1649"/>
      <c r="P406" s="1649"/>
      <c r="Q406" s="1649"/>
      <c r="R406" s="1649"/>
      <c r="S406" s="1649"/>
      <c r="T406" s="1649"/>
      <c r="U406" s="1649"/>
      <c r="V406" s="1649"/>
      <c r="W406" s="1649"/>
      <c r="X406" s="1649"/>
      <c r="Y406" s="1649"/>
      <c r="Z406" s="1649"/>
      <c r="AA406" s="1649"/>
      <c r="AB406" s="1649"/>
      <c r="AC406" s="1649"/>
      <c r="AD406" s="1649"/>
      <c r="AE406" s="1649"/>
      <c r="AF406" s="164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9"/>
      <c r="G407" s="1649"/>
      <c r="H407" s="1649"/>
      <c r="I407" s="1649"/>
      <c r="J407" s="1649"/>
      <c r="K407" s="1649"/>
      <c r="L407" s="1649"/>
      <c r="M407" s="1649"/>
      <c r="N407" s="1649"/>
      <c r="O407" s="1649"/>
      <c r="P407" s="1649"/>
      <c r="Q407" s="1649"/>
      <c r="R407" s="1649"/>
      <c r="S407" s="1649"/>
      <c r="T407" s="1649"/>
      <c r="U407" s="1649"/>
      <c r="V407" s="1649"/>
      <c r="W407" s="1649"/>
      <c r="X407" s="1649"/>
      <c r="Y407" s="1649"/>
      <c r="Z407" s="1649"/>
      <c r="AA407" s="1649"/>
      <c r="AB407" s="1649"/>
      <c r="AC407" s="1649"/>
      <c r="AD407" s="1649"/>
      <c r="AE407" s="1649"/>
      <c r="AF407" s="164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9"/>
      <c r="G408" s="1649"/>
      <c r="H408" s="1649"/>
      <c r="I408" s="1649"/>
      <c r="J408" s="1649"/>
      <c r="K408" s="1649"/>
      <c r="L408" s="1649"/>
      <c r="M408" s="1649"/>
      <c r="N408" s="1649"/>
      <c r="O408" s="1649"/>
      <c r="P408" s="1649"/>
      <c r="Q408" s="1649"/>
      <c r="R408" s="1649"/>
      <c r="S408" s="1649"/>
      <c r="T408" s="1649"/>
      <c r="U408" s="1649"/>
      <c r="V408" s="1649"/>
      <c r="W408" s="1649"/>
      <c r="X408" s="1649"/>
      <c r="Y408" s="1649"/>
      <c r="Z408" s="1649"/>
      <c r="AA408" s="1649"/>
      <c r="AB408" s="1649"/>
      <c r="AC408" s="1649"/>
      <c r="AD408" s="1649"/>
      <c r="AE408" s="1649"/>
      <c r="AF408" s="164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20"/>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2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962</v>
      </c>
      <c r="AG411" s="1549"/>
      <c r="AH411" s="1549"/>
      <c r="AI411" s="1549"/>
      <c r="AJ411" s="1549"/>
      <c r="AK411" s="1549"/>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20"/>
      <c r="E414" s="698" t="s">
        <v>193</v>
      </c>
      <c r="F414" s="1704" t="s">
        <v>1787</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9"/>
      <c r="G415" s="1649"/>
      <c r="H415" s="1649"/>
      <c r="I415" s="1649"/>
      <c r="J415" s="1649"/>
      <c r="K415" s="1649"/>
      <c r="L415" s="1649"/>
      <c r="M415" s="1649"/>
      <c r="N415" s="1649"/>
      <c r="O415" s="1649"/>
      <c r="P415" s="1649"/>
      <c r="Q415" s="1649"/>
      <c r="R415" s="1649"/>
      <c r="S415" s="1649"/>
      <c r="T415" s="1649"/>
      <c r="U415" s="1649"/>
      <c r="V415" s="1649"/>
      <c r="W415" s="1649"/>
      <c r="X415" s="1649"/>
      <c r="Y415" s="1649"/>
      <c r="Z415" s="1649"/>
      <c r="AA415" s="1649"/>
      <c r="AB415" s="1649"/>
      <c r="AC415" s="1649"/>
      <c r="AD415" s="1649"/>
      <c r="AE415" s="1649"/>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9"/>
      <c r="G416" s="1649"/>
      <c r="H416" s="1649"/>
      <c r="I416" s="1649"/>
      <c r="J416" s="1649"/>
      <c r="K416" s="1649"/>
      <c r="L416" s="1649"/>
      <c r="M416" s="1649"/>
      <c r="N416" s="1649"/>
      <c r="O416" s="1649"/>
      <c r="P416" s="1649"/>
      <c r="Q416" s="1649"/>
      <c r="R416" s="1649"/>
      <c r="S416" s="1649"/>
      <c r="T416" s="1649"/>
      <c r="U416" s="1649"/>
      <c r="V416" s="1649"/>
      <c r="W416" s="1649"/>
      <c r="X416" s="1649"/>
      <c r="Y416" s="1649"/>
      <c r="Z416" s="1649"/>
      <c r="AA416" s="1649"/>
      <c r="AB416" s="1649"/>
      <c r="AC416" s="1649"/>
      <c r="AD416" s="1649"/>
      <c r="AE416" s="164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4" t="s">
        <v>1789</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c r="A420" s="5"/>
      <c r="C420" s="704"/>
      <c r="E420" s="194"/>
      <c r="F420" s="1649"/>
      <c r="G420" s="1649"/>
      <c r="H420" s="1649"/>
      <c r="I420" s="1649"/>
      <c r="J420" s="1649"/>
      <c r="K420" s="1649"/>
      <c r="L420" s="1649"/>
      <c r="M420" s="1649"/>
      <c r="N420" s="1649"/>
      <c r="O420" s="1649"/>
      <c r="P420" s="1649"/>
      <c r="Q420" s="1649"/>
      <c r="R420" s="1649"/>
      <c r="S420" s="1649"/>
      <c r="T420" s="1649"/>
      <c r="U420" s="1649"/>
      <c r="V420" s="1649"/>
      <c r="W420" s="1649"/>
      <c r="X420" s="1649"/>
      <c r="Y420" s="1649"/>
      <c r="Z420" s="1649"/>
      <c r="AA420" s="1649"/>
      <c r="AB420" s="1649"/>
      <c r="AC420" s="1649"/>
      <c r="AD420" s="1649"/>
      <c r="AE420" s="1649"/>
      <c r="AF420" s="3"/>
      <c r="AG420" s="5"/>
      <c r="AH420" s="4"/>
      <c r="AI420" s="4"/>
      <c r="AJ420" s="4"/>
      <c r="AK420" s="4"/>
      <c r="AL420" s="705"/>
      <c r="AM420"/>
    </row>
    <row r="421" spans="1:55" s="4" customFormat="1" ht="12.75" customHeight="1">
      <c r="A421" s="5"/>
      <c r="B421" s="21"/>
      <c r="C421" s="704"/>
      <c r="D421" s="21"/>
      <c r="E421" s="194"/>
      <c r="F421" s="1649"/>
      <c r="G421" s="1649"/>
      <c r="H421" s="1649"/>
      <c r="I421" s="1649"/>
      <c r="J421" s="1649"/>
      <c r="K421" s="1649"/>
      <c r="L421" s="1649"/>
      <c r="M421" s="1649"/>
      <c r="N421" s="1649"/>
      <c r="O421" s="1649"/>
      <c r="P421" s="1649"/>
      <c r="Q421" s="1649"/>
      <c r="R421" s="1649"/>
      <c r="S421" s="1649"/>
      <c r="T421" s="1649"/>
      <c r="U421" s="1649"/>
      <c r="V421" s="1649"/>
      <c r="W421" s="1649"/>
      <c r="X421" s="1649"/>
      <c r="Y421" s="1649"/>
      <c r="Z421" s="1649"/>
      <c r="AA421" s="1649"/>
      <c r="AB421" s="1649"/>
      <c r="AC421" s="1649"/>
      <c r="AD421" s="1649"/>
      <c r="AE421" s="1649"/>
      <c r="AL421" s="705"/>
      <c r="AM421"/>
      <c r="AN421" s="281"/>
    </row>
    <row r="422" spans="1:55" s="4" customFormat="1" ht="12.75" customHeight="1">
      <c r="A422" s="5"/>
      <c r="B422" s="21"/>
      <c r="C422" s="707"/>
      <c r="F422" s="1649"/>
      <c r="G422" s="1649"/>
      <c r="H422" s="1649"/>
      <c r="I422" s="1649"/>
      <c r="J422" s="1649"/>
      <c r="K422" s="1649"/>
      <c r="L422" s="1649"/>
      <c r="M422" s="1649"/>
      <c r="N422" s="1649"/>
      <c r="O422" s="1649"/>
      <c r="P422" s="1649"/>
      <c r="Q422" s="1649"/>
      <c r="R422" s="1649"/>
      <c r="S422" s="1649"/>
      <c r="T422" s="1649"/>
      <c r="U422" s="1649"/>
      <c r="V422" s="1649"/>
      <c r="W422" s="1649"/>
      <c r="X422" s="1649"/>
      <c r="Y422" s="1649"/>
      <c r="Z422" s="1649"/>
      <c r="AA422" s="1649"/>
      <c r="AB422" s="1649"/>
      <c r="AC422" s="1649"/>
      <c r="AD422" s="1649"/>
      <c r="AE422" s="1649"/>
      <c r="AL422" s="705"/>
      <c r="AM422"/>
      <c r="AN422" s="281"/>
    </row>
    <row r="423" spans="1:55" s="4" customFormat="1" ht="12.75" customHeight="1">
      <c r="A423" s="5"/>
      <c r="B423" s="21"/>
      <c r="C423" s="1702" t="s">
        <v>124</v>
      </c>
      <c r="D423" s="1120"/>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124</v>
      </c>
      <c r="D425" s="112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4" t="s">
        <v>1790</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9"/>
      <c r="G430" s="1649"/>
      <c r="H430" s="1649"/>
      <c r="I430" s="1649"/>
      <c r="J430" s="1649"/>
      <c r="K430" s="1649"/>
      <c r="L430" s="1649"/>
      <c r="M430" s="1649"/>
      <c r="N430" s="1649"/>
      <c r="O430" s="1649"/>
      <c r="P430" s="1649"/>
      <c r="Q430" s="1649"/>
      <c r="R430" s="1649"/>
      <c r="S430" s="1649"/>
      <c r="T430" s="1649"/>
      <c r="U430" s="1649"/>
      <c r="V430" s="1649"/>
      <c r="W430" s="1649"/>
      <c r="X430" s="1649"/>
      <c r="Y430" s="1649"/>
      <c r="Z430" s="1649"/>
      <c r="AA430" s="1649"/>
      <c r="AB430" s="1649"/>
      <c r="AC430" s="1649"/>
      <c r="AD430" s="1649"/>
      <c r="AE430" s="1649"/>
      <c r="AF430" s="3"/>
      <c r="AG430" s="5"/>
      <c r="AL430" s="705"/>
      <c r="AM430"/>
      <c r="AN430" s="281"/>
    </row>
    <row r="431" spans="1:55" s="4" customFormat="1" ht="12.45" customHeight="1">
      <c r="A431" s="5"/>
      <c r="B431" s="73"/>
      <c r="C431" s="722"/>
      <c r="D431" s="73"/>
      <c r="E431" s="194"/>
      <c r="F431" s="1649"/>
      <c r="G431" s="1649"/>
      <c r="H431" s="1649"/>
      <c r="I431" s="1649"/>
      <c r="J431" s="1649"/>
      <c r="K431" s="1649"/>
      <c r="L431" s="1649"/>
      <c r="M431" s="1649"/>
      <c r="N431" s="1649"/>
      <c r="O431" s="1649"/>
      <c r="P431" s="1649"/>
      <c r="Q431" s="1649"/>
      <c r="R431" s="1649"/>
      <c r="S431" s="1649"/>
      <c r="T431" s="1649"/>
      <c r="U431" s="1649"/>
      <c r="V431" s="1649"/>
      <c r="W431" s="1649"/>
      <c r="X431" s="1649"/>
      <c r="Y431" s="1649"/>
      <c r="Z431" s="1649"/>
      <c r="AA431" s="1649"/>
      <c r="AB431" s="1649"/>
      <c r="AC431" s="1649"/>
      <c r="AD431" s="1649"/>
      <c r="AE431" s="1649"/>
      <c r="AL431" s="705"/>
      <c r="AM431"/>
      <c r="AN431" s="281"/>
    </row>
    <row r="432" spans="1:55" s="4" customFormat="1" ht="12.75" customHeight="1">
      <c r="A432" s="5"/>
      <c r="B432" s="73"/>
      <c r="C432" s="1702" t="s">
        <v>108</v>
      </c>
      <c r="D432" s="1120"/>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4" t="s">
        <v>1791</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9"/>
      <c r="G436" s="1649"/>
      <c r="H436" s="1649"/>
      <c r="I436" s="1649"/>
      <c r="J436" s="1649"/>
      <c r="K436" s="1649"/>
      <c r="L436" s="1649"/>
      <c r="M436" s="1649"/>
      <c r="N436" s="1649"/>
      <c r="O436" s="1649"/>
      <c r="P436" s="1649"/>
      <c r="Q436" s="1649"/>
      <c r="R436" s="1649"/>
      <c r="S436" s="1649"/>
      <c r="T436" s="1649"/>
      <c r="U436" s="1649"/>
      <c r="V436" s="1649"/>
      <c r="W436" s="1649"/>
      <c r="X436" s="1649"/>
      <c r="Y436" s="1649"/>
      <c r="Z436" s="1649"/>
      <c r="AA436" s="1649"/>
      <c r="AB436" s="1649"/>
      <c r="AC436" s="1649"/>
      <c r="AD436" s="1649"/>
      <c r="AE436" s="1649"/>
      <c r="AF436" s="108"/>
      <c r="AG436" s="108"/>
      <c r="AH436" s="108"/>
      <c r="AI436" s="108"/>
      <c r="AJ436" s="108"/>
      <c r="AK436" s="108"/>
      <c r="AL436" s="784"/>
      <c r="AM436"/>
      <c r="AO436" s="4"/>
      <c r="AP436" s="4"/>
    </row>
    <row r="437" spans="1:60" s="4" customFormat="1" ht="12.75" customHeight="1">
      <c r="A437" s="5"/>
      <c r="B437" s="73"/>
      <c r="C437" s="722"/>
      <c r="D437" s="73"/>
      <c r="E437" s="194"/>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08"/>
      <c r="AG437" s="108"/>
      <c r="AH437" s="108"/>
      <c r="AI437" s="108"/>
      <c r="AJ437" s="108"/>
      <c r="AK437" s="108"/>
      <c r="AL437" s="784"/>
      <c r="AM437"/>
      <c r="AN437" s="281"/>
    </row>
    <row r="438" spans="1:60" s="4" customFormat="1" ht="12.75" customHeight="1">
      <c r="A438" s="5"/>
      <c r="B438" s="73"/>
      <c r="C438" s="723"/>
      <c r="D438" s="1"/>
      <c r="E438" s="225"/>
      <c r="F438" s="1649"/>
      <c r="G438" s="1649"/>
      <c r="H438" s="1649"/>
      <c r="I438" s="1649"/>
      <c r="J438" s="1649"/>
      <c r="K438" s="1649"/>
      <c r="L438" s="1649"/>
      <c r="M438" s="1649"/>
      <c r="N438" s="1649"/>
      <c r="O438" s="1649"/>
      <c r="P438" s="1649"/>
      <c r="Q438" s="1649"/>
      <c r="R438" s="1649"/>
      <c r="S438" s="1649"/>
      <c r="T438" s="1649"/>
      <c r="U438" s="1649"/>
      <c r="V438" s="1649"/>
      <c r="W438" s="1649"/>
      <c r="X438" s="1649"/>
      <c r="Y438" s="1649"/>
      <c r="Z438" s="1649"/>
      <c r="AA438" s="1649"/>
      <c r="AB438" s="1649"/>
      <c r="AC438" s="1649"/>
      <c r="AD438" s="1649"/>
      <c r="AE438" s="164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9"/>
      <c r="G439" s="1649"/>
      <c r="H439" s="1649"/>
      <c r="I439" s="1649"/>
      <c r="J439" s="1649"/>
      <c r="K439" s="1649"/>
      <c r="L439" s="1649"/>
      <c r="M439" s="1649"/>
      <c r="N439" s="1649"/>
      <c r="O439" s="1649"/>
      <c r="P439" s="1649"/>
      <c r="Q439" s="1649"/>
      <c r="R439" s="1649"/>
      <c r="S439" s="1649"/>
      <c r="T439" s="1649"/>
      <c r="U439" s="1649"/>
      <c r="V439" s="1649"/>
      <c r="W439" s="1649"/>
      <c r="X439" s="1649"/>
      <c r="Y439" s="1649"/>
      <c r="Z439" s="1649"/>
      <c r="AA439" s="1649"/>
      <c r="AB439" s="1649"/>
      <c r="AC439" s="1649"/>
      <c r="AD439" s="1649"/>
      <c r="AE439" s="1649"/>
      <c r="AF439" s="108"/>
      <c r="AG439" s="108"/>
      <c r="AH439" s="108"/>
      <c r="AI439" s="108"/>
      <c r="AJ439" s="108"/>
      <c r="AK439" s="108"/>
      <c r="AL439" s="784"/>
      <c r="AM439"/>
      <c r="AN439" s="281"/>
    </row>
    <row r="440" spans="1:60" s="4" customFormat="1" ht="12.75" customHeight="1">
      <c r="A440" s="5"/>
      <c r="B440" s="73"/>
      <c r="C440" s="723"/>
      <c r="D440" s="1"/>
      <c r="E440" s="225"/>
      <c r="F440" s="1649"/>
      <c r="G440" s="1649"/>
      <c r="H440" s="1649"/>
      <c r="I440" s="1649"/>
      <c r="J440" s="1649"/>
      <c r="K440" s="1649"/>
      <c r="L440" s="1649"/>
      <c r="M440" s="1649"/>
      <c r="N440" s="1649"/>
      <c r="O440" s="1649"/>
      <c r="P440" s="1649"/>
      <c r="Q440" s="1649"/>
      <c r="R440" s="1649"/>
      <c r="S440" s="1649"/>
      <c r="T440" s="1649"/>
      <c r="U440" s="1649"/>
      <c r="V440" s="1649"/>
      <c r="W440" s="1649"/>
      <c r="X440" s="1649"/>
      <c r="Y440" s="1649"/>
      <c r="Z440" s="1649"/>
      <c r="AA440" s="1649"/>
      <c r="AB440" s="1649"/>
      <c r="AC440" s="1649"/>
      <c r="AD440" s="1649"/>
      <c r="AE440" s="1649"/>
      <c r="AF440" s="108"/>
      <c r="AG440" s="108"/>
      <c r="AH440" s="108"/>
      <c r="AI440" s="108"/>
      <c r="AJ440" s="108"/>
      <c r="AK440" s="108"/>
      <c r="AL440" s="784"/>
      <c r="AM440"/>
      <c r="AN440" s="281"/>
    </row>
    <row r="441" spans="1:60" s="4" customFormat="1" ht="12.75" customHeight="1">
      <c r="A441" s="5"/>
      <c r="B441" s="73"/>
      <c r="C441" s="723"/>
      <c r="D441" s="1"/>
      <c r="E441" s="225"/>
      <c r="F441" s="1649"/>
      <c r="G441" s="1649"/>
      <c r="H441" s="1649"/>
      <c r="I441" s="1649"/>
      <c r="J441" s="1649"/>
      <c r="K441" s="1649"/>
      <c r="L441" s="1649"/>
      <c r="M441" s="1649"/>
      <c r="N441" s="1649"/>
      <c r="O441" s="1649"/>
      <c r="P441" s="1649"/>
      <c r="Q441" s="1649"/>
      <c r="R441" s="1649"/>
      <c r="S441" s="1649"/>
      <c r="T441" s="1649"/>
      <c r="U441" s="1649"/>
      <c r="V441" s="1649"/>
      <c r="W441" s="1649"/>
      <c r="X441" s="1649"/>
      <c r="Y441" s="1649"/>
      <c r="Z441" s="1649"/>
      <c r="AA441" s="1649"/>
      <c r="AB441" s="1649"/>
      <c r="AC441" s="1649"/>
      <c r="AD441" s="1649"/>
      <c r="AE441" s="1649"/>
      <c r="AF441" s="108"/>
      <c r="AG441" s="108"/>
      <c r="AH441" s="108"/>
      <c r="AI441" s="108"/>
      <c r="AJ441" s="108"/>
      <c r="AK441" s="108"/>
      <c r="AL441" s="784"/>
      <c r="AM441"/>
      <c r="AN441" s="281"/>
    </row>
    <row r="442" spans="1:60" s="4" customFormat="1" ht="12.75" customHeight="1">
      <c r="A442" s="5"/>
      <c r="B442" s="73"/>
      <c r="C442" s="723"/>
      <c r="D442" s="1"/>
      <c r="E442" s="225"/>
      <c r="F442" s="1649"/>
      <c r="G442" s="1649"/>
      <c r="H442" s="1649"/>
      <c r="I442" s="1649"/>
      <c r="J442" s="1649"/>
      <c r="K442" s="1649"/>
      <c r="L442" s="1649"/>
      <c r="M442" s="1649"/>
      <c r="N442" s="1649"/>
      <c r="O442" s="1649"/>
      <c r="P442" s="1649"/>
      <c r="Q442" s="1649"/>
      <c r="R442" s="1649"/>
      <c r="S442" s="1649"/>
      <c r="T442" s="1649"/>
      <c r="U442" s="1649"/>
      <c r="V442" s="1649"/>
      <c r="W442" s="1649"/>
      <c r="X442" s="1649"/>
      <c r="Y442" s="1649"/>
      <c r="Z442" s="1649"/>
      <c r="AA442" s="1649"/>
      <c r="AB442" s="1649"/>
      <c r="AC442" s="1649"/>
      <c r="AD442" s="1649"/>
      <c r="AE442" s="1649"/>
      <c r="AF442" s="108"/>
      <c r="AG442" s="108"/>
      <c r="AH442" s="108"/>
      <c r="AI442" s="108"/>
      <c r="AJ442" s="108"/>
      <c r="AK442" s="108"/>
      <c r="AL442" s="784"/>
      <c r="AM442"/>
      <c r="AN442" s="281"/>
    </row>
    <row r="443" spans="1:60" s="4" customFormat="1" ht="17.25" customHeight="1">
      <c r="A443" s="5"/>
      <c r="B443" s="73"/>
      <c r="C443" s="723"/>
      <c r="D443" s="1"/>
      <c r="E443" s="225"/>
      <c r="F443" s="1649"/>
      <c r="G443" s="1649"/>
      <c r="H443" s="1649"/>
      <c r="I443" s="1649"/>
      <c r="J443" s="1649"/>
      <c r="K443" s="1649"/>
      <c r="L443" s="1649"/>
      <c r="M443" s="1649"/>
      <c r="N443" s="1649"/>
      <c r="O443" s="1649"/>
      <c r="P443" s="1649"/>
      <c r="Q443" s="1649"/>
      <c r="R443" s="1649"/>
      <c r="S443" s="1649"/>
      <c r="T443" s="1649"/>
      <c r="U443" s="1649"/>
      <c r="V443" s="1649"/>
      <c r="W443" s="1649"/>
      <c r="X443" s="1649"/>
      <c r="Y443" s="1649"/>
      <c r="Z443" s="1649"/>
      <c r="AA443" s="1649"/>
      <c r="AB443" s="1649"/>
      <c r="AC443" s="1649"/>
      <c r="AD443" s="1649"/>
      <c r="AE443" s="1649"/>
      <c r="AL443" s="705"/>
      <c r="AM443"/>
      <c r="AN443" s="281"/>
    </row>
    <row r="444" spans="1:60" s="4" customFormat="1" ht="12.75" customHeight="1">
      <c r="A444" s="5"/>
      <c r="B444" s="21"/>
      <c r="C444" s="1702" t="s">
        <v>108</v>
      </c>
      <c r="D444" s="1120"/>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4" t="s">
        <v>1794</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
      <c r="AG448" s="18"/>
      <c r="AH448" s="18"/>
      <c r="AI448" s="18"/>
      <c r="AJ448" s="18"/>
      <c r="AK448" s="18"/>
      <c r="AL448" s="781"/>
      <c r="AM448"/>
      <c r="AN448" s="281"/>
    </row>
    <row r="449" spans="1:49" s="4" customFormat="1" ht="12.75" customHeight="1">
      <c r="A449" s="5"/>
      <c r="B449" s="73"/>
      <c r="C449" s="723"/>
      <c r="D449" s="1"/>
      <c r="E449" s="225"/>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
      <c r="AG449" s="18"/>
      <c r="AH449" s="18"/>
      <c r="AI449" s="18"/>
      <c r="AJ449" s="18"/>
      <c r="AK449" s="18"/>
      <c r="AL449" s="781"/>
      <c r="AM449"/>
      <c r="AN449" s="281"/>
    </row>
    <row r="450" spans="1:49" s="4" customFormat="1" ht="12.75" customHeight="1">
      <c r="A450" s="5"/>
      <c r="B450" s="73"/>
      <c r="C450" s="723"/>
      <c r="D450" s="1"/>
      <c r="E450" s="225"/>
      <c r="F450" s="1649"/>
      <c r="G450" s="1649"/>
      <c r="H450" s="1649"/>
      <c r="I450" s="1649"/>
      <c r="J450" s="1649"/>
      <c r="K450" s="1649"/>
      <c r="L450" s="1649"/>
      <c r="M450" s="1649"/>
      <c r="N450" s="1649"/>
      <c r="O450" s="1649"/>
      <c r="P450" s="1649"/>
      <c r="Q450" s="1649"/>
      <c r="R450" s="1649"/>
      <c r="S450" s="1649"/>
      <c r="T450" s="1649"/>
      <c r="U450" s="1649"/>
      <c r="V450" s="1649"/>
      <c r="W450" s="1649"/>
      <c r="X450" s="1649"/>
      <c r="Y450" s="1649"/>
      <c r="Z450" s="1649"/>
      <c r="AA450" s="1649"/>
      <c r="AB450" s="1649"/>
      <c r="AC450" s="1649"/>
      <c r="AD450" s="1649"/>
      <c r="AE450" s="1649"/>
      <c r="AL450" s="705"/>
      <c r="AM450"/>
      <c r="AN450" s="281"/>
    </row>
    <row r="451" spans="1:49" s="4" customFormat="1" ht="12.75" customHeight="1">
      <c r="A451" s="5"/>
      <c r="B451" s="73"/>
      <c r="C451" s="1702" t="s">
        <v>124</v>
      </c>
      <c r="D451" s="1120"/>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124</v>
      </c>
      <c r="D455" s="1709"/>
      <c r="E455" s="698"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2" t="s">
        <v>319</v>
      </c>
      <c r="AG455" s="1872"/>
      <c r="AH455" s="1872"/>
      <c r="AI455" s="1872"/>
      <c r="AJ455" s="1872"/>
      <c r="AK455" s="1872"/>
      <c r="AL455" s="1873"/>
      <c r="AM455"/>
      <c r="AN455" s="674"/>
      <c r="AQ455" s="166"/>
    </row>
    <row r="456" spans="1:49" s="4" customFormat="1" ht="12.75" customHeight="1">
      <c r="A456" s="5"/>
      <c r="B456" s="73"/>
      <c r="C456" s="723"/>
      <c r="D456" s="1"/>
      <c r="E456" s="225"/>
      <c r="F456" s="1649"/>
      <c r="G456" s="1649"/>
      <c r="H456" s="1649"/>
      <c r="I456" s="1649"/>
      <c r="J456" s="1649"/>
      <c r="K456" s="1649"/>
      <c r="L456" s="1649"/>
      <c r="M456" s="1649"/>
      <c r="N456" s="1649"/>
      <c r="O456" s="1649"/>
      <c r="P456" s="1649"/>
      <c r="Q456" s="1649"/>
      <c r="R456" s="1649"/>
      <c r="S456" s="1649"/>
      <c r="T456" s="1649"/>
      <c r="U456" s="1649"/>
      <c r="V456" s="1649"/>
      <c r="W456" s="1649"/>
      <c r="X456" s="1649"/>
      <c r="Y456" s="1649"/>
      <c r="Z456" s="1649"/>
      <c r="AA456" s="1649"/>
      <c r="AB456" s="1649"/>
      <c r="AC456" s="1649"/>
      <c r="AD456" s="1649"/>
      <c r="AE456" s="164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8" t="s">
        <v>124</v>
      </c>
      <c r="D459" s="1709"/>
      <c r="E459" s="698" t="s">
        <v>968</v>
      </c>
      <c r="F459" s="1704" t="s">
        <v>1831</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2" t="s">
        <v>319</v>
      </c>
      <c r="AG459" s="1872"/>
      <c r="AH459" s="1872"/>
      <c r="AI459" s="1872"/>
      <c r="AJ459" s="1872"/>
      <c r="AK459" s="1872"/>
      <c r="AL459" s="1873"/>
      <c r="AM459"/>
      <c r="AN459" s="670"/>
      <c r="AO459" s="4" t="s">
        <v>1335</v>
      </c>
      <c r="AP459" s="4">
        <v>5</v>
      </c>
      <c r="AQ459" s="5"/>
    </row>
    <row r="460" spans="1:49" s="4" customFormat="1" ht="12.75" customHeight="1">
      <c r="A460" s="5"/>
      <c r="B460" s="21"/>
      <c r="C460" s="704"/>
      <c r="D460" s="21"/>
      <c r="E460" s="194"/>
      <c r="F460" s="1649"/>
      <c r="G460" s="1649"/>
      <c r="H460" s="1649"/>
      <c r="I460" s="1649"/>
      <c r="J460" s="1649"/>
      <c r="K460" s="1649"/>
      <c r="L460" s="1649"/>
      <c r="M460" s="1649"/>
      <c r="N460" s="1649"/>
      <c r="O460" s="1649"/>
      <c r="P460" s="1649"/>
      <c r="Q460" s="1649"/>
      <c r="R460" s="1649"/>
      <c r="S460" s="1649"/>
      <c r="T460" s="1649"/>
      <c r="U460" s="1649"/>
      <c r="V460" s="1649"/>
      <c r="W460" s="1649"/>
      <c r="X460" s="1649"/>
      <c r="Y460" s="1649"/>
      <c r="Z460" s="1649"/>
      <c r="AA460" s="1649"/>
      <c r="AB460" s="1649"/>
      <c r="AC460" s="1649"/>
      <c r="AD460" s="1649"/>
      <c r="AE460" s="1649"/>
      <c r="AF460" s="3"/>
      <c r="AG460" s="5"/>
      <c r="AL460" s="705"/>
      <c r="AM460"/>
      <c r="AN460" s="670"/>
      <c r="AO460" s="4" t="s">
        <v>1331</v>
      </c>
      <c r="AP460" s="4">
        <v>5</v>
      </c>
    </row>
    <row r="461" spans="1:49" s="4" customFormat="1" ht="12.75" customHeight="1">
      <c r="A461" s="5"/>
      <c r="B461" s="21"/>
      <c r="C461" s="704"/>
      <c r="D461" s="21"/>
      <c r="E461" s="194"/>
      <c r="F461" s="1649"/>
      <c r="G461" s="1649"/>
      <c r="H461" s="1649"/>
      <c r="I461" s="1649"/>
      <c r="J461" s="1649"/>
      <c r="K461" s="1649"/>
      <c r="L461" s="1649"/>
      <c r="M461" s="1649"/>
      <c r="N461" s="1649"/>
      <c r="O461" s="1649"/>
      <c r="P461" s="1649"/>
      <c r="Q461" s="1649"/>
      <c r="R461" s="1649"/>
      <c r="S461" s="1649"/>
      <c r="T461" s="1649"/>
      <c r="U461" s="1649"/>
      <c r="V461" s="1649"/>
      <c r="W461" s="1649"/>
      <c r="X461" s="1649"/>
      <c r="Y461" s="1649"/>
      <c r="Z461" s="1649"/>
      <c r="AA461" s="1649"/>
      <c r="AB461" s="1649"/>
      <c r="AC461" s="1649"/>
      <c r="AD461" s="1649"/>
      <c r="AE461" s="1649"/>
      <c r="AF461" s="3"/>
      <c r="AG461" s="5"/>
      <c r="AL461" s="705"/>
      <c r="AM461"/>
      <c r="AN461" s="670"/>
      <c r="AO461" s="4" t="s">
        <v>1332</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4" t="s">
        <v>1832</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9"/>
      <c r="G465" s="1649"/>
      <c r="H465" s="1649"/>
      <c r="I465" s="1649"/>
      <c r="J465" s="1649"/>
      <c r="K465" s="1649"/>
      <c r="L465" s="1649"/>
      <c r="M465" s="1649"/>
      <c r="N465" s="1649"/>
      <c r="O465" s="1649"/>
      <c r="P465" s="1649"/>
      <c r="Q465" s="1649"/>
      <c r="R465" s="1649"/>
      <c r="S465" s="1649"/>
      <c r="T465" s="1649"/>
      <c r="U465" s="1649"/>
      <c r="V465" s="1649"/>
      <c r="W465" s="1649"/>
      <c r="X465" s="1649"/>
      <c r="Y465" s="1649"/>
      <c r="Z465" s="1649"/>
      <c r="AA465" s="1649"/>
      <c r="AB465" s="1649"/>
      <c r="AC465" s="1649"/>
      <c r="AD465" s="1649"/>
      <c r="AE465" s="1649"/>
      <c r="AF465" s="1649"/>
      <c r="AL465" s="705"/>
      <c r="AM465"/>
      <c r="AN465" s="281"/>
      <c r="AS465" s="345"/>
      <c r="AW465" s="345" t="s">
        <v>975</v>
      </c>
      <c r="BA465" s="345" t="s">
        <v>976</v>
      </c>
    </row>
    <row r="466" spans="1:54" s="4" customFormat="1" ht="12.75" customHeight="1">
      <c r="A466" s="5"/>
      <c r="B466" s="21"/>
      <c r="C466" s="707"/>
      <c r="F466" s="1649"/>
      <c r="G466" s="1649"/>
      <c r="H466" s="1649"/>
      <c r="I466" s="1649"/>
      <c r="J466" s="1649"/>
      <c r="K466" s="1649"/>
      <c r="L466" s="1649"/>
      <c r="M466" s="1649"/>
      <c r="N466" s="1649"/>
      <c r="O466" s="1649"/>
      <c r="P466" s="1649"/>
      <c r="Q466" s="1649"/>
      <c r="R466" s="1649"/>
      <c r="S466" s="1649"/>
      <c r="T466" s="1649"/>
      <c r="U466" s="1649"/>
      <c r="V466" s="1649"/>
      <c r="W466" s="1649"/>
      <c r="X466" s="1649"/>
      <c r="Y466" s="1649"/>
      <c r="Z466" s="1649"/>
      <c r="AA466" s="1649"/>
      <c r="AB466" s="1649"/>
      <c r="AC466" s="1649"/>
      <c r="AD466" s="1649"/>
      <c r="AE466" s="1649"/>
      <c r="AF466" s="164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9"/>
      <c r="G467" s="1649"/>
      <c r="H467" s="1649"/>
      <c r="I467" s="1649"/>
      <c r="J467" s="1649"/>
      <c r="K467" s="1649"/>
      <c r="L467" s="1649"/>
      <c r="M467" s="1649"/>
      <c r="N467" s="1649"/>
      <c r="O467" s="1649"/>
      <c r="P467" s="1649"/>
      <c r="Q467" s="1649"/>
      <c r="R467" s="1649"/>
      <c r="S467" s="1649"/>
      <c r="T467" s="1649"/>
      <c r="U467" s="1649"/>
      <c r="V467" s="1649"/>
      <c r="W467" s="1649"/>
      <c r="X467" s="1649"/>
      <c r="Y467" s="1649"/>
      <c r="Z467" s="1649"/>
      <c r="AA467" s="1649"/>
      <c r="AB467" s="1649"/>
      <c r="AC467" s="1649"/>
      <c r="AD467" s="1649"/>
      <c r="AE467" s="1649"/>
      <c r="AF467" s="1649"/>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02" t="s">
        <v>124</v>
      </c>
      <c r="D468" s="1120"/>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9" t="s">
        <v>1257</v>
      </c>
      <c r="AF477" s="1549"/>
      <c r="AG477" s="1549"/>
      <c r="AH477" s="1549"/>
      <c r="AI477" s="1549"/>
      <c r="AJ477" s="1549"/>
      <c r="AK477" s="154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1" t="s">
        <v>124</v>
      </c>
      <c r="D483" s="1712"/>
      <c r="E483" s="749" t="s">
        <v>195</v>
      </c>
      <c r="F483" s="1713" t="s">
        <v>972</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1334</v>
      </c>
      <c r="AP484" s="4">
        <v>1</v>
      </c>
    </row>
    <row r="485" spans="1:50" s="4" customFormat="1" ht="12.75" hidden="1" customHeight="1">
      <c r="C485" s="727"/>
      <c r="D485" s="714"/>
      <c r="E485" s="728"/>
      <c r="F485" s="1800" t="s">
        <v>124</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8" t="s">
        <v>108</v>
      </c>
      <c r="D487" s="170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8" t="s">
        <v>124</v>
      </c>
      <c r="W490" s="1688"/>
      <c r="X490" s="168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8" t="s">
        <v>124</v>
      </c>
      <c r="W492" s="1688"/>
      <c r="X492" s="168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8" t="s">
        <v>124</v>
      </c>
      <c r="W497" s="1688"/>
      <c r="X497" s="168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2"/>
      <c r="E500" s="1432"/>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8" t="s">
        <v>124</v>
      </c>
      <c r="W501" s="1688"/>
      <c r="X501" s="168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8" t="s">
        <v>124</v>
      </c>
      <c r="W503" s="1688"/>
      <c r="X503" s="168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657</v>
      </c>
      <c r="AV504" s="1877"/>
      <c r="AW504" s="1877"/>
      <c r="AX504" s="1877"/>
      <c r="AY504" s="1877"/>
      <c r="AZ504" s="1877"/>
      <c r="BA504" s="1877"/>
      <c r="BB504" s="20"/>
      <c r="BC504" s="20"/>
      <c r="BE504" s="4"/>
      <c r="BF504" s="4"/>
      <c r="BG504" s="4"/>
      <c r="BH504" s="4"/>
      <c r="BI504" s="4"/>
      <c r="BJ504" s="1815" t="s">
        <v>30</v>
      </c>
      <c r="BK504" s="1816"/>
      <c r="BL504" s="1816"/>
      <c r="BM504" s="1816"/>
      <c r="BN504" s="1816"/>
      <c r="BO504" s="1816"/>
      <c r="BP504" s="181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5"/>
      <c r="BK505" s="1816"/>
      <c r="BL505" s="1816"/>
      <c r="BM505" s="1816"/>
      <c r="BN505" s="1816"/>
      <c r="BO505" s="1816"/>
      <c r="BP505" s="1816"/>
      <c r="BQ505" s="20"/>
      <c r="BR505" s="4"/>
    </row>
    <row r="506" spans="1:147" customFormat="1" ht="12.75" hidden="1" customHeight="1">
      <c r="A506" s="120"/>
      <c r="B506" s="4"/>
      <c r="C506" s="1711" t="s">
        <v>124</v>
      </c>
      <c r="D506" s="1712"/>
      <c r="E506" s="742" t="s">
        <v>195</v>
      </c>
      <c r="F506" s="1713" t="s">
        <v>972</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7" t="s">
        <v>1498</v>
      </c>
      <c r="AQ507" s="1288"/>
      <c r="AR507" s="1289"/>
      <c r="AS507" s="624">
        <v>80</v>
      </c>
      <c r="AT507" s="4">
        <v>0</v>
      </c>
      <c r="AU507" s="160">
        <v>10</v>
      </c>
      <c r="AV507" s="160">
        <v>25</v>
      </c>
      <c r="AW507" s="160">
        <v>37.5</v>
      </c>
      <c r="AX507" s="160">
        <v>35</v>
      </c>
      <c r="AY507" s="160">
        <v>37.5</v>
      </c>
      <c r="AZ507" s="160">
        <v>50</v>
      </c>
      <c r="BA507" s="160">
        <v>50</v>
      </c>
      <c r="BB507" s="21"/>
      <c r="BC507" s="21"/>
      <c r="BE507" s="1287" t="s">
        <v>1498</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124</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974</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42"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0" t="s">
        <v>124</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4"/>
      <c r="D517" s="1432"/>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124</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124</v>
      </c>
      <c r="D520" s="188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124</v>
      </c>
      <c r="D524" s="1881"/>
      <c r="F524" s="496" t="s">
        <v>874</v>
      </c>
      <c r="G524" s="1649" t="s">
        <v>983</v>
      </c>
      <c r="H524" s="1649"/>
      <c r="I524" s="1649"/>
      <c r="J524" s="1649"/>
      <c r="K524" s="1649"/>
      <c r="L524" s="1649"/>
      <c r="M524" s="1649"/>
      <c r="N524" s="1649"/>
      <c r="O524" s="1649"/>
      <c r="P524" s="1649"/>
      <c r="Q524" s="1649"/>
      <c r="R524" s="1649"/>
      <c r="S524" s="1649"/>
      <c r="T524" s="1649"/>
      <c r="U524" s="1649"/>
      <c r="V524" s="1649"/>
      <c r="W524" s="1649"/>
      <c r="X524" s="1649"/>
      <c r="Y524" s="1649"/>
      <c r="Z524" s="1649"/>
      <c r="AA524" s="1649"/>
      <c r="AB524" s="1649"/>
      <c r="AC524" s="1649"/>
      <c r="AD524" s="1649"/>
      <c r="AE524" s="1649"/>
      <c r="AF524" s="1649"/>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1">
        <f>BJ528</f>
        <v>75</v>
      </c>
      <c r="BE524" s="186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1">
        <f>SUM(E581:J589)</f>
        <v>75</v>
      </c>
      <c r="BE525" s="186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0</v>
      </c>
      <c r="BK527" s="186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124</v>
      </c>
      <c r="D528" s="1120"/>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4">
        <f>Application!AG433</f>
        <v>75</v>
      </c>
      <c r="BK528" s="1865"/>
      <c r="BM528" s="1751"/>
      <c r="BN528" s="1752"/>
      <c r="BO528" s="1751"/>
      <c r="BP528" s="1752"/>
      <c r="BQ528" s="1764"/>
      <c r="BR528" s="1766"/>
      <c r="BS528" s="1764"/>
      <c r="BT528" s="1766"/>
      <c r="BU528" s="1751">
        <f>IF(T611&gt;0,1,0)</f>
        <v>0</v>
      </c>
      <c r="BV528" s="1752"/>
      <c r="BW528" s="1751">
        <f>IF(Y611&gt;=0.1,1,0)</f>
        <v>0</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2" t="s">
        <v>124</v>
      </c>
      <c r="G529" s="1572"/>
      <c r="H529" s="1572"/>
      <c r="I529" s="1572"/>
      <c r="J529" s="1572"/>
      <c r="K529" s="1572"/>
      <c r="L529" s="1572"/>
      <c r="M529" s="1572"/>
      <c r="N529" s="1572"/>
      <c r="O529" s="1572"/>
      <c r="P529" s="1572"/>
      <c r="Q529" s="1572"/>
      <c r="R529" s="1572"/>
      <c r="S529" s="1572"/>
      <c r="T529" s="1572"/>
      <c r="U529" s="1572"/>
      <c r="V529" s="1572"/>
      <c r="W529" s="1572"/>
      <c r="X529" s="1572"/>
      <c r="Y529" s="1572"/>
      <c r="Z529" s="1572"/>
      <c r="AA529" s="1572"/>
      <c r="AB529" s="1572"/>
      <c r="AC529" s="1572"/>
      <c r="AD529" s="1572"/>
      <c r="AE529" s="1572"/>
      <c r="AF529" s="1572"/>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1</v>
      </c>
      <c r="CD530" s="1752"/>
      <c r="CE530" s="1751">
        <f>IF(Y613&gt;=0.1,1,0)</f>
        <v>1</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0</v>
      </c>
      <c r="BR531" s="1752"/>
      <c r="BS531" s="1751">
        <f>SUM(BS526:BT530)</f>
        <v>0</v>
      </c>
      <c r="BT531" s="1752"/>
      <c r="BU531" s="1751">
        <f>SUM(BU526:BV530)</f>
        <v>0</v>
      </c>
      <c r="BV531" s="1752"/>
      <c r="BW531" s="1751">
        <f>SUM(BW526:BX530)</f>
        <v>0</v>
      </c>
      <c r="BX531" s="1752"/>
      <c r="BY531" s="1751">
        <f>SUM(BY526:BZ530)</f>
        <v>1</v>
      </c>
      <c r="BZ531" s="1752"/>
      <c r="CA531" s="1751">
        <f>SUM(CA526:CB530)</f>
        <v>1</v>
      </c>
      <c r="CB531" s="1752"/>
      <c r="CC531" s="1751">
        <f>SUM(CC526:CD530)</f>
        <v>1</v>
      </c>
      <c r="CD531" s="1752"/>
      <c r="CE531" s="1751">
        <f>SUM(CE526:CF530)</f>
        <v>1</v>
      </c>
      <c r="CF531" s="1752"/>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455</v>
      </c>
      <c r="AQ532" s="1870"/>
      <c r="AR532" s="1870"/>
      <c r="AS532" s="1870"/>
      <c r="AT532" s="1871"/>
      <c r="AU532" s="1869" t="s">
        <v>456</v>
      </c>
      <c r="AV532" s="1870"/>
      <c r="AW532" s="1870"/>
      <c r="AX532" s="1870"/>
      <c r="AY532" s="1871"/>
      <c r="BM532" s="1764">
        <f>SUM(BM531:BP531)</f>
        <v>0</v>
      </c>
      <c r="BN532" s="1765"/>
      <c r="BO532" s="1765"/>
      <c r="BP532" s="1766"/>
      <c r="BQ532" s="1764">
        <f>SUM(BQ531:BT531)</f>
        <v>0</v>
      </c>
      <c r="BR532" s="1765"/>
      <c r="BS532" s="1765"/>
      <c r="BT532" s="1766"/>
      <c r="BU532" s="1764">
        <f>SUM(BU531:BX531)</f>
        <v>0</v>
      </c>
      <c r="BV532" s="1765"/>
      <c r="BW532" s="1765"/>
      <c r="BX532" s="1766"/>
      <c r="BY532" s="1764">
        <f>SUM(BY531:CB531)</f>
        <v>2</v>
      </c>
      <c r="BZ532" s="1765"/>
      <c r="CA532" s="1765"/>
      <c r="CB532" s="1766"/>
      <c r="CC532" s="1764">
        <f>SUM(CC531:CF531)</f>
        <v>2</v>
      </c>
      <c r="CD532" s="1765"/>
      <c r="CE532" s="1765"/>
      <c r="CF532" s="176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5</v>
      </c>
      <c r="AQ534" s="1867"/>
      <c r="AR534" s="1867"/>
      <c r="AS534" s="1867"/>
      <c r="AT534" s="1868"/>
      <c r="AU534" s="1866">
        <f>RANK(Y610,$Y$609:$AC$613,0)+COUNTIF($Y$609:$AC$613,Y610)-1</f>
        <v>5</v>
      </c>
      <c r="AV534" s="1867"/>
      <c r="AW534" s="1867"/>
      <c r="AX534" s="1867"/>
      <c r="AY534" s="1868"/>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5</v>
      </c>
      <c r="AQ535" s="1867"/>
      <c r="AR535" s="1867"/>
      <c r="AS535" s="1867"/>
      <c r="AT535" s="1868"/>
      <c r="AU535" s="1866">
        <f>RANK(Y611,$Y$609:$AC$613,0)+COUNTIF($Y$609:$AC$613,Y611)-1</f>
        <v>5</v>
      </c>
      <c r="AV535" s="1867"/>
      <c r="AW535" s="1867"/>
      <c r="AX535" s="1867"/>
      <c r="AY535" s="1868"/>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2</v>
      </c>
      <c r="AQ536" s="1867"/>
      <c r="AR536" s="1867"/>
      <c r="AS536" s="1867"/>
      <c r="AT536" s="1868"/>
      <c r="AU536" s="1866">
        <f>RANK(Y612,$Y$609:$AC$613,0)+COUNTIF($Y$609:$AC$613,Y612)-1</f>
        <v>2</v>
      </c>
      <c r="AV536" s="1867"/>
      <c r="AW536" s="1867"/>
      <c r="AX536" s="1867"/>
      <c r="AY536" s="1868"/>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1</v>
      </c>
      <c r="AQ537" s="1867"/>
      <c r="AR537" s="1867"/>
      <c r="AS537" s="1867"/>
      <c r="AT537" s="1868"/>
      <c r="AU537" s="1866">
        <f>RANK(Y613,$Y$609:$AC$613,0)+COUNTIF($Y$609:$AC$613,Y613)-1</f>
        <v>2</v>
      </c>
      <c r="AV537" s="1867"/>
      <c r="AW537" s="1867"/>
      <c r="AX537" s="1867"/>
      <c r="AY537" s="1868"/>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1">
        <f>SUM(O609:S613)</f>
        <v>75</v>
      </c>
      <c r="AZ541" s="1752"/>
      <c r="CG541"/>
      <c r="CH541" s="1796" t="s">
        <v>775</v>
      </c>
      <c r="CI541" s="1462"/>
      <c r="CJ541" s="1462"/>
      <c r="CK541" s="146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1" t="str">
        <f>IF(AY541=BK568,"passed","failed")</f>
        <v>passed</v>
      </c>
      <c r="AT542" s="1756"/>
      <c r="AU542" s="1752"/>
      <c r="AV542" s="151"/>
      <c r="AW542" s="151"/>
      <c r="AX542" s="151"/>
      <c r="AY542" s="151"/>
      <c r="AZ542" s="152"/>
      <c r="CG542"/>
      <c r="CH542" s="1464"/>
      <c r="CI542" s="1465"/>
      <c r="CJ542" s="1465"/>
      <c r="CK542" s="146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365</v>
      </c>
      <c r="AF543" s="1687"/>
      <c r="AG543" s="1687"/>
      <c r="AH543" s="1687"/>
      <c r="AI543" s="1687"/>
      <c r="AJ543" s="1687"/>
      <c r="AK543" s="1687"/>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4"/>
      <c r="CI543" s="1465"/>
      <c r="CJ543" s="1465"/>
      <c r="CK543" s="146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81"/>
      <c r="BE544" s="1764" t="s">
        <v>223</v>
      </c>
      <c r="BF544" s="1765"/>
      <c r="BG544" s="1765"/>
      <c r="BH544" s="1766"/>
      <c r="BI544" s="1764" t="s">
        <v>716</v>
      </c>
      <c r="BJ544" s="1765"/>
      <c r="BK544" s="1765"/>
      <c r="BL544" s="1766"/>
      <c r="BM544" s="1764" t="s">
        <v>717</v>
      </c>
      <c r="BN544" s="1765"/>
      <c r="BO544" s="1765"/>
      <c r="BP544" s="1766"/>
      <c r="BQ544" s="1764" t="s">
        <v>718</v>
      </c>
      <c r="BR544" s="1765"/>
      <c r="BS544" s="1765"/>
      <c r="BT544" s="1766"/>
      <c r="BU544" s="1764" t="s">
        <v>719</v>
      </c>
      <c r="BV544" s="1765"/>
      <c r="BW544" s="1765"/>
      <c r="BX544" s="1766"/>
      <c r="BY544" s="1764" t="s">
        <v>224</v>
      </c>
      <c r="BZ544" s="1765"/>
      <c r="CA544" s="1765"/>
      <c r="CB544" s="1766"/>
      <c r="CC544"/>
      <c r="CG544"/>
      <c r="CH544" s="1464"/>
      <c r="CI544" s="1465"/>
      <c r="CJ544" s="1465"/>
      <c r="CK544" s="1466"/>
    </row>
    <row r="545" spans="1:89" s="4" customFormat="1" ht="12.75" customHeight="1">
      <c r="A545" s="3"/>
      <c r="B545" s="1878" t="s">
        <v>1719</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613</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5"/>
      <c r="CI545" s="1516"/>
      <c r="CJ545" s="1516"/>
      <c r="CK545" s="1517"/>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611</v>
      </c>
      <c r="AQ546" s="438"/>
      <c r="AR546" s="438"/>
      <c r="AS546" s="438"/>
      <c r="AT546" s="438"/>
      <c r="AU546" s="1786">
        <f>ROUNDUP(BK568*0.1,0)</f>
        <v>8</v>
      </c>
      <c r="AV546" s="1788"/>
      <c r="AW546" s="438"/>
      <c r="AX546" s="438">
        <f>AU546-AP548</f>
        <v>-67</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6">
        <f>SUM(T609:X613)</f>
        <v>75</v>
      </c>
      <c r="AQ548" s="1847"/>
      <c r="AR548" s="1847"/>
      <c r="AS548" s="1847"/>
      <c r="AT548" s="1848"/>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606</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65"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5" customHeight="1">
      <c r="B551" s="1767" t="s">
        <v>1499</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7" t="s">
        <v>1761</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606</v>
      </c>
      <c r="AU554" s="151"/>
      <c r="AV554" s="1751" t="str">
        <f>IF(BJ590&gt;0,"failed","passed")</f>
        <v>failed</v>
      </c>
      <c r="AW554" s="1756"/>
      <c r="AX554" s="1756"/>
      <c r="AY554" s="1752"/>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1500</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1760</v>
      </c>
      <c r="R559" s="1684"/>
      <c r="S559" s="1854" t="s">
        <v>204</v>
      </c>
      <c r="T559" s="1854"/>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713</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607</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1126</v>
      </c>
      <c r="BA565" s="1797" t="s">
        <v>714</v>
      </c>
      <c r="BB565" s="1798"/>
      <c r="BC565" s="1798"/>
      <c r="BD565" s="1798"/>
      <c r="BE565" s="1799"/>
      <c r="BF565" s="1761">
        <f>SUM(O609:S613)</f>
        <v>75</v>
      </c>
      <c r="BG565" s="1762"/>
      <c r="BH565" s="1762"/>
      <c r="BI565" s="1762"/>
      <c r="BJ565" s="1763"/>
      <c r="BK565" s="1666">
        <f>SUM(T609:X613)</f>
        <v>75</v>
      </c>
      <c r="BL565" s="1667"/>
      <c r="BM565" s="1667"/>
      <c r="BN565" s="1667"/>
      <c r="BO565" s="1668"/>
    </row>
    <row r="566" spans="1:96" s="4" customFormat="1" ht="12.75" customHeight="1">
      <c r="B566" s="35"/>
      <c r="I566" s="1290" t="s">
        <v>1498</v>
      </c>
      <c r="J566" s="1291"/>
      <c r="K566" s="1291"/>
      <c r="L566" s="1291"/>
      <c r="M566" s="1291"/>
      <c r="N566" s="1292"/>
      <c r="O566" s="1662">
        <v>0.5</v>
      </c>
      <c r="P566" s="1663"/>
      <c r="Q566" s="1675"/>
      <c r="R566" s="1676"/>
      <c r="S566" s="1665"/>
      <c r="T566" s="1665"/>
      <c r="U566" s="1697" t="s">
        <v>1502</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90"/>
      <c r="J567" s="1291"/>
      <c r="K567" s="1291"/>
      <c r="L567" s="1291"/>
      <c r="M567" s="1291"/>
      <c r="N567" s="1292"/>
      <c r="O567" s="1662">
        <v>0.45</v>
      </c>
      <c r="P567" s="1663"/>
      <c r="Q567" s="1664"/>
      <c r="R567" s="1665"/>
      <c r="S567" s="1665"/>
      <c r="T567" s="1665"/>
      <c r="U567" s="1677" t="s">
        <v>130</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90"/>
      <c r="J568" s="1291"/>
      <c r="K568" s="1291"/>
      <c r="L568" s="1291"/>
      <c r="M568" s="1291"/>
      <c r="N568" s="1292"/>
      <c r="O568" s="1662">
        <v>0.4</v>
      </c>
      <c r="P568" s="1663"/>
      <c r="Q568" s="1664"/>
      <c r="R568" s="1665"/>
      <c r="S568" s="1677" t="s">
        <v>1501</v>
      </c>
      <c r="T568" s="1677"/>
      <c r="U568" s="1679">
        <v>20</v>
      </c>
      <c r="V568" s="1679"/>
      <c r="W568" s="1679">
        <v>30</v>
      </c>
      <c r="X568" s="1679"/>
      <c r="Y568" s="1679"/>
      <c r="Z568" s="1679"/>
      <c r="AA568" s="1679"/>
      <c r="AB568" s="1679"/>
      <c r="AC568" s="1679"/>
      <c r="AD568" s="1679"/>
      <c r="AE568" s="1699"/>
      <c r="AF568" s="1700"/>
      <c r="AN568" s="281"/>
      <c r="AP568" s="1855" t="s">
        <v>205</v>
      </c>
      <c r="AQ568" s="1856"/>
      <c r="AR568" s="1856"/>
      <c r="AS568" s="1856"/>
      <c r="AT568" s="1856"/>
      <c r="AU568" s="1856"/>
      <c r="AV568" s="1856"/>
      <c r="AW568" s="1856"/>
      <c r="AX568" s="1856"/>
      <c r="AY568" s="1856"/>
      <c r="AZ568" s="1856"/>
      <c r="BA568" s="1856"/>
      <c r="BB568" s="1856"/>
      <c r="BC568" s="1856"/>
      <c r="BD568" s="1856"/>
      <c r="BE568" s="1856"/>
      <c r="BF568" s="1856"/>
      <c r="BG568" s="1856"/>
      <c r="BH568" s="1856"/>
      <c r="BI568" s="1856"/>
      <c r="BJ568" s="1857"/>
      <c r="BK568" s="1776">
        <f>BF565</f>
        <v>75</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2">
        <v>0.35</v>
      </c>
      <c r="P569" s="1663"/>
      <c r="Q569" s="1664"/>
      <c r="R569" s="1665"/>
      <c r="S569" s="1677" t="s">
        <v>1762</v>
      </c>
      <c r="T569" s="1677"/>
      <c r="U569" s="1679">
        <v>17.5</v>
      </c>
      <c r="V569" s="1679"/>
      <c r="W569" s="1679">
        <v>26.3</v>
      </c>
      <c r="X569" s="1679"/>
      <c r="Y569" s="1679">
        <v>35</v>
      </c>
      <c r="Z569" s="1679"/>
      <c r="AA569" s="1679"/>
      <c r="AB569" s="1679"/>
      <c r="AC569" s="1679">
        <v>50</v>
      </c>
      <c r="AD569" s="1679"/>
      <c r="AE569" s="1699"/>
      <c r="AF569" s="1700"/>
      <c r="AN569" s="281"/>
      <c r="AP569" s="1858"/>
      <c r="AQ569" s="1859"/>
      <c r="AR569" s="1859"/>
      <c r="AS569" s="1859"/>
      <c r="AT569" s="1859"/>
      <c r="AU569" s="1859"/>
      <c r="AV569" s="1859"/>
      <c r="AW569" s="1859"/>
      <c r="AX569" s="1859"/>
      <c r="AY569" s="1859"/>
      <c r="AZ569" s="1859"/>
      <c r="BA569" s="1859"/>
      <c r="BB569" s="1859"/>
      <c r="BC569" s="1859"/>
      <c r="BD569" s="1859"/>
      <c r="BE569" s="1859"/>
      <c r="BF569" s="1859"/>
      <c r="BG569" s="1859"/>
      <c r="BH569" s="1859"/>
      <c r="BI569" s="1859"/>
      <c r="BJ569" s="1860"/>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2">
        <v>0.3</v>
      </c>
      <c r="P570" s="1663"/>
      <c r="Q570" s="1664"/>
      <c r="R570" s="1665"/>
      <c r="S570" s="1677" t="s">
        <v>1763</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2">
        <v>0.25</v>
      </c>
      <c r="P571" s="1663"/>
      <c r="Q571" s="1664"/>
      <c r="R571" s="1665"/>
      <c r="S571" s="1677" t="s">
        <v>1764</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78">
        <f t="shared" ref="AU571:AU576" si="1">O608</f>
        <v>0</v>
      </c>
      <c r="AV571" s="1379"/>
      <c r="AW571" s="1379"/>
      <c r="AX571" s="1379"/>
      <c r="AY571" s="1380"/>
      <c r="AZ571" s="1378">
        <f t="shared" ref="AZ571:AZ576" si="2">T608</f>
        <v>0</v>
      </c>
      <c r="BA571" s="1379"/>
      <c r="BB571" s="1379"/>
      <c r="BC571" s="1379"/>
      <c r="BD571" s="1380"/>
      <c r="BE571" s="1753">
        <f t="shared" ref="BE571:BE576" si="3">Y608</f>
        <v>0</v>
      </c>
      <c r="BF571" s="1754"/>
      <c r="BG571" s="1754"/>
      <c r="BH571" s="1754"/>
      <c r="BI571" s="1755"/>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2">
        <v>0.2</v>
      </c>
      <c r="P572" s="1663"/>
      <c r="Q572" s="1664"/>
      <c r="R572" s="1665"/>
      <c r="S572" s="1693" t="s">
        <v>1767</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78">
        <f t="shared" si="1"/>
        <v>0</v>
      </c>
      <c r="AV572" s="1379"/>
      <c r="AW572" s="1379"/>
      <c r="AX572" s="1379"/>
      <c r="AY572" s="1380"/>
      <c r="AZ572" s="1378">
        <f t="shared" si="2"/>
        <v>0</v>
      </c>
      <c r="BA572" s="1379"/>
      <c r="BB572" s="1379"/>
      <c r="BC572" s="1379"/>
      <c r="BD572" s="1380"/>
      <c r="BE572" s="1753">
        <f t="shared" si="3"/>
        <v>0</v>
      </c>
      <c r="BF572" s="1754"/>
      <c r="BG572" s="1754"/>
      <c r="BH572" s="1754"/>
      <c r="BI572" s="1755"/>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2">
        <v>0.15</v>
      </c>
      <c r="P573" s="1663"/>
      <c r="Q573" s="1664"/>
      <c r="R573" s="1665"/>
      <c r="S573" s="1677" t="s">
        <v>1765</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78">
        <f t="shared" si="1"/>
        <v>0</v>
      </c>
      <c r="AV573" s="1379"/>
      <c r="AW573" s="1379"/>
      <c r="AX573" s="1379"/>
      <c r="AY573" s="1380"/>
      <c r="AZ573" s="1378">
        <f t="shared" si="2"/>
        <v>0</v>
      </c>
      <c r="BA573" s="1379"/>
      <c r="BB573" s="1379"/>
      <c r="BC573" s="1379"/>
      <c r="BD573" s="1380"/>
      <c r="BE573" s="1753">
        <f t="shared" si="3"/>
        <v>0</v>
      </c>
      <c r="BF573" s="1754"/>
      <c r="BG573" s="1754"/>
      <c r="BH573" s="1754"/>
      <c r="BI573" s="1755"/>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2">
        <v>0.1</v>
      </c>
      <c r="P574" s="1663"/>
      <c r="Q574" s="1691"/>
      <c r="R574" s="1692"/>
      <c r="S574" s="1677" t="s">
        <v>1766</v>
      </c>
      <c r="T574" s="1677"/>
      <c r="U574" s="1680">
        <v>5</v>
      </c>
      <c r="V574" s="1680"/>
      <c r="W574" s="1680">
        <v>7.5</v>
      </c>
      <c r="X574" s="1680"/>
      <c r="Y574" s="1680">
        <v>10</v>
      </c>
      <c r="Z574" s="1680"/>
      <c r="AA574" s="1680">
        <v>12.5</v>
      </c>
      <c r="AB574" s="1680"/>
      <c r="AC574" s="1680">
        <v>15</v>
      </c>
      <c r="AD574" s="1680"/>
      <c r="AE574" s="1882">
        <v>20</v>
      </c>
      <c r="AF574" s="1883"/>
      <c r="AK574" s="167"/>
      <c r="AL574" s="167"/>
      <c r="AM574" s="5"/>
      <c r="AN574" s="281"/>
      <c r="AP574" s="1758" t="str">
        <f t="shared" si="0"/>
        <v>2 BR</v>
      </c>
      <c r="AQ574" s="1759"/>
      <c r="AR574" s="1759"/>
      <c r="AS574" s="1759"/>
      <c r="AT574" s="1760"/>
      <c r="AU574" s="1378">
        <f t="shared" si="1"/>
        <v>0</v>
      </c>
      <c r="AV574" s="1379"/>
      <c r="AW574" s="1379"/>
      <c r="AX574" s="1379"/>
      <c r="AY574" s="1380"/>
      <c r="AZ574" s="1378">
        <f t="shared" si="2"/>
        <v>0</v>
      </c>
      <c r="BA574" s="1379"/>
      <c r="BB574" s="1379"/>
      <c r="BC574" s="1379"/>
      <c r="BD574" s="1380"/>
      <c r="BE574" s="1753">
        <f t="shared" si="3"/>
        <v>0</v>
      </c>
      <c r="BF574" s="1754"/>
      <c r="BG574" s="1754"/>
      <c r="BH574" s="1754"/>
      <c r="BI574" s="1755"/>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939</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8" t="str">
        <f t="shared" si="0"/>
        <v>1 BR</v>
      </c>
      <c r="AQ575" s="1759"/>
      <c r="AR575" s="1759"/>
      <c r="AS575" s="1759"/>
      <c r="AT575" s="1760"/>
      <c r="AU575" s="1378">
        <f t="shared" si="1"/>
        <v>5</v>
      </c>
      <c r="AV575" s="1379"/>
      <c r="AW575" s="1379"/>
      <c r="AX575" s="1379"/>
      <c r="AY575" s="1380"/>
      <c r="AZ575" s="1378">
        <f t="shared" si="2"/>
        <v>5</v>
      </c>
      <c r="BA575" s="1379"/>
      <c r="BB575" s="1379"/>
      <c r="BC575" s="1379"/>
      <c r="BD575" s="1380"/>
      <c r="BE575" s="1753">
        <f t="shared" si="3"/>
        <v>1</v>
      </c>
      <c r="BF575" s="1754"/>
      <c r="BG575" s="1754"/>
      <c r="BH575" s="1754"/>
      <c r="BI575" s="1755"/>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49"/>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0"/>
      <c r="AN576" s="281"/>
      <c r="AP576" s="1758" t="str">
        <f t="shared" si="0"/>
        <v>SRO</v>
      </c>
      <c r="AQ576" s="1759"/>
      <c r="AR576" s="1759"/>
      <c r="AS576" s="1759"/>
      <c r="AT576" s="1760"/>
      <c r="AU576" s="1378">
        <f t="shared" si="1"/>
        <v>70</v>
      </c>
      <c r="AV576" s="1379"/>
      <c r="AW576" s="1379"/>
      <c r="AX576" s="1379"/>
      <c r="AY576" s="1380"/>
      <c r="AZ576" s="1378">
        <f t="shared" si="2"/>
        <v>70</v>
      </c>
      <c r="BA576" s="1379"/>
      <c r="BB576" s="1379"/>
      <c r="BC576" s="1379"/>
      <c r="BD576" s="1380"/>
      <c r="BE576" s="1753">
        <f t="shared" si="3"/>
        <v>1</v>
      </c>
      <c r="BF576" s="1754"/>
      <c r="BG576" s="1754"/>
      <c r="BH576" s="1754"/>
      <c r="BI576" s="1755"/>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89" t="s">
        <v>1508</v>
      </c>
      <c r="F577" s="1890"/>
      <c r="G577" s="1890"/>
      <c r="H577" s="1890"/>
      <c r="I577" s="1890"/>
      <c r="J577" s="1891"/>
      <c r="K577" s="1889" t="s">
        <v>1758</v>
      </c>
      <c r="L577" s="1890"/>
      <c r="M577" s="1890"/>
      <c r="N577" s="1890"/>
      <c r="O577" s="1890"/>
      <c r="P577" s="1891"/>
      <c r="Q577" s="1287" t="s">
        <v>1504</v>
      </c>
      <c r="R577" s="1288"/>
      <c r="S577" s="1288"/>
      <c r="T577" s="1288"/>
      <c r="U577" s="1288"/>
      <c r="V577" s="1289"/>
      <c r="W577" s="1287" t="str">
        <f>I566</f>
        <v>Percent of Low-Income Units (exclusive of manager’s units)</v>
      </c>
      <c r="X577" s="1288"/>
      <c r="Y577" s="1288"/>
      <c r="Z577" s="1288"/>
      <c r="AA577" s="1288"/>
      <c r="AB577" s="1289"/>
      <c r="AC577" s="1287" t="s">
        <v>1507</v>
      </c>
      <c r="AD577" s="1288"/>
      <c r="AE577" s="1288"/>
      <c r="AF577" s="1288"/>
      <c r="AG577" s="1288"/>
      <c r="AH577" s="1289"/>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2"/>
      <c r="F578" s="1893"/>
      <c r="G578" s="1893"/>
      <c r="H578" s="1893"/>
      <c r="I578" s="1893"/>
      <c r="J578" s="1894"/>
      <c r="K578" s="1892"/>
      <c r="L578" s="1893"/>
      <c r="M578" s="1893"/>
      <c r="N578" s="1893"/>
      <c r="O578" s="1893"/>
      <c r="P578" s="1894"/>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2"/>
      <c r="F579" s="1893"/>
      <c r="G579" s="1893"/>
      <c r="H579" s="1893"/>
      <c r="I579" s="1893"/>
      <c r="J579" s="1894"/>
      <c r="K579" s="1892"/>
      <c r="L579" s="1893"/>
      <c r="M579" s="1893"/>
      <c r="N579" s="1893"/>
      <c r="O579" s="1893"/>
      <c r="P579" s="1894"/>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2"/>
      <c r="F580" s="1893"/>
      <c r="G580" s="1893"/>
      <c r="H580" s="1893"/>
      <c r="I580" s="1893"/>
      <c r="J580" s="1894"/>
      <c r="K580" s="1892"/>
      <c r="L580" s="1893"/>
      <c r="M580" s="1893"/>
      <c r="N580" s="1893"/>
      <c r="O580" s="1893"/>
      <c r="P580" s="1894"/>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1127</v>
      </c>
      <c r="BH580" s="3" t="s">
        <v>1128</v>
      </c>
    </row>
    <row r="581" spans="5:96" s="4" customFormat="1" ht="12.75" customHeight="1">
      <c r="E581" s="1650"/>
      <c r="F581" s="1651"/>
      <c r="G581" s="1651"/>
      <c r="H581" s="1651"/>
      <c r="I581" s="1651"/>
      <c r="J581" s="1652"/>
      <c r="K581" s="1666">
        <v>20</v>
      </c>
      <c r="L581" s="1667"/>
      <c r="M581" s="1667"/>
      <c r="N581" s="1667"/>
      <c r="O581" s="1667"/>
      <c r="P581" s="1668"/>
      <c r="Q581" s="1669">
        <f>IF(ISERROR(IF((((E581/$BJ$528)*100)&gt;100),"EXCESSIVE VALUE",(E581/$BJ$528)*100)),0,IF((((E581/$BJ$528)*100)&gt;100),"EXCESSIVE VALUE",(E581/$BJ$528)*100))</f>
        <v>0</v>
      </c>
      <c r="R581" s="1670"/>
      <c r="S581" s="1670"/>
      <c r="T581" s="1670"/>
      <c r="U581" s="1670"/>
      <c r="V581" s="1671"/>
      <c r="W581" s="1672">
        <f>IF(FLOOR(Q581,5)&gt;80,80,FLOOR(Q581,5))</f>
        <v>0</v>
      </c>
      <c r="X581" s="1673"/>
      <c r="Y581" s="1673"/>
      <c r="Z581" s="1673"/>
      <c r="AA581" s="1673"/>
      <c r="AB581" s="1674"/>
      <c r="AC581" s="1672">
        <f t="shared" ref="AC581:AC586" si="4">IFERROR(IF(W581&gt;0,INDEX($BI$507:$BP$521,MATCH(W581,$BH$507:$BH$521,0),MATCH(K581,$BI$506:$BP$506,0)),0),0)</f>
        <v>0</v>
      </c>
      <c r="AD581" s="1673"/>
      <c r="AE581" s="1673"/>
      <c r="AF581" s="1673"/>
      <c r="AG581" s="1673"/>
      <c r="AH581" s="1674"/>
      <c r="AN581" s="281"/>
      <c r="AO581" s="4">
        <v>5</v>
      </c>
      <c r="AP581" s="1666">
        <f t="shared" ref="AP581:AP586" si="5">IF(OR(BE571&gt;=0.1,BE571=0),0,1)</f>
        <v>0</v>
      </c>
      <c r="AQ581" s="1667"/>
      <c r="AR581" s="1667"/>
      <c r="AS581" s="1667"/>
      <c r="AT581" s="1668"/>
      <c r="AX581" s="1751" t="s">
        <v>794</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50">
        <v>75</v>
      </c>
      <c r="F582" s="1651"/>
      <c r="G582" s="1651"/>
      <c r="H582" s="1651"/>
      <c r="I582" s="1651"/>
      <c r="J582" s="1652"/>
      <c r="K582" s="1666">
        <v>30</v>
      </c>
      <c r="L582" s="1667"/>
      <c r="M582" s="1667"/>
      <c r="N582" s="1667"/>
      <c r="O582" s="1667"/>
      <c r="P582" s="1668"/>
      <c r="Q582" s="1669">
        <f>IF(ISERROR(IF((((E582/$BJ$528)*100)&gt;100),"EXCESSIVE VALUE",(E582/$BJ$528)*100)),0,IF((((E582/$BJ$528)*100)&gt;100),"EXCESSIVE VALUE",(E582/$BJ$528)*100))</f>
        <v>100</v>
      </c>
      <c r="R582" s="1670"/>
      <c r="S582" s="1670"/>
      <c r="T582" s="1670"/>
      <c r="U582" s="1670"/>
      <c r="V582" s="1671"/>
      <c r="W582" s="1672">
        <f>IF(FLOOR(Q582,5)&gt;80,80,FLOOR(Q582,5))</f>
        <v>80</v>
      </c>
      <c r="X582" s="1673"/>
      <c r="Y582" s="1673"/>
      <c r="Z582" s="1673"/>
      <c r="AA582" s="1673"/>
      <c r="AB582" s="1674"/>
      <c r="AC582" s="1672">
        <f t="shared" si="4"/>
        <v>50</v>
      </c>
      <c r="AD582" s="1673"/>
      <c r="AE582" s="1673"/>
      <c r="AF582" s="1673"/>
      <c r="AG582" s="1673"/>
      <c r="AH582" s="1674"/>
      <c r="AN582" s="281"/>
      <c r="AO582" s="4">
        <v>4</v>
      </c>
      <c r="AP582" s="1666">
        <f t="shared" si="5"/>
        <v>0</v>
      </c>
      <c r="AQ582" s="1667"/>
      <c r="AR582" s="1667"/>
      <c r="AS582" s="1667"/>
      <c r="AT582" s="1668"/>
      <c r="AX582" s="1774" t="s">
        <v>616</v>
      </c>
      <c r="AY582" s="1775"/>
      <c r="AZ582" s="1075" t="s">
        <v>616</v>
      </c>
      <c r="BA582" s="1076"/>
      <c r="BB582" s="1774" t="s">
        <v>265</v>
      </c>
      <c r="BC582" s="1775"/>
      <c r="BD582" s="1764" t="s">
        <v>265</v>
      </c>
      <c r="BE582" s="1766"/>
      <c r="BF582" s="1774" t="s">
        <v>264</v>
      </c>
      <c r="BG582" s="1775"/>
      <c r="BH582" s="1764" t="s">
        <v>264</v>
      </c>
      <c r="BI582" s="1766"/>
      <c r="BJ582" s="1774" t="s">
        <v>263</v>
      </c>
      <c r="BK582" s="1775"/>
      <c r="BL582" s="1764" t="s">
        <v>263</v>
      </c>
      <c r="BM582" s="1766"/>
      <c r="BN582" s="1774" t="s">
        <v>615</v>
      </c>
      <c r="BO582" s="1775"/>
      <c r="BP582" s="1764" t="s">
        <v>615</v>
      </c>
      <c r="BQ582" s="1766"/>
    </row>
    <row r="583" spans="5:96" s="4" customFormat="1" ht="12.75" customHeight="1">
      <c r="E583" s="1650"/>
      <c r="F583" s="1651"/>
      <c r="G583" s="1651"/>
      <c r="H583" s="1651"/>
      <c r="I583" s="1651"/>
      <c r="J583" s="1652"/>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50"/>
      <c r="F584" s="1651"/>
      <c r="G584" s="1651"/>
      <c r="H584" s="1651"/>
      <c r="I584" s="1651"/>
      <c r="J584" s="1652"/>
      <c r="K584" s="1666">
        <v>40</v>
      </c>
      <c r="L584" s="1667"/>
      <c r="M584" s="1667"/>
      <c r="N584" s="1667"/>
      <c r="O584" s="1667"/>
      <c r="P584" s="1668"/>
      <c r="Q584" s="1669">
        <f t="shared" si="6"/>
        <v>0</v>
      </c>
      <c r="R584" s="1670"/>
      <c r="S584" s="1670"/>
      <c r="T584" s="1670"/>
      <c r="U584" s="1670"/>
      <c r="V584" s="1671"/>
      <c r="W584" s="1672">
        <f t="shared" si="7"/>
        <v>0</v>
      </c>
      <c r="X584" s="1673"/>
      <c r="Y584" s="1673"/>
      <c r="Z584" s="1673"/>
      <c r="AA584" s="1673"/>
      <c r="AB584" s="1674"/>
      <c r="AC584" s="1672">
        <f t="shared" si="4"/>
        <v>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0</v>
      </c>
      <c r="BI584" s="1766"/>
      <c r="BJ584" s="1772"/>
      <c r="BK584" s="1773"/>
      <c r="BL584" s="1764">
        <f>IF(AND(T610&gt;0,AP534&gt;0),1,0)</f>
        <v>0</v>
      </c>
      <c r="BM584" s="1766"/>
      <c r="BN584" s="1772"/>
      <c r="BO584" s="1773"/>
      <c r="BP584" s="1764">
        <f>IF(AND(T610&gt;0,AP534&gt;0),1,0)</f>
        <v>0</v>
      </c>
      <c r="BQ584" s="1766"/>
    </row>
    <row r="585" spans="5:96" s="4" customFormat="1" ht="12.75" customHeight="1">
      <c r="E585" s="1650"/>
      <c r="F585" s="1651"/>
      <c r="G585" s="1651"/>
      <c r="H585" s="1651"/>
      <c r="I585" s="1651"/>
      <c r="J585" s="1652"/>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0</v>
      </c>
      <c r="BG585" s="1775"/>
      <c r="BH585" s="1751"/>
      <c r="BI585" s="1752"/>
      <c r="BJ585" s="1772"/>
      <c r="BK585" s="1773"/>
      <c r="BL585" s="1764">
        <f>IF(AND(T611&gt;0,AP535&gt;0),1,0)</f>
        <v>0</v>
      </c>
      <c r="BM585" s="1766"/>
      <c r="BN585" s="1772"/>
      <c r="BO585" s="1773"/>
      <c r="BP585" s="1764">
        <f>IF(AND(T611&gt;0,AP535&gt;0),1,0)</f>
        <v>0</v>
      </c>
      <c r="BQ585" s="1766"/>
    </row>
    <row r="586" spans="5:96" s="4" customFormat="1" ht="12.75" customHeight="1">
      <c r="E586" s="1650"/>
      <c r="F586" s="1651"/>
      <c r="G586" s="1651"/>
      <c r="H586" s="1651"/>
      <c r="I586" s="1651"/>
      <c r="J586" s="1652"/>
      <c r="K586" s="1666">
        <f>IF(OR(Application!D211="Rural",Application!D211="Rural apportionment (Section 514)",Application!D211="Rural apportionment (Section 515)",Application!D211="Rural apportionment (CDBG-DR)",Application!D211="Rural apportionment (HOME)",Application!D211="Rural (Native American apportionment)"),"",50)</f>
        <v>50</v>
      </c>
      <c r="L586" s="1667"/>
      <c r="M586" s="1667"/>
      <c r="N586" s="1667"/>
      <c r="O586" s="1667"/>
      <c r="P586" s="1668"/>
      <c r="Q586" s="1669">
        <f t="shared" si="6"/>
        <v>0</v>
      </c>
      <c r="R586" s="1670"/>
      <c r="S586" s="1670"/>
      <c r="T586" s="1670"/>
      <c r="U586" s="1670"/>
      <c r="V586" s="1671"/>
      <c r="W586" s="1672">
        <f>IF(FLOOR(Q586,5)&gt;40,40,FLOOR(Q586,5))</f>
        <v>0</v>
      </c>
      <c r="X586" s="1673"/>
      <c r="Y586" s="1673"/>
      <c r="Z586" s="1673"/>
      <c r="AA586" s="1673"/>
      <c r="AB586" s="1674"/>
      <c r="AC586" s="1672">
        <f t="shared" si="4"/>
        <v>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0</v>
      </c>
      <c r="BK586" s="1775"/>
      <c r="BL586" s="1772"/>
      <c r="BM586" s="1773"/>
      <c r="BN586" s="1772"/>
      <c r="BO586" s="1773"/>
      <c r="BP586" s="1764">
        <f>IF(AND(T612&gt;0,AP536&gt;0),1,0)</f>
        <v>1</v>
      </c>
      <c r="BQ586" s="1766"/>
    </row>
    <row r="587" spans="5:96" s="4" customFormat="1" ht="12.75" customHeight="1">
      <c r="E587" s="1743"/>
      <c r="F587" s="1744"/>
      <c r="G587" s="1744"/>
      <c r="H587" s="1744"/>
      <c r="I587" s="1744"/>
      <c r="J587" s="1745"/>
      <c r="K587" s="1739" t="str">
        <f>IF(OR(Application!D211="Rural",Application!D211="Rural apportionment (Section 514)",Application!D211="Rural apportionment (Section 515)",Application!D211="Rural apportionment (HOME)",Application!D211="Rural apportionment (CDBG-DR)",Application!D211="Rural (Native American apportionment)"),50,"")</f>
        <v/>
      </c>
      <c r="L587" s="1740"/>
      <c r="M587" s="1741" t="s">
        <v>2311</v>
      </c>
      <c r="N587" s="1741"/>
      <c r="O587" s="1741"/>
      <c r="P587" s="1742"/>
      <c r="Q587" s="1669">
        <f t="shared" si="6"/>
        <v>0</v>
      </c>
      <c r="R587" s="1670"/>
      <c r="S587" s="1670"/>
      <c r="T587" s="1670"/>
      <c r="U587" s="1670"/>
      <c r="V587" s="1671"/>
      <c r="W587" s="1672">
        <f>IF(FLOOR(Q587,5)&gt;50,50,FLOOR(Q587,5))</f>
        <v>0</v>
      </c>
      <c r="X587" s="1673"/>
      <c r="Y587" s="1673"/>
      <c r="Z587" s="1673"/>
      <c r="AA587" s="1673"/>
      <c r="AB587" s="1674"/>
      <c r="AC587" s="1672">
        <f>IFERROR(IF(W587&gt;0,INDEX($AT$507:$BA$521,MATCH(W587,$AS$507:$AS$521,0),MATCH(K587,$AT$506:$BA$506,0)),0),0)</f>
        <v>0</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1</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apportionment (CDBG-DR)",Application!D211="Rural (Native American apportionment)"),55,"")</f>
        <v/>
      </c>
      <c r="L588" s="1740"/>
      <c r="M588" s="1741" t="s">
        <v>2311</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0</v>
      </c>
      <c r="BI588" s="1766"/>
      <c r="BJ588" s="1774">
        <f>SUM(BJ583:BK587)</f>
        <v>0</v>
      </c>
      <c r="BK588" s="1775"/>
      <c r="BL588" s="1764">
        <f>SUM(BL583:BM587)</f>
        <v>0</v>
      </c>
      <c r="BM588" s="1766"/>
      <c r="BN588" s="1774">
        <f>SUM(BN583:BO587)</f>
        <v>1</v>
      </c>
      <c r="BO588" s="1775"/>
      <c r="BP588" s="1764">
        <f>SUM(BP583:BQ587)</f>
        <v>1</v>
      </c>
      <c r="BQ588" s="1766"/>
    </row>
    <row r="589" spans="5:96" s="4" customFormat="1" ht="12.75" customHeight="1">
      <c r="E589" s="1650"/>
      <c r="F589" s="1651"/>
      <c r="G589" s="1651"/>
      <c r="H589" s="1651"/>
      <c r="I589" s="1651"/>
      <c r="J589" s="1652"/>
      <c r="K589" s="1666" t="s">
        <v>2128</v>
      </c>
      <c r="L589" s="1667"/>
      <c r="M589" s="1667"/>
      <c r="N589" s="1667"/>
      <c r="O589" s="1667"/>
      <c r="P589" s="1668"/>
      <c r="Q589" s="1669">
        <f t="shared" si="6"/>
        <v>0</v>
      </c>
      <c r="R589" s="1670"/>
      <c r="S589" s="1670"/>
      <c r="T589" s="1670"/>
      <c r="U589" s="1670"/>
      <c r="V589" s="1671"/>
      <c r="W589" s="1672">
        <f t="shared" si="7"/>
        <v>0</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1</v>
      </c>
      <c r="BO589" s="1770"/>
      <c r="BP589" s="1770"/>
      <c r="BQ589" s="1771"/>
    </row>
    <row r="590" spans="5:96" s="4" customFormat="1" ht="12.75" customHeight="1">
      <c r="E590" s="1650"/>
      <c r="F590" s="1651"/>
      <c r="G590" s="1651"/>
      <c r="H590" s="1651"/>
      <c r="I590" s="1651"/>
      <c r="J590" s="1652"/>
      <c r="K590" s="1666" t="s">
        <v>2129</v>
      </c>
      <c r="L590" s="1667"/>
      <c r="M590" s="1667"/>
      <c r="N590" s="1667"/>
      <c r="O590" s="1667"/>
      <c r="P590" s="1668"/>
      <c r="Q590" s="1669">
        <f>IF(ISERROR(IF((((E590/$BJ$528)*100)&gt;100),"EXCESSIVE VALUE",(E590/$BJ$528)*100)),0,IF((((E590/$BJ$528)*100)&gt;100),"EXCESSIVE VALUE",(E590/$BJ$528)*100))</f>
        <v>0</v>
      </c>
      <c r="R590" s="1670"/>
      <c r="S590" s="1670"/>
      <c r="T590" s="1670"/>
      <c r="U590" s="1670"/>
      <c r="V590" s="1671"/>
      <c r="W590" s="1672">
        <f>IF(FLOOR(Q590,5)&gt;80,80,FLOOR(Q590,5))</f>
        <v>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610</v>
      </c>
      <c r="BJ590" s="1769">
        <f>AX589+BB589+BF589+BJ589+BN589</f>
        <v>1</v>
      </c>
      <c r="BK590" s="1770"/>
      <c r="BL590" s="1770"/>
      <c r="BM590" s="1771"/>
      <c r="BN590"/>
      <c r="BO590"/>
      <c r="BP590"/>
      <c r="BQ590"/>
    </row>
    <row r="591" spans="5:96" s="4" customFormat="1" ht="12.75" customHeight="1">
      <c r="E591" s="1650"/>
      <c r="F591" s="1651"/>
      <c r="G591" s="1651"/>
      <c r="H591" s="1651"/>
      <c r="I591" s="1651"/>
      <c r="J591" s="1652"/>
      <c r="K591" s="1666" t="s">
        <v>2130</v>
      </c>
      <c r="L591" s="1667"/>
      <c r="M591" s="1667"/>
      <c r="N591" s="1667"/>
      <c r="O591" s="1667"/>
      <c r="P591" s="1668"/>
      <c r="Q591" s="1669">
        <f>IF(ISERROR(IF((((E591/$BJ$528)*100)&gt;100),"EXCESSIVE VALUE",(E591/$BJ$528)*100)),0,IF((((E591/$BJ$528)*100)&gt;100),"EXCESSIVE VALUE",(E591/$BJ$528)*100))</f>
        <v>0</v>
      </c>
      <c r="R591" s="1670"/>
      <c r="S591" s="1670"/>
      <c r="T591" s="1670"/>
      <c r="U591" s="1670"/>
      <c r="V591" s="1671"/>
      <c r="W591" s="1672">
        <f>IF(FLOOR(Q591,5)&gt;80,80,FLOOR(Q591,5))</f>
        <v>0</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609</v>
      </c>
      <c r="BK591"/>
      <c r="BL591"/>
      <c r="BM591"/>
      <c r="BN591"/>
      <c r="BO591"/>
      <c r="BP591"/>
      <c r="BQ591"/>
    </row>
    <row r="592" spans="5:96" s="4" customFormat="1" ht="12.75" customHeight="1">
      <c r="E592" s="1718">
        <f>SUM(E581:J591)</f>
        <v>75</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605</v>
      </c>
      <c r="AC592" s="1851">
        <f>IF(SUM(AC581:AH591)&gt;0,SUM(AC581:AH591),0)</f>
        <v>50</v>
      </c>
      <c r="AD592" s="1852"/>
      <c r="AE592" s="1852"/>
      <c r="AF592" s="1852"/>
      <c r="AG592" s="1852"/>
      <c r="AH592" s="18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5" t="s">
        <v>103</v>
      </c>
      <c r="AH596" s="1695"/>
      <c r="AI596" s="1695"/>
      <c r="AJ596" s="1695"/>
      <c r="AK596" s="5"/>
      <c r="AL596" s="5"/>
      <c r="AM596" s="5"/>
      <c r="AN596" s="281"/>
    </row>
    <row r="597" spans="1:64" s="4" customFormat="1" ht="12.75" customHeight="1">
      <c r="B597" s="1878" t="s">
        <v>2118</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2" t="s">
        <v>795</v>
      </c>
      <c r="K604" s="1813"/>
      <c r="L604" s="1813"/>
      <c r="M604" s="1813"/>
      <c r="N604" s="1814"/>
      <c r="O604" s="1287" t="s">
        <v>1505</v>
      </c>
      <c r="P604" s="1288"/>
      <c r="Q604" s="1288"/>
      <c r="R604" s="1288"/>
      <c r="S604" s="1289"/>
      <c r="T604" s="1287" t="s">
        <v>1768</v>
      </c>
      <c r="U604" s="1288"/>
      <c r="V604" s="1288"/>
      <c r="W604" s="1288"/>
      <c r="X604" s="1289"/>
      <c r="Y604" s="1287" t="s">
        <v>1506</v>
      </c>
      <c r="Z604" s="1288"/>
      <c r="AA604" s="1288"/>
      <c r="AB604" s="1288"/>
      <c r="AC604" s="1289"/>
      <c r="AF604"/>
      <c r="AG604"/>
      <c r="AH604"/>
      <c r="AI604"/>
      <c r="AJ604"/>
    </row>
    <row r="605" spans="1:64">
      <c r="D605"/>
      <c r="E605"/>
      <c r="F605"/>
      <c r="G605"/>
      <c r="H605"/>
      <c r="I605"/>
      <c r="J605" s="1815"/>
      <c r="K605" s="1816"/>
      <c r="L605" s="1816"/>
      <c r="M605" s="1816"/>
      <c r="N605" s="1817"/>
      <c r="O605" s="1290"/>
      <c r="P605" s="1291"/>
      <c r="Q605" s="1291"/>
      <c r="R605" s="1291"/>
      <c r="S605" s="1292"/>
      <c r="T605" s="1290"/>
      <c r="U605" s="1291"/>
      <c r="V605" s="1291"/>
      <c r="W605" s="1291"/>
      <c r="X605" s="1292"/>
      <c r="Y605" s="1290"/>
      <c r="Z605" s="1291"/>
      <c r="AA605" s="1291"/>
      <c r="AB605" s="1291"/>
      <c r="AC605" s="1292"/>
      <c r="AF605"/>
      <c r="AG605"/>
      <c r="AH605"/>
      <c r="AI605"/>
      <c r="AJ605"/>
      <c r="AO605" s="38" t="s">
        <v>2227</v>
      </c>
      <c r="AR605" s="21" t="b">
        <f>$Y$614&gt;=10%</f>
        <v>1</v>
      </c>
    </row>
    <row r="606" spans="1:64">
      <c r="I606"/>
      <c r="J606" s="1815"/>
      <c r="K606" s="1816"/>
      <c r="L606" s="1816"/>
      <c r="M606" s="1816"/>
      <c r="N606" s="1817"/>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2228</v>
      </c>
      <c r="AR606" s="955">
        <f>ROUNDUP(($O$614*10%),0)</f>
        <v>8</v>
      </c>
    </row>
    <row r="607" spans="1:64">
      <c r="D607"/>
      <c r="E607"/>
      <c r="F607"/>
      <c r="G607"/>
      <c r="H607"/>
      <c r="I607"/>
      <c r="J607" s="1815"/>
      <c r="K607" s="1816"/>
      <c r="L607" s="1816"/>
      <c r="M607" s="1816"/>
      <c r="N607" s="1817"/>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2229</v>
      </c>
      <c r="AR607" s="21" t="s">
        <v>2230</v>
      </c>
    </row>
    <row r="608" spans="1:64">
      <c r="D608"/>
      <c r="E608"/>
      <c r="F608"/>
      <c r="G608"/>
      <c r="H608"/>
      <c r="I608"/>
      <c r="J608" s="1727" t="s">
        <v>225</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265</v>
      </c>
      <c r="K610" s="1728"/>
      <c r="L610" s="1728"/>
      <c r="M610" s="1728"/>
      <c r="N610" s="1729"/>
      <c r="O610" s="1666">
        <f>Application!CC626</f>
        <v>0</v>
      </c>
      <c r="P610" s="1667"/>
      <c r="Q610" s="1667"/>
      <c r="R610" s="1667"/>
      <c r="S610" s="1668"/>
      <c r="T610" s="1666">
        <f>Application!DH627</f>
        <v>0</v>
      </c>
      <c r="U610" s="1667"/>
      <c r="V610" s="1667"/>
      <c r="W610" s="1667"/>
      <c r="X610" s="1668"/>
      <c r="Y610" s="1730">
        <f t="shared" si="8"/>
        <v>0</v>
      </c>
      <c r="Z610" s="1731"/>
      <c r="AA610" s="1731"/>
      <c r="AB610" s="1731"/>
      <c r="AC610" s="1732"/>
      <c r="AD610"/>
      <c r="AF610"/>
      <c r="AG610"/>
      <c r="AH610"/>
      <c r="AI610"/>
      <c r="AJ610"/>
      <c r="AO610" s="955">
        <f t="shared" si="9"/>
        <v>0</v>
      </c>
      <c r="AP610" s="206"/>
      <c r="AR610" s="956" t="b">
        <f>OR(SUM($T$608:T610)&gt;=$AR$606,T610&gt;=AO610)</f>
        <v>1</v>
      </c>
    </row>
    <row r="611" spans="1:60">
      <c r="D611"/>
      <c r="E611"/>
      <c r="F611"/>
      <c r="G611"/>
      <c r="H611"/>
      <c r="I611"/>
      <c r="J611" s="1727" t="s">
        <v>264</v>
      </c>
      <c r="K611" s="1728"/>
      <c r="L611" s="1728"/>
      <c r="M611" s="1728"/>
      <c r="N611" s="1729"/>
      <c r="O611" s="1666">
        <f>Application!BX626</f>
        <v>0</v>
      </c>
      <c r="P611" s="1667"/>
      <c r="Q611" s="1667"/>
      <c r="R611" s="1667"/>
      <c r="S611" s="1668"/>
      <c r="T611" s="1666">
        <f>Application!DC627</f>
        <v>0</v>
      </c>
      <c r="U611" s="1667"/>
      <c r="V611" s="1667"/>
      <c r="W611" s="1667"/>
      <c r="X611" s="1668"/>
      <c r="Y611" s="1730">
        <f t="shared" si="8"/>
        <v>0</v>
      </c>
      <c r="Z611" s="1731"/>
      <c r="AA611" s="1731"/>
      <c r="AB611" s="1731"/>
      <c r="AC611" s="1732"/>
      <c r="AD611"/>
      <c r="AF611"/>
      <c r="AG611"/>
      <c r="AH611"/>
      <c r="AI611"/>
      <c r="AJ611"/>
      <c r="AO611" s="955">
        <f t="shared" si="9"/>
        <v>0</v>
      </c>
      <c r="AP611" s="206"/>
      <c r="AR611" s="956" t="b">
        <f>OR(SUM($T$608:T611)&gt;=$AR$606,T611&gt;=AO611)</f>
        <v>1</v>
      </c>
    </row>
    <row r="612" spans="1:60">
      <c r="D612"/>
      <c r="E612"/>
      <c r="F612"/>
      <c r="G612"/>
      <c r="H612"/>
      <c r="I612"/>
      <c r="J612" s="1727" t="s">
        <v>263</v>
      </c>
      <c r="K612" s="1728"/>
      <c r="L612" s="1728"/>
      <c r="M612" s="1728"/>
      <c r="N612" s="1729"/>
      <c r="O612" s="1666">
        <f>Application!BS626</f>
        <v>5</v>
      </c>
      <c r="P612" s="1667"/>
      <c r="Q612" s="1667"/>
      <c r="R612" s="1667"/>
      <c r="S612" s="1668"/>
      <c r="T612" s="1666">
        <f>Application!CX627</f>
        <v>5</v>
      </c>
      <c r="U612" s="1667"/>
      <c r="V612" s="1667"/>
      <c r="W612" s="1667"/>
      <c r="X612" s="1668"/>
      <c r="Y612" s="1730">
        <f t="shared" si="8"/>
        <v>1</v>
      </c>
      <c r="Z612" s="1731"/>
      <c r="AA612" s="1731"/>
      <c r="AB612" s="1731"/>
      <c r="AC612" s="1732"/>
      <c r="AD612"/>
      <c r="AF612"/>
      <c r="AG612"/>
      <c r="AH612"/>
      <c r="AI612"/>
      <c r="AJ612"/>
      <c r="AO612" s="955">
        <f t="shared" si="9"/>
        <v>1</v>
      </c>
      <c r="AP612" s="206"/>
      <c r="AR612" s="956" t="b">
        <f>OR(SUM($T$608:T612)&gt;=$AR$606,T612&gt;=AO612)</f>
        <v>1</v>
      </c>
    </row>
    <row r="613" spans="1:60">
      <c r="D613"/>
      <c r="E613"/>
      <c r="F613"/>
      <c r="G613"/>
      <c r="H613"/>
      <c r="I613"/>
      <c r="J613" s="1727" t="s">
        <v>615</v>
      </c>
      <c r="K613" s="1728"/>
      <c r="L613" s="1728"/>
      <c r="M613" s="1728"/>
      <c r="N613" s="1729"/>
      <c r="O613" s="1666">
        <f>Application!BN626</f>
        <v>70</v>
      </c>
      <c r="P613" s="1667"/>
      <c r="Q613" s="1667"/>
      <c r="R613" s="1667"/>
      <c r="S613" s="1668"/>
      <c r="T613" s="1666">
        <f>Application!CS627</f>
        <v>70</v>
      </c>
      <c r="U613" s="1667"/>
      <c r="V613" s="1667"/>
      <c r="W613" s="1667"/>
      <c r="X613" s="1668"/>
      <c r="Y613" s="1730">
        <f>IF(T613&gt;0,T613/O613,0)</f>
        <v>1</v>
      </c>
      <c r="Z613" s="1731"/>
      <c r="AA613" s="1731"/>
      <c r="AB613" s="1731"/>
      <c r="AC613" s="1732"/>
      <c r="AD613"/>
      <c r="AF613"/>
      <c r="AG613"/>
      <c r="AH613"/>
      <c r="AI613"/>
      <c r="AJ613"/>
      <c r="AO613" s="955">
        <f t="shared" si="9"/>
        <v>7</v>
      </c>
      <c r="AP613" s="206"/>
      <c r="AR613" s="956" t="b">
        <f>OR(SUM($T$608:T613)&gt;=$AR$606,T613&gt;=AO613)</f>
        <v>1</v>
      </c>
    </row>
    <row r="614" spans="1:60">
      <c r="D614"/>
      <c r="E614"/>
      <c r="F614"/>
      <c r="G614"/>
      <c r="H614"/>
      <c r="I614"/>
      <c r="J614" s="1566" t="s">
        <v>876</v>
      </c>
      <c r="K614" s="1567"/>
      <c r="L614" s="1567"/>
      <c r="M614" s="1567"/>
      <c r="N614" s="1568"/>
      <c r="O614" s="1819">
        <f>SUM(O608:S613)</f>
        <v>75</v>
      </c>
      <c r="P614" s="1820"/>
      <c r="Q614" s="1820"/>
      <c r="R614" s="1820"/>
      <c r="S614" s="1821"/>
      <c r="T614" s="1819">
        <f>SUM(T608:X613)</f>
        <v>75</v>
      </c>
      <c r="U614" s="1820"/>
      <c r="V614" s="1820"/>
      <c r="W614" s="1820"/>
      <c r="X614" s="1821"/>
      <c r="Y614" s="1809">
        <f>IF(T614&gt;0,T614/O614,0)</f>
        <v>1</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6" t="s">
        <v>1509</v>
      </c>
      <c r="B617" s="1107"/>
      <c r="C617" s="1107"/>
      <c r="D617" s="1107"/>
      <c r="E617" s="1107"/>
      <c r="F617" s="1107"/>
      <c r="G617" s="1107"/>
      <c r="H617" s="1107"/>
      <c r="I617" s="1107"/>
      <c r="J617" s="1107"/>
      <c r="K617" s="1107"/>
      <c r="L617" s="1107"/>
      <c r="M617" s="1107"/>
      <c r="N617" s="1107"/>
      <c r="O617" s="1107"/>
      <c r="P617" s="1107"/>
      <c r="Q617" s="1107"/>
      <c r="R617" s="1107"/>
      <c r="S617" s="1107"/>
      <c r="T617" s="1107"/>
      <c r="U617" s="1107"/>
      <c r="V617" s="1107"/>
      <c r="W617" s="1107"/>
      <c r="X617" s="1107"/>
      <c r="Y617" s="1107"/>
      <c r="Z617" s="1107"/>
      <c r="AA617" s="1107"/>
      <c r="AB617" s="1107"/>
      <c r="AC617" s="1107"/>
      <c r="AD617" s="1107"/>
      <c r="AE617" s="1107"/>
      <c r="AF617" s="1107"/>
      <c r="AG617" s="1107"/>
      <c r="AH617" s="1107"/>
      <c r="AI617" s="1109"/>
      <c r="AJ617" s="1839">
        <f>IF(AND(AR605,AR608,AR609,AR610,AR611,AR612,AR613),2,0)</f>
        <v>2</v>
      </c>
      <c r="AK617" s="184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069">
        <f>IF($E$592=Application!G730,$AC$592+$AJ$617,0)</f>
        <v>52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9" t="s">
        <v>1510</v>
      </c>
      <c r="C623" s="1649"/>
      <c r="D623" s="1649"/>
      <c r="E623" s="1649"/>
      <c r="F623" s="1649"/>
      <c r="G623" s="1649"/>
      <c r="H623" s="1649"/>
      <c r="I623" s="1649"/>
      <c r="J623" s="1649"/>
      <c r="K623" s="1649"/>
      <c r="L623" s="1649"/>
      <c r="M623" s="1649"/>
      <c r="N623" s="1649"/>
      <c r="O623" s="1649"/>
      <c r="P623" s="1649"/>
      <c r="Q623" s="1649"/>
      <c r="R623" s="1649"/>
      <c r="S623" s="1649"/>
      <c r="T623" s="1649"/>
      <c r="U623" s="1649"/>
      <c r="V623" s="1649"/>
      <c r="W623" s="1649"/>
      <c r="X623" s="1649"/>
      <c r="Y623" s="1649"/>
      <c r="Z623" s="1649"/>
      <c r="AA623" s="1649"/>
      <c r="AB623" s="1649"/>
      <c r="AC623" s="1649"/>
      <c r="AD623" s="1649"/>
      <c r="AE623" s="1649"/>
      <c r="AF623" s="1649"/>
      <c r="AG623" s="1649"/>
      <c r="AH623" s="1649"/>
      <c r="AI623" s="1649"/>
      <c r="AJ623" s="1649"/>
      <c r="AK623" s="4"/>
      <c r="AL623" s="4"/>
      <c r="AM623" s="4"/>
    </row>
    <row r="624" spans="1:60">
      <c r="A624" s="4"/>
      <c r="B624" s="1649"/>
      <c r="C624" s="1649"/>
      <c r="D624" s="1649"/>
      <c r="E624" s="1649"/>
      <c r="F624" s="1649"/>
      <c r="G624" s="1649"/>
      <c r="H624" s="1649"/>
      <c r="I624" s="1649"/>
      <c r="J624" s="1649"/>
      <c r="K624" s="1649"/>
      <c r="L624" s="1649"/>
      <c r="M624" s="1649"/>
      <c r="N624" s="1649"/>
      <c r="O624" s="1649"/>
      <c r="P624" s="1649"/>
      <c r="Q624" s="1649"/>
      <c r="R624" s="1649"/>
      <c r="S624" s="1649"/>
      <c r="T624" s="1649"/>
      <c r="U624" s="1649"/>
      <c r="V624" s="1649"/>
      <c r="W624" s="1649"/>
      <c r="X624" s="1649"/>
      <c r="Y624" s="1649"/>
      <c r="Z624" s="1649"/>
      <c r="AA624" s="1649"/>
      <c r="AB624" s="1649"/>
      <c r="AC624" s="1649"/>
      <c r="AD624" s="1649"/>
      <c r="AE624" s="1649"/>
      <c r="AF624" s="1649"/>
      <c r="AG624" s="1649"/>
      <c r="AH624" s="1649"/>
      <c r="AI624" s="1649"/>
      <c r="AJ624" s="1649"/>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53" t="s">
        <v>2220</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0" t="s">
        <v>938</v>
      </c>
      <c r="AH627" s="1010"/>
      <c r="AI627" s="1010"/>
      <c r="AJ627" s="1010"/>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65"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9" t="s">
        <v>2225</v>
      </c>
      <c r="C631" s="1649"/>
      <c r="D631" s="1649"/>
      <c r="E631" s="1649"/>
      <c r="F631" s="1649"/>
      <c r="G631" s="1649"/>
      <c r="H631" s="1649"/>
      <c r="I631" s="1649"/>
      <c r="J631" s="1649"/>
      <c r="K631" s="1649"/>
      <c r="L631" s="1649"/>
      <c r="M631" s="1649"/>
      <c r="N631" s="1649"/>
      <c r="O631" s="1649"/>
      <c r="P631" s="1649"/>
      <c r="Q631" s="1649"/>
      <c r="R631" s="1649"/>
      <c r="S631" s="1649"/>
      <c r="T631" s="1649"/>
      <c r="U631" s="1649"/>
      <c r="V631" s="1649"/>
      <c r="W631" s="1649"/>
      <c r="X631" s="1649"/>
      <c r="Y631" s="1649"/>
      <c r="Z631" s="1649"/>
      <c r="AA631" s="1649"/>
      <c r="AB631" s="1649"/>
      <c r="AC631" s="1649"/>
      <c r="AD631" s="1649"/>
      <c r="AE631" s="1649"/>
      <c r="AF631" s="1649"/>
      <c r="AG631" s="1649"/>
      <c r="AH631" s="1649"/>
      <c r="AI631" s="175"/>
      <c r="AJ631" s="4"/>
      <c r="AK631" s="4"/>
      <c r="AL631" s="4"/>
      <c r="AM631" s="4"/>
      <c r="AN631" s="79"/>
    </row>
    <row r="632" spans="1:44" ht="13.65" customHeight="1">
      <c r="B632" s="1649"/>
      <c r="C632" s="1649"/>
      <c r="D632" s="1649"/>
      <c r="E632" s="1649"/>
      <c r="F632" s="1649"/>
      <c r="G632" s="1649"/>
      <c r="H632" s="1649"/>
      <c r="I632" s="1649"/>
      <c r="J632" s="1649"/>
      <c r="K632" s="1649"/>
      <c r="L632" s="1649"/>
      <c r="M632" s="1649"/>
      <c r="N632" s="1649"/>
      <c r="O632" s="1649"/>
      <c r="P632" s="1649"/>
      <c r="Q632" s="1649"/>
      <c r="R632" s="1649"/>
      <c r="S632" s="1649"/>
      <c r="T632" s="1649"/>
      <c r="U632" s="1649"/>
      <c r="V632" s="1649"/>
      <c r="W632" s="1649"/>
      <c r="X632" s="1649"/>
      <c r="Y632" s="1649"/>
      <c r="Z632" s="1649"/>
      <c r="AA632" s="1649"/>
      <c r="AB632" s="1649"/>
      <c r="AC632" s="1649"/>
      <c r="AD632" s="1649"/>
      <c r="AE632" s="1649"/>
      <c r="AF632" s="1649"/>
      <c r="AG632" s="1649"/>
      <c r="AH632" s="1649"/>
      <c r="AI632" s="162"/>
      <c r="AJ632" s="4"/>
      <c r="AK632" s="4"/>
      <c r="AL632" s="4"/>
      <c r="AM632" s="4"/>
      <c r="AN632" s="79"/>
      <c r="AR632" s="41"/>
    </row>
    <row r="633" spans="1:44" ht="13.65" customHeight="1">
      <c r="A633" s="4"/>
      <c r="B633" s="1649"/>
      <c r="C633" s="1649"/>
      <c r="D633" s="1649"/>
      <c r="E633" s="1649"/>
      <c r="F633" s="1649"/>
      <c r="G633" s="1649"/>
      <c r="H633" s="1649"/>
      <c r="I633" s="1649"/>
      <c r="J633" s="1649"/>
      <c r="K633" s="1649"/>
      <c r="L633" s="1649"/>
      <c r="M633" s="1649"/>
      <c r="N633" s="1649"/>
      <c r="O633" s="1649"/>
      <c r="P633" s="1649"/>
      <c r="Q633" s="1649"/>
      <c r="R633" s="1649"/>
      <c r="S633" s="1649"/>
      <c r="T633" s="1649"/>
      <c r="U633" s="1649"/>
      <c r="V633" s="1649"/>
      <c r="W633" s="1649"/>
      <c r="X633" s="1649"/>
      <c r="Y633" s="1649"/>
      <c r="Z633" s="1649"/>
      <c r="AA633" s="1649"/>
      <c r="AB633" s="1649"/>
      <c r="AC633" s="1649"/>
      <c r="AD633" s="1649"/>
      <c r="AE633" s="1649"/>
      <c r="AF633" s="1649"/>
      <c r="AG633" s="1649"/>
      <c r="AH633" s="1649"/>
      <c r="AI633" s="162"/>
      <c r="AJ633" s="4"/>
      <c r="AK633" s="4"/>
      <c r="AL633" s="4"/>
      <c r="AM633" s="4"/>
      <c r="AN633" s="79"/>
    </row>
    <row r="634" spans="1:44" ht="13.65" customHeight="1">
      <c r="A634" s="4"/>
      <c r="B634" s="1649"/>
      <c r="C634" s="1649"/>
      <c r="D634" s="1649"/>
      <c r="E634" s="1649"/>
      <c r="F634" s="1649"/>
      <c r="G634" s="1649"/>
      <c r="H634" s="1649"/>
      <c r="I634" s="1649"/>
      <c r="J634" s="1649"/>
      <c r="K634" s="1649"/>
      <c r="L634" s="1649"/>
      <c r="M634" s="1649"/>
      <c r="N634" s="1649"/>
      <c r="O634" s="1649"/>
      <c r="P634" s="1649"/>
      <c r="Q634" s="1649"/>
      <c r="R634" s="1649"/>
      <c r="S634" s="1649"/>
      <c r="T634" s="1649"/>
      <c r="U634" s="1649"/>
      <c r="V634" s="1649"/>
      <c r="W634" s="1649"/>
      <c r="X634" s="1649"/>
      <c r="Y634" s="1649"/>
      <c r="Z634" s="1649"/>
      <c r="AA634" s="1649"/>
      <c r="AB634" s="1649"/>
      <c r="AC634" s="1649"/>
      <c r="AD634" s="1649"/>
      <c r="AE634" s="1649"/>
      <c r="AF634" s="1649"/>
      <c r="AG634" s="1649"/>
      <c r="AH634" s="1649"/>
      <c r="AI634" s="162"/>
      <c r="AJ634" s="4"/>
      <c r="AK634" s="4"/>
      <c r="AL634" s="4"/>
      <c r="AM634" s="4"/>
      <c r="AN634" s="79"/>
    </row>
    <row r="635" spans="1:44" ht="13.65" customHeight="1">
      <c r="A635" s="4"/>
      <c r="B635" s="1649"/>
      <c r="C635" s="1649"/>
      <c r="D635" s="1649"/>
      <c r="E635" s="1649"/>
      <c r="F635" s="1649"/>
      <c r="G635" s="1649"/>
      <c r="H635" s="1649"/>
      <c r="I635" s="1649"/>
      <c r="J635" s="1649"/>
      <c r="K635" s="1649"/>
      <c r="L635" s="1649"/>
      <c r="M635" s="1649"/>
      <c r="N635" s="1649"/>
      <c r="O635" s="1649"/>
      <c r="P635" s="1649"/>
      <c r="Q635" s="1649"/>
      <c r="R635" s="1649"/>
      <c r="S635" s="1649"/>
      <c r="T635" s="1649"/>
      <c r="U635" s="1649"/>
      <c r="V635" s="1649"/>
      <c r="W635" s="1649"/>
      <c r="X635" s="1649"/>
      <c r="Y635" s="1649"/>
      <c r="Z635" s="1649"/>
      <c r="AA635" s="1649"/>
      <c r="AB635" s="1649"/>
      <c r="AC635" s="1649"/>
      <c r="AD635" s="1649"/>
      <c r="AE635" s="1649"/>
      <c r="AF635" s="1649"/>
      <c r="AG635" s="1649"/>
      <c r="AH635" s="1649"/>
      <c r="AI635" s="162"/>
      <c r="AJ635" s="4"/>
      <c r="AK635" s="4"/>
      <c r="AL635" s="4"/>
      <c r="AM635" s="4"/>
      <c r="AN635" s="79"/>
    </row>
    <row r="636" spans="1:44" ht="13.65" customHeight="1">
      <c r="A636" s="4"/>
      <c r="B636" s="1649"/>
      <c r="C636" s="1649"/>
      <c r="D636" s="1649"/>
      <c r="E636" s="1649"/>
      <c r="F636" s="1649"/>
      <c r="G636" s="1649"/>
      <c r="H636" s="1649"/>
      <c r="I636" s="1649"/>
      <c r="J636" s="1649"/>
      <c r="K636" s="1649"/>
      <c r="L636" s="1649"/>
      <c r="M636" s="1649"/>
      <c r="N636" s="1649"/>
      <c r="O636" s="1649"/>
      <c r="P636" s="1649"/>
      <c r="Q636" s="1649"/>
      <c r="R636" s="1649"/>
      <c r="S636" s="1649"/>
      <c r="T636" s="1649"/>
      <c r="U636" s="1649"/>
      <c r="V636" s="1649"/>
      <c r="W636" s="1649"/>
      <c r="X636" s="1649"/>
      <c r="Y636" s="1649"/>
      <c r="Z636" s="1649"/>
      <c r="AA636" s="1649"/>
      <c r="AB636" s="1649"/>
      <c r="AC636" s="1649"/>
      <c r="AD636" s="1649"/>
      <c r="AE636" s="1649"/>
      <c r="AF636" s="1649"/>
      <c r="AG636" s="1649"/>
      <c r="AH636" s="1649"/>
      <c r="AI636" s="162"/>
      <c r="AJ636" s="4"/>
      <c r="AK636" s="4"/>
      <c r="AL636" s="4"/>
      <c r="AM636" s="4"/>
      <c r="AN636" s="79"/>
    </row>
    <row r="637" spans="1:44" ht="13.65" customHeight="1">
      <c r="A637" s="4"/>
      <c r="B637" s="1649"/>
      <c r="C637" s="1649"/>
      <c r="D637" s="1649"/>
      <c r="E637" s="1649"/>
      <c r="F637" s="1649"/>
      <c r="G637" s="1649"/>
      <c r="H637" s="1649"/>
      <c r="I637" s="1649"/>
      <c r="J637" s="1649"/>
      <c r="K637" s="1649"/>
      <c r="L637" s="1649"/>
      <c r="M637" s="1649"/>
      <c r="N637" s="1649"/>
      <c r="O637" s="1649"/>
      <c r="P637" s="1649"/>
      <c r="Q637" s="1649"/>
      <c r="R637" s="1649"/>
      <c r="S637" s="1649"/>
      <c r="T637" s="1649"/>
      <c r="U637" s="1649"/>
      <c r="V637" s="1649"/>
      <c r="W637" s="1649"/>
      <c r="X637" s="1649"/>
      <c r="Y637" s="1649"/>
      <c r="Z637" s="1649"/>
      <c r="AA637" s="1649"/>
      <c r="AB637" s="1649"/>
      <c r="AC637" s="1649"/>
      <c r="AD637" s="1649"/>
      <c r="AE637" s="1649"/>
      <c r="AF637" s="1649"/>
      <c r="AG637" s="1649"/>
      <c r="AH637" s="1649"/>
      <c r="AI637" s="162"/>
      <c r="AJ637" s="4"/>
      <c r="AK637" s="4"/>
      <c r="AL637" s="4"/>
      <c r="AM637" s="4"/>
      <c r="AN637" s="79"/>
    </row>
    <row r="638" spans="1:44">
      <c r="A638" s="4"/>
      <c r="B638" s="1649"/>
      <c r="C638" s="1649"/>
      <c r="D638" s="1649"/>
      <c r="E638" s="1649"/>
      <c r="F638" s="1649"/>
      <c r="G638" s="1649"/>
      <c r="H638" s="1649"/>
      <c r="I638" s="1649"/>
      <c r="J638" s="1649"/>
      <c r="K638" s="1649"/>
      <c r="L638" s="1649"/>
      <c r="M638" s="1649"/>
      <c r="N638" s="1649"/>
      <c r="O638" s="1649"/>
      <c r="P638" s="1649"/>
      <c r="Q638" s="1649"/>
      <c r="R638" s="1649"/>
      <c r="S638" s="1649"/>
      <c r="T638" s="1649"/>
      <c r="U638" s="1649"/>
      <c r="V638" s="1649"/>
      <c r="W638" s="1649"/>
      <c r="X638" s="1649"/>
      <c r="Y638" s="1649"/>
      <c r="Z638" s="1649"/>
      <c r="AA638" s="1649"/>
      <c r="AB638" s="1649"/>
      <c r="AC638" s="1649"/>
      <c r="AD638" s="1649"/>
      <c r="AE638" s="1649"/>
      <c r="AF638" s="1649"/>
      <c r="AG638" s="1649"/>
      <c r="AH638" s="1649"/>
      <c r="AI638" s="162"/>
      <c r="AJ638" s="4"/>
      <c r="AK638" s="4"/>
      <c r="AL638" s="4"/>
      <c r="AM638" s="4"/>
      <c r="AN638" s="79"/>
    </row>
    <row r="639" spans="1:44">
      <c r="A639" s="4"/>
      <c r="B639" s="1649"/>
      <c r="C639" s="1649"/>
      <c r="D639" s="1649"/>
      <c r="E639" s="1649"/>
      <c r="F639" s="1649"/>
      <c r="G639" s="1649"/>
      <c r="H639" s="1649"/>
      <c r="I639" s="1649"/>
      <c r="J639" s="1649"/>
      <c r="K639" s="1649"/>
      <c r="L639" s="1649"/>
      <c r="M639" s="1649"/>
      <c r="N639" s="1649"/>
      <c r="O639" s="1649"/>
      <c r="P639" s="1649"/>
      <c r="Q639" s="1649"/>
      <c r="R639" s="1649"/>
      <c r="S639" s="1649"/>
      <c r="T639" s="1649"/>
      <c r="U639" s="1649"/>
      <c r="V639" s="1649"/>
      <c r="W639" s="1649"/>
      <c r="X639" s="1649"/>
      <c r="Y639" s="1649"/>
      <c r="Z639" s="1649"/>
      <c r="AA639" s="1649"/>
      <c r="AB639" s="1649"/>
      <c r="AC639" s="1649"/>
      <c r="AD639" s="1649"/>
      <c r="AE639" s="1649"/>
      <c r="AF639" s="1649"/>
      <c r="AG639" s="1649"/>
      <c r="AH639" s="1649"/>
      <c r="AI639" s="162"/>
      <c r="AJ639" s="4"/>
      <c r="AK639" s="4"/>
      <c r="AL639" s="4"/>
      <c r="AM639" s="4"/>
      <c r="AN639" s="79"/>
    </row>
    <row r="640" spans="1:44">
      <c r="A640" s="4"/>
      <c r="B640" s="1649"/>
      <c r="C640" s="1649"/>
      <c r="D640" s="1649"/>
      <c r="E640" s="1649"/>
      <c r="F640" s="1649"/>
      <c r="G640" s="1649"/>
      <c r="H640" s="1649"/>
      <c r="I640" s="1649"/>
      <c r="J640" s="1649"/>
      <c r="K640" s="1649"/>
      <c r="L640" s="1649"/>
      <c r="M640" s="1649"/>
      <c r="N640" s="1649"/>
      <c r="O640" s="1649"/>
      <c r="P640" s="1649"/>
      <c r="Q640" s="1649"/>
      <c r="R640" s="1649"/>
      <c r="S640" s="1649"/>
      <c r="T640" s="1649"/>
      <c r="U640" s="1649"/>
      <c r="V640" s="1649"/>
      <c r="W640" s="1649"/>
      <c r="X640" s="1649"/>
      <c r="Y640" s="1649"/>
      <c r="Z640" s="1649"/>
      <c r="AA640" s="1649"/>
      <c r="AB640" s="1649"/>
      <c r="AC640" s="1649"/>
      <c r="AD640" s="1649"/>
      <c r="AE640" s="1649"/>
      <c r="AF640" s="1649"/>
      <c r="AG640" s="1649"/>
      <c r="AH640" s="1649"/>
      <c r="AI640" s="162"/>
      <c r="AJ640" s="4"/>
      <c r="AK640" s="4"/>
      <c r="AL640" s="4"/>
      <c r="AM640" s="4"/>
      <c r="AN640" s="79"/>
    </row>
    <row r="641" spans="1:60">
      <c r="A641" s="4"/>
      <c r="B641" s="1649"/>
      <c r="C641" s="1649"/>
      <c r="D641" s="1649"/>
      <c r="E641" s="1649"/>
      <c r="F641" s="1649"/>
      <c r="G641" s="1649"/>
      <c r="H641" s="1649"/>
      <c r="I641" s="1649"/>
      <c r="J641" s="1649"/>
      <c r="K641" s="1649"/>
      <c r="L641" s="1649"/>
      <c r="M641" s="1649"/>
      <c r="N641" s="1649"/>
      <c r="O641" s="1649"/>
      <c r="P641" s="1649"/>
      <c r="Q641" s="1649"/>
      <c r="R641" s="1649"/>
      <c r="S641" s="1649"/>
      <c r="T641" s="1649"/>
      <c r="U641" s="1649"/>
      <c r="V641" s="1649"/>
      <c r="W641" s="1649"/>
      <c r="X641" s="1649"/>
      <c r="Y641" s="1649"/>
      <c r="Z641" s="1649"/>
      <c r="AA641" s="1649"/>
      <c r="AB641" s="1649"/>
      <c r="AC641" s="1649"/>
      <c r="AD641" s="1649"/>
      <c r="AE641" s="1649"/>
      <c r="AF641" s="1649"/>
      <c r="AG641" s="1649"/>
      <c r="AH641" s="1649"/>
      <c r="AI641" s="162"/>
      <c r="AJ641" s="4"/>
      <c r="AK641" s="4"/>
      <c r="AL641" s="4"/>
      <c r="AM641" s="4"/>
      <c r="AN641" s="79"/>
    </row>
    <row r="642" spans="1:60" s="644" customFormat="1" ht="12.45" customHeight="1">
      <c r="A642" s="4"/>
      <c r="B642" s="1649"/>
      <c r="C642" s="1649"/>
      <c r="D642" s="1649"/>
      <c r="E642" s="1649"/>
      <c r="F642" s="1649"/>
      <c r="G642" s="1649"/>
      <c r="H642" s="1649"/>
      <c r="I642" s="1649"/>
      <c r="J642" s="1649"/>
      <c r="K642" s="1649"/>
      <c r="L642" s="1649"/>
      <c r="M642" s="1649"/>
      <c r="N642" s="1649"/>
      <c r="O642" s="1649"/>
      <c r="P642" s="1649"/>
      <c r="Q642" s="1649"/>
      <c r="R642" s="1649"/>
      <c r="S642" s="1649"/>
      <c r="T642" s="1649"/>
      <c r="U642" s="1649"/>
      <c r="V642" s="1649"/>
      <c r="W642" s="1649"/>
      <c r="X642" s="1649"/>
      <c r="Y642" s="1649"/>
      <c r="Z642" s="1649"/>
      <c r="AA642" s="1649"/>
      <c r="AB642" s="1649"/>
      <c r="AC642" s="1649"/>
      <c r="AD642" s="1649"/>
      <c r="AE642" s="1649"/>
      <c r="AF642" s="1649"/>
      <c r="AG642" s="1649"/>
      <c r="AH642" s="1649"/>
      <c r="AI642" s="162"/>
      <c r="AJ642" s="4"/>
      <c r="AK642" s="4"/>
      <c r="AL642" s="4"/>
      <c r="AM642" s="4"/>
      <c r="AN642" s="678"/>
      <c r="BD642" s="646"/>
      <c r="BE642" s="646"/>
      <c r="BF642" s="646"/>
      <c r="BG642" s="646"/>
      <c r="BH642" s="646"/>
    </row>
    <row r="643" spans="1:60">
      <c r="A643" s="4"/>
      <c r="B643" s="1649"/>
      <c r="C643" s="1649"/>
      <c r="D643" s="1649"/>
      <c r="E643" s="1649"/>
      <c r="F643" s="1649"/>
      <c r="G643" s="1649"/>
      <c r="H643" s="1649"/>
      <c r="I643" s="1649"/>
      <c r="J643" s="1649"/>
      <c r="K643" s="1649"/>
      <c r="L643" s="1649"/>
      <c r="M643" s="1649"/>
      <c r="N643" s="1649"/>
      <c r="O643" s="1649"/>
      <c r="P643" s="1649"/>
      <c r="Q643" s="1649"/>
      <c r="R643" s="1649"/>
      <c r="S643" s="1649"/>
      <c r="T643" s="1649"/>
      <c r="U643" s="1649"/>
      <c r="V643" s="1649"/>
      <c r="W643" s="1649"/>
      <c r="X643" s="1649"/>
      <c r="Y643" s="1649"/>
      <c r="Z643" s="1649"/>
      <c r="AA643" s="1649"/>
      <c r="AB643" s="1649"/>
      <c r="AC643" s="1649"/>
      <c r="AD643" s="1649"/>
      <c r="AE643" s="1649"/>
      <c r="AF643" s="1649"/>
      <c r="AG643" s="1649"/>
      <c r="AH643" s="164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108</v>
      </c>
      <c r="D650" s="1120"/>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124</v>
      </c>
      <c r="D659" s="1120"/>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49" t="s">
        <v>2212</v>
      </c>
      <c r="G673" s="1649"/>
      <c r="H673" s="1649"/>
      <c r="I673" s="1649"/>
      <c r="J673" s="1649"/>
      <c r="K673" s="1649"/>
      <c r="L673" s="1649"/>
      <c r="M673" s="1649"/>
      <c r="N673" s="1649"/>
      <c r="O673" s="1649"/>
      <c r="P673" s="1649"/>
      <c r="Q673" s="1649"/>
      <c r="R673" s="1649"/>
      <c r="S673" s="1649"/>
      <c r="T673" s="1649"/>
      <c r="U673" s="1649"/>
      <c r="V673" s="1649"/>
      <c r="W673" s="1649"/>
      <c r="X673" s="1649"/>
      <c r="Y673" s="1649"/>
      <c r="Z673" s="1649"/>
      <c r="AA673" s="1649"/>
      <c r="AB673" s="1649"/>
      <c r="AC673" s="1649"/>
      <c r="AD673" s="1649"/>
      <c r="AE673" s="19"/>
      <c r="AF673" s="19"/>
      <c r="AG673" s="3" t="s">
        <v>103</v>
      </c>
      <c r="AH673" s="19"/>
      <c r="AI673" s="19"/>
      <c r="AJ673" s="4"/>
      <c r="AK673" s="4"/>
      <c r="AL673" s="4"/>
      <c r="AM673" s="4"/>
      <c r="AN673" s="79"/>
      <c r="AO673" s="21"/>
    </row>
    <row r="674" spans="1:60">
      <c r="A674" s="4"/>
      <c r="B674" s="19"/>
      <c r="C674" s="19"/>
      <c r="D674" s="19"/>
      <c r="E674" s="19"/>
      <c r="F674" s="1649"/>
      <c r="G674" s="1649"/>
      <c r="H674" s="1649"/>
      <c r="I674" s="1649"/>
      <c r="J674" s="1649"/>
      <c r="K674" s="1649"/>
      <c r="L674" s="1649"/>
      <c r="M674" s="1649"/>
      <c r="N674" s="1649"/>
      <c r="O674" s="1649"/>
      <c r="P674" s="1649"/>
      <c r="Q674" s="1649"/>
      <c r="R674" s="1649"/>
      <c r="S674" s="1649"/>
      <c r="T674" s="1649"/>
      <c r="U674" s="1649"/>
      <c r="V674" s="1649"/>
      <c r="W674" s="1649"/>
      <c r="X674" s="1649"/>
      <c r="Y674" s="1649"/>
      <c r="Z674" s="1649"/>
      <c r="AA674" s="1649"/>
      <c r="AB674" s="1649"/>
      <c r="AC674" s="1649"/>
      <c r="AD674" s="1649"/>
      <c r="AE674" s="19"/>
      <c r="AF674" s="19"/>
      <c r="AG674" s="19"/>
      <c r="AH674" s="19"/>
      <c r="AI674" s="19"/>
      <c r="AJ674" s="4"/>
      <c r="AK674" s="4"/>
      <c r="AL674" s="4"/>
      <c r="AM674" s="4"/>
      <c r="AN674" s="79"/>
      <c r="AO674" s="21"/>
    </row>
    <row r="675" spans="1:60" ht="0.75" customHeight="1">
      <c r="A675" s="4"/>
      <c r="B675" s="19"/>
      <c r="C675" s="19"/>
      <c r="D675" s="19"/>
      <c r="E675" s="19"/>
      <c r="F675" s="1649"/>
      <c r="G675" s="1649"/>
      <c r="H675" s="1649"/>
      <c r="I675" s="1649"/>
      <c r="J675" s="1649"/>
      <c r="K675" s="1649"/>
      <c r="L675" s="1649"/>
      <c r="M675" s="1649"/>
      <c r="N675" s="1649"/>
      <c r="O675" s="1649"/>
      <c r="P675" s="1649"/>
      <c r="Q675" s="1649"/>
      <c r="R675" s="1649"/>
      <c r="S675" s="1649"/>
      <c r="T675" s="1649"/>
      <c r="U675" s="1649"/>
      <c r="V675" s="1649"/>
      <c r="W675" s="1649"/>
      <c r="X675" s="1649"/>
      <c r="Y675" s="1649"/>
      <c r="Z675" s="1649"/>
      <c r="AA675" s="1649"/>
      <c r="AB675" s="1649"/>
      <c r="AC675" s="1649"/>
      <c r="AD675" s="164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0" t="s">
        <v>722</v>
      </c>
      <c r="B691" s="1830"/>
      <c r="C691" s="1830"/>
      <c r="D691" s="1830"/>
      <c r="E691" s="1830"/>
      <c r="F691" s="1830"/>
      <c r="G691" s="1830"/>
      <c r="H691" s="1830"/>
      <c r="I691" s="1830"/>
      <c r="J691" s="1830"/>
      <c r="K691" s="1830"/>
      <c r="L691" s="1830"/>
      <c r="M691" s="1830"/>
      <c r="N691" s="1830"/>
      <c r="O691" s="1830"/>
      <c r="P691" s="1830"/>
      <c r="Q691" s="1830"/>
      <c r="R691" s="1830"/>
      <c r="S691" s="1830"/>
      <c r="T691" s="1830"/>
      <c r="U691" s="1830"/>
      <c r="V691" s="1830"/>
      <c r="W691" s="1830"/>
      <c r="X691" s="1830"/>
      <c r="Y691" s="1830"/>
      <c r="Z691" s="1830"/>
      <c r="AA691" s="1830"/>
      <c r="AB691" s="1830"/>
      <c r="AC691" s="1830"/>
      <c r="AD691" s="1830"/>
      <c r="AE691" s="1830"/>
      <c r="AF691" s="1830"/>
      <c r="AG691" s="1830"/>
      <c r="AH691" s="1830"/>
      <c r="AI691" s="1830"/>
      <c r="AJ691" s="1830"/>
      <c r="AK691" s="1830"/>
      <c r="AL691" s="1830"/>
      <c r="AM691" s="1830"/>
      <c r="AO691" s="206"/>
      <c r="AP691" s="206"/>
      <c r="AQ691" s="206"/>
    </row>
    <row r="692" spans="1:43">
      <c r="A692" s="1831"/>
      <c r="B692" s="1831"/>
      <c r="C692" s="1831"/>
      <c r="D692" s="1831"/>
      <c r="E692" s="1831"/>
      <c r="F692" s="1831"/>
      <c r="G692" s="1831"/>
      <c r="H692" s="1831"/>
      <c r="I692" s="1831"/>
      <c r="J692" s="1831"/>
      <c r="K692" s="1831"/>
      <c r="L692" s="1831"/>
      <c r="M692" s="1831"/>
      <c r="N692" s="1831"/>
      <c r="O692" s="1831"/>
      <c r="P692" s="1831"/>
      <c r="Q692" s="1831"/>
      <c r="R692" s="1831"/>
      <c r="S692" s="1831"/>
      <c r="T692" s="1831"/>
      <c r="U692" s="1831"/>
      <c r="V692" s="1831"/>
      <c r="W692" s="1831"/>
      <c r="X692" s="1831"/>
      <c r="Y692" s="1831"/>
      <c r="Z692" s="1831"/>
      <c r="AA692" s="1831"/>
      <c r="AB692" s="1831"/>
      <c r="AC692" s="1831"/>
      <c r="AD692" s="1831"/>
      <c r="AE692" s="1831"/>
      <c r="AF692" s="1831"/>
      <c r="AG692" s="1831"/>
      <c r="AH692" s="1831"/>
      <c r="AI692" s="1831"/>
      <c r="AJ692" s="1831"/>
      <c r="AK692" s="1831"/>
      <c r="AL692" s="1831"/>
      <c r="AM692" s="183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1941</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1942</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30"/>
      <c r="Z696" s="1171" t="s">
        <v>233</v>
      </c>
      <c r="AA696" s="1172"/>
      <c r="AB696" s="1172"/>
      <c r="AC696" s="1172"/>
      <c r="AD696" s="1172"/>
      <c r="AE696" s="1230"/>
      <c r="AF696" s="1171" t="s">
        <v>235</v>
      </c>
      <c r="AG696" s="1172"/>
      <c r="AH696" s="1172"/>
      <c r="AI696" s="1172"/>
      <c r="AJ696" s="1172"/>
      <c r="AK696" s="123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0"/>
      <c r="Z697" s="1175"/>
      <c r="AA697" s="1176"/>
      <c r="AB697" s="1176"/>
      <c r="AC697" s="1176"/>
      <c r="AD697" s="1176"/>
      <c r="AE697" s="1220"/>
      <c r="AF697" s="1175"/>
      <c r="AG697" s="1176"/>
      <c r="AH697" s="1176"/>
      <c r="AI697" s="1176"/>
      <c r="AJ697" s="1176"/>
      <c r="AK697" s="1220"/>
      <c r="AL697" s="778"/>
      <c r="AM697" s="20"/>
    </row>
    <row r="698" spans="1:43">
      <c r="A698" s="594" t="s">
        <v>653</v>
      </c>
      <c r="B698" s="1722" t="s">
        <v>270</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c r="A699" s="614"/>
      <c r="B699" s="615"/>
      <c r="C699" s="620"/>
      <c r="D699" s="306" t="s">
        <v>210</v>
      </c>
      <c r="E699" s="1724" t="s">
        <v>236</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2"/>
      <c r="AG699" s="1832"/>
      <c r="AH699" s="1832"/>
      <c r="AI699" s="1832"/>
      <c r="AJ699" s="1832"/>
      <c r="AK699" s="1832"/>
      <c r="AL699" s="778"/>
      <c r="AM699" s="20"/>
    </row>
    <row r="700" spans="1:43">
      <c r="A700" s="616"/>
      <c r="B700" s="615"/>
      <c r="C700" s="615"/>
      <c r="D700" s="306" t="s">
        <v>428</v>
      </c>
      <c r="E700" s="1724" t="s">
        <v>237</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2"/>
      <c r="AG700" s="1832"/>
      <c r="AH700" s="1832"/>
      <c r="AI700" s="1832"/>
      <c r="AJ700" s="1832"/>
      <c r="AK700" s="1832"/>
      <c r="AL700" s="778"/>
      <c r="AM700" s="20"/>
    </row>
    <row r="701" spans="1:43">
      <c r="A701" s="594" t="s">
        <v>8</v>
      </c>
      <c r="B701" s="1722" t="s">
        <v>271</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31">
        <v>10</v>
      </c>
      <c r="AA701" s="1231"/>
      <c r="AB701" s="1231"/>
      <c r="AC701" s="1231"/>
      <c r="AD701" s="1231"/>
      <c r="AE701" s="1231"/>
      <c r="AF701" s="1231">
        <f>IF(T701&gt;Z701,Z701,T701)</f>
        <v>10</v>
      </c>
      <c r="AG701" s="1231"/>
      <c r="AH701" s="1231"/>
      <c r="AI701" s="1231"/>
      <c r="AJ701" s="1231"/>
      <c r="AK701" s="1231"/>
      <c r="AL701" s="778"/>
      <c r="AM701" s="20"/>
    </row>
    <row r="702" spans="1:43">
      <c r="A702" s="594" t="s">
        <v>119</v>
      </c>
      <c r="B702" s="1722" t="s">
        <v>272</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c r="A703" s="594"/>
      <c r="B703" s="615"/>
      <c r="C703" s="615"/>
      <c r="D703" s="306" t="s">
        <v>1468</v>
      </c>
      <c r="E703" s="1724" t="s">
        <v>294</v>
      </c>
      <c r="F703" s="1724"/>
      <c r="G703" s="1724"/>
      <c r="H703" s="1724"/>
      <c r="I703" s="1724"/>
      <c r="J703" s="1724"/>
      <c r="K703" s="1724"/>
      <c r="L703" s="1724"/>
      <c r="M703" s="1724"/>
      <c r="N703" s="1724"/>
      <c r="O703" s="1724"/>
      <c r="P703" s="1724"/>
      <c r="Q703" s="1724"/>
      <c r="R703" s="1724"/>
      <c r="S703" s="1725"/>
      <c r="T703" s="1726">
        <f>AK283</f>
        <v>18</v>
      </c>
      <c r="U703" s="1726"/>
      <c r="V703" s="1726"/>
      <c r="W703" s="1726"/>
      <c r="X703" s="1726"/>
      <c r="Y703" s="1726"/>
      <c r="Z703" s="1750">
        <v>15</v>
      </c>
      <c r="AA703" s="1750"/>
      <c r="AB703" s="1750"/>
      <c r="AC703" s="1750"/>
      <c r="AD703" s="1750"/>
      <c r="AE703" s="1750"/>
      <c r="AF703" s="1832"/>
      <c r="AG703" s="1832"/>
      <c r="AH703" s="1832"/>
      <c r="AI703" s="1832"/>
      <c r="AJ703" s="1832"/>
      <c r="AK703" s="1832"/>
      <c r="AL703" s="778"/>
      <c r="AM703" s="20"/>
    </row>
    <row r="704" spans="1:43">
      <c r="A704" s="617"/>
      <c r="B704" s="90"/>
      <c r="C704" s="90"/>
      <c r="D704" s="618" t="s">
        <v>1469</v>
      </c>
      <c r="E704" s="1724" t="s">
        <v>295</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2"/>
      <c r="AG704" s="1832"/>
      <c r="AH704" s="1832"/>
      <c r="AI704" s="1832"/>
      <c r="AJ704" s="1832"/>
      <c r="AK704" s="1832"/>
      <c r="AL704" s="778"/>
      <c r="AM704" s="20"/>
    </row>
    <row r="705" spans="1:39" hidden="1">
      <c r="A705" s="594" t="s">
        <v>122</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31"/>
      <c r="AA705" s="1231"/>
      <c r="AB705" s="1231"/>
      <c r="AC705" s="1231"/>
      <c r="AD705" s="1231"/>
      <c r="AE705" s="1231"/>
      <c r="AF705" s="1231"/>
      <c r="AG705" s="1231"/>
      <c r="AH705" s="1231"/>
      <c r="AI705" s="1231"/>
      <c r="AJ705" s="1231"/>
      <c r="AK705" s="1231"/>
      <c r="AL705" s="778"/>
      <c r="AM705" s="20"/>
    </row>
    <row r="706" spans="1:39">
      <c r="A706" s="594" t="s">
        <v>122</v>
      </c>
      <c r="B706" s="1722" t="s">
        <v>541</v>
      </c>
      <c r="C706" s="1722"/>
      <c r="D706" s="1722"/>
      <c r="E706" s="1722"/>
      <c r="F706" s="1722"/>
      <c r="G706" s="1722"/>
      <c r="H706" s="1722"/>
      <c r="I706" s="1722"/>
      <c r="J706" s="1722"/>
      <c r="K706" s="1722"/>
      <c r="L706" s="1722"/>
      <c r="M706" s="1722"/>
      <c r="N706" s="1722"/>
      <c r="O706" s="1722"/>
      <c r="P706" s="1722"/>
      <c r="Q706" s="1722"/>
      <c r="R706" s="1722"/>
      <c r="S706" s="1723"/>
      <c r="T706" s="1822">
        <f>IF(SUM(T707:Y708)&gt;52,52,SUM(T707:Y708))</f>
        <v>52</v>
      </c>
      <c r="U706" s="1823"/>
      <c r="V706" s="1823"/>
      <c r="W706" s="1823"/>
      <c r="X706" s="1823"/>
      <c r="Y706" s="1823"/>
      <c r="Z706" s="1823">
        <v>52</v>
      </c>
      <c r="AA706" s="1823"/>
      <c r="AB706" s="1823"/>
      <c r="AC706" s="1823"/>
      <c r="AD706" s="1823"/>
      <c r="AE706" s="1823"/>
      <c r="AF706" s="1823">
        <f>$AO$698+$T$708</f>
        <v>52</v>
      </c>
      <c r="AG706" s="1823"/>
      <c r="AH706" s="1823"/>
      <c r="AI706" s="1823"/>
      <c r="AJ706" s="1823"/>
      <c r="AK706" s="1823"/>
      <c r="AL706" s="778"/>
      <c r="AM706" s="20"/>
    </row>
    <row r="707" spans="1:39">
      <c r="A707" s="619"/>
      <c r="B707" s="621"/>
      <c r="C707" s="621"/>
      <c r="D707" s="622" t="s">
        <v>2217</v>
      </c>
      <c r="E707" s="1724" t="s">
        <v>183</v>
      </c>
      <c r="F707" s="1724"/>
      <c r="G707" s="1724"/>
      <c r="H707" s="1724"/>
      <c r="I707" s="1724"/>
      <c r="J707" s="1724"/>
      <c r="K707" s="1724"/>
      <c r="L707" s="1724"/>
      <c r="M707" s="1724"/>
      <c r="N707" s="1724"/>
      <c r="O707" s="1724"/>
      <c r="P707" s="1724"/>
      <c r="Q707" s="1724"/>
      <c r="R707" s="1724"/>
      <c r="S707" s="1725"/>
      <c r="T707" s="1747">
        <f>AC592</f>
        <v>50</v>
      </c>
      <c r="U707" s="1748"/>
      <c r="V707" s="1748"/>
      <c r="W707" s="1748"/>
      <c r="X707" s="1748"/>
      <c r="Y707" s="1749"/>
      <c r="Z707" s="1747">
        <v>50</v>
      </c>
      <c r="AA707" s="1748"/>
      <c r="AB707" s="1748"/>
      <c r="AC707" s="1748"/>
      <c r="AD707" s="1748"/>
      <c r="AE707" s="1749"/>
      <c r="AF707" s="1827"/>
      <c r="AG707" s="1828"/>
      <c r="AH707" s="1828"/>
      <c r="AI707" s="1828"/>
      <c r="AJ707" s="1828"/>
      <c r="AK707" s="1829"/>
      <c r="AL707" s="778"/>
      <c r="AM707" s="4"/>
    </row>
    <row r="708" spans="1:39">
      <c r="A708" s="623"/>
      <c r="B708" s="615"/>
      <c r="C708" s="615"/>
      <c r="D708" s="306" t="s">
        <v>2218</v>
      </c>
      <c r="E708" s="1724" t="s">
        <v>269</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69">
        <v>2</v>
      </c>
      <c r="AA708" s="1070"/>
      <c r="AB708" s="1070"/>
      <c r="AC708" s="1070"/>
      <c r="AD708" s="1070"/>
      <c r="AE708" s="1072"/>
      <c r="AF708" s="1843"/>
      <c r="AG708" s="1844"/>
      <c r="AH708" s="1844"/>
      <c r="AI708" s="1844"/>
      <c r="AJ708" s="1844"/>
      <c r="AK708" s="1845"/>
      <c r="AL708" s="778"/>
      <c r="AM708" s="4"/>
    </row>
    <row r="709" spans="1:39">
      <c r="A709" s="619" t="s">
        <v>123</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31">
        <v>10</v>
      </c>
      <c r="AA709" s="1231"/>
      <c r="AB709" s="1231"/>
      <c r="AC709" s="1231"/>
      <c r="AD709" s="1231"/>
      <c r="AE709" s="1231"/>
      <c r="AF709" s="1427">
        <f>IF(T709&gt;Z709,Z709,T709)</f>
        <v>10</v>
      </c>
      <c r="AG709" s="1428"/>
      <c r="AH709" s="1428"/>
      <c r="AI709" s="1428"/>
      <c r="AJ709" s="1428"/>
      <c r="AK709" s="1429"/>
      <c r="AL709" s="778"/>
      <c r="AM709" s="20"/>
    </row>
    <row r="710" spans="1:39">
      <c r="A710" s="619" t="s">
        <v>125</v>
      </c>
      <c r="B710" s="1722" t="s">
        <v>985</v>
      </c>
      <c r="C710" s="1722"/>
      <c r="D710" s="1722"/>
      <c r="E710" s="1722"/>
      <c r="F710" s="1722"/>
      <c r="G710" s="1722"/>
      <c r="H710" s="1722"/>
      <c r="I710" s="1722"/>
      <c r="J710" s="1722"/>
      <c r="K710" s="1722"/>
      <c r="L710" s="1722"/>
      <c r="M710" s="1722"/>
      <c r="N710" s="1722"/>
      <c r="O710" s="1722"/>
      <c r="P710" s="1722"/>
      <c r="Q710" s="1722"/>
      <c r="R710" s="1722"/>
      <c r="S710" s="1723"/>
      <c r="T710" s="1824">
        <f>IF(AK688&gt;2,2,AK688)</f>
        <v>2</v>
      </c>
      <c r="U710" s="1825"/>
      <c r="V710" s="1825"/>
      <c r="W710" s="1825"/>
      <c r="X710" s="1825"/>
      <c r="Y710" s="1826"/>
      <c r="Z710" s="1427">
        <v>2</v>
      </c>
      <c r="AA710" s="1428"/>
      <c r="AB710" s="1428"/>
      <c r="AC710" s="1428"/>
      <c r="AD710" s="1428"/>
      <c r="AE710" s="1429"/>
      <c r="AF710" s="1427">
        <f>IF(T710&gt;Z710,Z710,T710)</f>
        <v>2</v>
      </c>
      <c r="AG710" s="1841"/>
      <c r="AH710" s="1841"/>
      <c r="AI710" s="1841"/>
      <c r="AJ710" s="1841"/>
      <c r="AK710" s="1842"/>
      <c r="AL710" s="3"/>
      <c r="AM710" s="20"/>
    </row>
    <row r="711" spans="1:39">
      <c r="A711" s="1721" t="s">
        <v>297</v>
      </c>
      <c r="B711" s="1722"/>
      <c r="C711" s="1722"/>
      <c r="D711" s="1722"/>
      <c r="E711" s="1722"/>
      <c r="F711" s="1722"/>
      <c r="G711" s="1722"/>
      <c r="H711" s="1722"/>
      <c r="I711" s="1722"/>
      <c r="J711" s="1722"/>
      <c r="K711" s="1722"/>
      <c r="L711" s="1722"/>
      <c r="M711" s="1722"/>
      <c r="N711" s="1722"/>
      <c r="O711" s="1722"/>
      <c r="P711" s="1722"/>
      <c r="Q711" s="1722"/>
      <c r="R711" s="1722"/>
      <c r="S711" s="1723"/>
      <c r="T711" s="1471"/>
      <c r="U711" s="1471"/>
      <c r="V711" s="1471"/>
      <c r="W711" s="1471"/>
      <c r="X711" s="1471"/>
      <c r="Y711" s="1471"/>
      <c r="Z711" s="1750" t="s">
        <v>296</v>
      </c>
      <c r="AA711" s="1750"/>
      <c r="AB711" s="1750"/>
      <c r="AC711" s="1750"/>
      <c r="AD711" s="1750"/>
      <c r="AE711" s="1750"/>
      <c r="AF711" s="1427">
        <f>IF(T711&gt;0,T711,0)</f>
        <v>0</v>
      </c>
      <c r="AG711" s="1428"/>
      <c r="AH711" s="1428"/>
      <c r="AI711" s="1428"/>
      <c r="AJ711" s="1428"/>
      <c r="AK711" s="1429"/>
      <c r="AL711" s="18"/>
      <c r="AM711" s="20"/>
    </row>
    <row r="712" spans="1:39" ht="15.6">
      <c r="A712" s="1733" t="s">
        <v>721</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3">
        <f>SUM(AF698:AK710)-AF711</f>
        <v>109</v>
      </c>
      <c r="AG712" s="1834"/>
      <c r="AH712" s="1834"/>
      <c r="AI712" s="1834"/>
      <c r="AJ712" s="1834"/>
      <c r="AK712" s="1835"/>
      <c r="AL712" s="779"/>
      <c r="AM712" s="4"/>
    </row>
    <row r="713" spans="1:39" ht="12.45"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6"/>
      <c r="AG713" s="1837"/>
      <c r="AH713" s="1837"/>
      <c r="AI713" s="1837"/>
      <c r="AJ713" s="1837"/>
      <c r="AK713" s="1838"/>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8"/>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8"/>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8"/>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8"/>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8"/>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7" t="s">
        <v>2034</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906" t="s">
        <v>2035</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8"/>
      <c r="B5" s="898"/>
      <c r="I5" s="899"/>
      <c r="K5" s="900"/>
    </row>
    <row r="6" spans="1:57">
      <c r="A6" s="898"/>
      <c r="B6" s="898"/>
      <c r="D6" s="896" t="s">
        <v>2038</v>
      </c>
      <c r="I6" s="899"/>
      <c r="K6" s="900"/>
      <c r="U6" s="1905"/>
      <c r="V6" s="1905"/>
      <c r="W6" s="1905"/>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13"/>
      <c r="Q9" s="1913"/>
      <c r="R9" s="1913"/>
      <c r="S9" s="1913"/>
      <c r="T9" s="1913"/>
    </row>
    <row r="10" spans="1:57">
      <c r="A10" s="898"/>
      <c r="B10" s="898"/>
      <c r="I10" s="899"/>
      <c r="K10" s="900"/>
    </row>
    <row r="11" spans="1:57">
      <c r="A11" s="1906" t="s">
        <v>2041</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6" t="s">
        <v>108</v>
      </c>
    </row>
    <row r="12" spans="1:57">
      <c r="A12" s="898"/>
      <c r="B12" s="898"/>
      <c r="I12" s="899"/>
      <c r="K12" s="900"/>
      <c r="BC12" s="896" t="s">
        <v>482</v>
      </c>
    </row>
    <row r="13" spans="1:57">
      <c r="A13" s="898"/>
      <c r="B13" s="898"/>
      <c r="D13" s="896" t="s">
        <v>2042</v>
      </c>
      <c r="I13" s="899"/>
      <c r="K13" s="900"/>
      <c r="T13" s="1905"/>
      <c r="U13" s="1905"/>
      <c r="V13" s="1905"/>
    </row>
    <row r="14" spans="1:57">
      <c r="A14" s="898"/>
      <c r="B14" s="898"/>
      <c r="E14" s="896" t="s">
        <v>2049</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2245414.7999999998</v>
      </c>
    </row>
    <row r="16" spans="1:57">
      <c r="A16" s="898"/>
      <c r="B16" s="898"/>
      <c r="BC16" s="896" t="s">
        <v>2053</v>
      </c>
      <c r="BE16" s="896">
        <f>'Basis &amp; Credits'!T11+'Basis &amp; Credits'!AD11</f>
        <v>39787792.009951204</v>
      </c>
    </row>
    <row r="17" spans="1:43">
      <c r="A17" s="898"/>
      <c r="B17" s="898"/>
      <c r="D17" s="896" t="s">
        <v>2044</v>
      </c>
      <c r="I17" s="899"/>
      <c r="K17" s="900"/>
      <c r="U17" s="1912" t="str">
        <f>IF(T13="yes",(BE15/BE16)," ")</f>
        <v xml:space="preserve"> </v>
      </c>
      <c r="V17" s="1912"/>
      <c r="W17" s="1912"/>
      <c r="X17" s="1912"/>
      <c r="Y17" s="1912"/>
    </row>
    <row r="18" spans="1:43">
      <c r="A18" s="898"/>
      <c r="B18" s="898"/>
      <c r="I18" s="899"/>
      <c r="K18" s="900"/>
    </row>
    <row r="19" spans="1:43">
      <c r="A19" s="1906" t="s">
        <v>2046</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8"/>
      <c r="D20" s="898"/>
      <c r="K20" s="899"/>
      <c r="M20" s="900"/>
    </row>
    <row r="21" spans="1:43">
      <c r="C21" s="898"/>
      <c r="D21" s="898"/>
      <c r="K21" s="899"/>
      <c r="M21" s="900"/>
    </row>
    <row r="22" spans="1:43">
      <c r="C22" s="901" t="s">
        <v>728</v>
      </c>
      <c r="D22" s="901"/>
      <c r="E22" s="896" t="s">
        <v>2047</v>
      </c>
      <c r="H22" s="902"/>
      <c r="K22" s="896"/>
      <c r="Q22" s="1914">
        <f>ROUND('Basis &amp; Credits'!AB55,0)</f>
        <v>2245415</v>
      </c>
      <c r="R22" s="1914"/>
      <c r="S22" s="1914"/>
      <c r="T22" s="1914"/>
      <c r="U22" s="1914"/>
      <c r="V22" s="1914"/>
      <c r="W22" s="1914"/>
      <c r="X22" s="1914"/>
      <c r="Y22" s="916"/>
    </row>
    <row r="23" spans="1:43">
      <c r="C23" s="898"/>
      <c r="D23" s="898"/>
      <c r="G23" s="903"/>
      <c r="H23" s="903"/>
      <c r="I23" s="904"/>
      <c r="J23" s="904"/>
      <c r="K23" s="903"/>
      <c r="M23" s="897"/>
    </row>
    <row r="24" spans="1:43">
      <c r="C24" s="905"/>
      <c r="D24" s="905"/>
      <c r="E24" s="906"/>
      <c r="J24" s="904"/>
      <c r="K24" s="896"/>
      <c r="L24" s="1917" t="s">
        <v>2024</v>
      </c>
      <c r="M24" s="1917"/>
      <c r="N24" s="1917"/>
      <c r="P24" s="1902" t="s">
        <v>2025</v>
      </c>
      <c r="Q24" s="1902"/>
      <c r="R24" s="1902"/>
      <c r="S24" s="1902"/>
      <c r="T24" s="1902"/>
      <c r="V24" s="1902" t="s">
        <v>2026</v>
      </c>
      <c r="W24" s="1902"/>
      <c r="X24" s="1902"/>
    </row>
    <row r="25" spans="1:43">
      <c r="C25" s="901" t="s">
        <v>190</v>
      </c>
      <c r="D25" s="901"/>
      <c r="E25" s="896" t="s">
        <v>986</v>
      </c>
      <c r="J25" s="904"/>
      <c r="L25" s="1903" t="s">
        <v>2027</v>
      </c>
      <c r="M25" s="1903"/>
      <c r="N25" s="1903"/>
      <c r="P25" s="1903" t="s">
        <v>2028</v>
      </c>
      <c r="Q25" s="1903"/>
      <c r="R25" s="1903"/>
      <c r="S25" s="1903"/>
      <c r="T25" s="1903"/>
      <c r="V25" s="1903" t="s">
        <v>2027</v>
      </c>
      <c r="W25" s="1903"/>
      <c r="X25" s="1903"/>
    </row>
    <row r="26" spans="1:43">
      <c r="C26" s="898"/>
      <c r="D26" s="898"/>
      <c r="E26" s="907" t="s">
        <v>2029</v>
      </c>
      <c r="F26" s="907"/>
      <c r="J26" s="908"/>
      <c r="L26" s="1915">
        <f>Application!BN626</f>
        <v>70</v>
      </c>
      <c r="M26" s="1915"/>
      <c r="N26" s="1915"/>
      <c r="P26" s="1904">
        <v>0.9</v>
      </c>
      <c r="Q26" s="1904"/>
      <c r="R26" s="1904"/>
      <c r="S26" s="1904"/>
      <c r="T26" s="1904"/>
      <c r="V26" s="1904">
        <f>L26*P26</f>
        <v>63</v>
      </c>
      <c r="W26" s="1904"/>
      <c r="X26" s="1904"/>
    </row>
    <row r="27" spans="1:43">
      <c r="C27" s="898"/>
      <c r="D27" s="898"/>
      <c r="E27" s="896" t="s">
        <v>2030</v>
      </c>
      <c r="J27" s="908"/>
      <c r="L27" s="1895">
        <f>Application!BS626</f>
        <v>5</v>
      </c>
      <c r="M27" s="1895">
        <f>Application!BS634+Application!BS643+Application!CX657</f>
        <v>0</v>
      </c>
      <c r="N27" s="1895"/>
      <c r="P27" s="1900">
        <v>1</v>
      </c>
      <c r="Q27" s="1900"/>
      <c r="R27" s="1900"/>
      <c r="S27" s="1900"/>
      <c r="T27" s="1900"/>
      <c r="V27" s="1900">
        <f>L27*P27</f>
        <v>5</v>
      </c>
      <c r="W27" s="1900"/>
      <c r="X27" s="1900"/>
    </row>
    <row r="28" spans="1:43">
      <c r="C28" s="898"/>
      <c r="D28" s="898"/>
      <c r="E28" s="896" t="s">
        <v>2031</v>
      </c>
      <c r="J28" s="908"/>
      <c r="L28" s="1895">
        <f>Application!BX626</f>
        <v>0</v>
      </c>
      <c r="M28" s="1895">
        <f>Application!BX634+Application!BX643+Application!DC657</f>
        <v>0</v>
      </c>
      <c r="N28" s="1895"/>
      <c r="P28" s="1900">
        <v>1.25</v>
      </c>
      <c r="Q28" s="1900"/>
      <c r="R28" s="1900"/>
      <c r="S28" s="1900"/>
      <c r="T28" s="1900"/>
      <c r="V28" s="1900">
        <f>L28*P28</f>
        <v>0</v>
      </c>
      <c r="W28" s="1900"/>
      <c r="X28" s="1900"/>
    </row>
    <row r="29" spans="1:43">
      <c r="C29" s="898"/>
      <c r="D29" s="898"/>
      <c r="E29" s="896" t="s">
        <v>2032</v>
      </c>
      <c r="J29" s="908"/>
      <c r="L29" s="1895">
        <f>Application!CC626</f>
        <v>0</v>
      </c>
      <c r="M29" s="1895">
        <f>Application!CC634+Application!CC643+Application!DH657</f>
        <v>0</v>
      </c>
      <c r="N29" s="1895"/>
      <c r="P29" s="1900">
        <v>1.5</v>
      </c>
      <c r="Q29" s="1900"/>
      <c r="R29" s="1900"/>
      <c r="S29" s="1900"/>
      <c r="T29" s="1900"/>
      <c r="V29" s="1900">
        <f>L29*P29</f>
        <v>0</v>
      </c>
      <c r="W29" s="1900"/>
      <c r="X29" s="1900"/>
    </row>
    <row r="30" spans="1:43">
      <c r="C30" s="898"/>
      <c r="D30" s="898"/>
      <c r="E30" s="896" t="s">
        <v>2033</v>
      </c>
      <c r="J30" s="908"/>
      <c r="L30" s="1896">
        <f>Application!CH626+Application!CM626</f>
        <v>0</v>
      </c>
      <c r="M30" s="1896"/>
      <c r="N30" s="1896"/>
      <c r="P30" s="1900">
        <v>1.75</v>
      </c>
      <c r="Q30" s="1900"/>
      <c r="R30" s="1900">
        <f>1.75+0.25*0</f>
        <v>1.75</v>
      </c>
      <c r="S30" s="1900"/>
      <c r="T30" s="1900"/>
      <c r="V30" s="1901">
        <f>L30*P30</f>
        <v>0</v>
      </c>
      <c r="W30" s="1901"/>
      <c r="X30" s="1901"/>
    </row>
    <row r="31" spans="1:43">
      <c r="C31" s="898"/>
      <c r="D31" s="898"/>
      <c r="L31" s="1915">
        <f>SUM(L26:N30)</f>
        <v>75</v>
      </c>
      <c r="M31" s="1916"/>
      <c r="N31" s="1916"/>
      <c r="V31" s="1904">
        <f>SUM(V26:X30)</f>
        <v>68</v>
      </c>
      <c r="W31" s="1904"/>
      <c r="X31" s="1904"/>
    </row>
    <row r="32" spans="1:43">
      <c r="C32" s="898"/>
      <c r="D32" s="898"/>
      <c r="K32" s="909"/>
    </row>
    <row r="33" spans="1:27">
      <c r="C33" s="901" t="s">
        <v>191</v>
      </c>
      <c r="D33" s="901"/>
      <c r="E33" s="898" t="s">
        <v>2048</v>
      </c>
      <c r="H33" s="910"/>
      <c r="I33" s="911"/>
      <c r="J33" s="912"/>
      <c r="K33" s="909"/>
      <c r="M33" s="897"/>
      <c r="V33" s="1897">
        <f>IF(V31&gt;0,V31/Q22," ")</f>
        <v>3.0283934150257302E-5</v>
      </c>
      <c r="W33" s="1898"/>
      <c r="X33" s="1898"/>
      <c r="Y33" s="1898"/>
      <c r="Z33" s="1898"/>
      <c r="AA33" s="1899"/>
    </row>
    <row r="34" spans="1:27">
      <c r="K34" s="896"/>
      <c r="M34" s="897"/>
    </row>
    <row r="35" spans="1:27">
      <c r="E35" s="898" t="s">
        <v>2054</v>
      </c>
      <c r="F35" s="898"/>
      <c r="G35" s="898"/>
      <c r="H35" s="898"/>
      <c r="I35" s="898"/>
      <c r="J35" s="898"/>
      <c r="K35" s="898"/>
      <c r="L35" s="898"/>
      <c r="M35" s="918"/>
      <c r="N35" s="898"/>
      <c r="O35" s="898"/>
      <c r="P35" s="898"/>
      <c r="Q35" s="898"/>
      <c r="R35" s="898"/>
      <c r="V35" s="1908">
        <f>IF(V31&gt;0,1/V33," ")</f>
        <v>33020.808823529413</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2024-07-03T19:57:48Z</dcterms:modified>
</cp:coreProperties>
</file>