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27A8047-BAB5-4C87-8CC0-F57F6779B03D}" xr6:coauthVersionLast="47" xr6:coauthVersionMax="47" xr10:uidLastSave="{00000000-0000-0000-0000-000000000000}"/>
  <bookViews>
    <workbookView xWindow="-26460" yWindow="1155" windowWidth="17280" windowHeight="8970" tabRatio="821" firstSheet="2" activeTab="7"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Forma'!$A$1:$R$70</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Forma'!$A$1:$R$70</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4" l="1"/>
  <c r="F9" i="4"/>
  <c r="AG439" i="3"/>
  <c r="E53" i="9"/>
  <c r="F53" i="9" s="1"/>
  <c r="G53" i="9" s="1"/>
  <c r="H53" i="9" s="1"/>
  <c r="I53" i="9" s="1"/>
  <c r="J53" i="9" s="1"/>
  <c r="K53" i="9" s="1"/>
  <c r="L53" i="9" s="1"/>
  <c r="M53" i="9" s="1"/>
  <c r="N53" i="9" s="1"/>
  <c r="O53" i="9" s="1"/>
  <c r="P53" i="9" s="1"/>
  <c r="Q53" i="9" s="1"/>
  <c r="R53" i="9" s="1"/>
  <c r="S53" i="9" s="1"/>
  <c r="T53" i="9" s="1"/>
  <c r="U53" i="9" s="1"/>
  <c r="V53" i="9" s="1"/>
  <c r="W53" i="9" s="1"/>
  <c r="X53" i="9" s="1"/>
  <c r="Y53" i="9" s="1"/>
  <c r="Z53" i="9" s="1"/>
  <c r="AA53" i="9" s="1"/>
  <c r="AB53" i="9" s="1"/>
  <c r="AC53" i="9" s="1"/>
  <c r="AD53" i="9" s="1"/>
  <c r="AE53" i="9" s="1"/>
  <c r="AF53" i="9" s="1"/>
  <c r="AG53" i="9" s="1"/>
  <c r="AH53" i="9" s="1"/>
  <c r="AI53" i="9" s="1"/>
  <c r="AJ53" i="9" s="1"/>
  <c r="AK53" i="9" s="1"/>
  <c r="AL53" i="9" s="1"/>
  <c r="AM53" i="9" s="1"/>
  <c r="AN53" i="9" s="1"/>
  <c r="AO53" i="9" s="1"/>
  <c r="AP53" i="9" s="1"/>
  <c r="AQ53" i="9" s="1"/>
  <c r="AR53" i="9" s="1"/>
  <c r="AS53" i="9" s="1"/>
  <c r="AT53" i="9" s="1"/>
  <c r="AU53" i="9" s="1"/>
  <c r="AV53" i="9" s="1"/>
  <c r="AW53" i="9" s="1"/>
  <c r="AX53" i="9" s="1"/>
  <c r="AY53" i="9" s="1"/>
  <c r="AZ53" i="9" s="1"/>
  <c r="BA53" i="9" s="1"/>
  <c r="BB53" i="9" s="1"/>
  <c r="BC53" i="9" s="1"/>
  <c r="BD53" i="9" s="1"/>
  <c r="BE53" i="9" s="1"/>
  <c r="BF53" i="9" s="1"/>
  <c r="BG53" i="9" s="1"/>
  <c r="BH53" i="9" s="1"/>
  <c r="BI53" i="9" s="1"/>
  <c r="BJ53" i="9" s="1"/>
  <c r="BK53" i="9" s="1"/>
  <c r="BL53" i="9" s="1"/>
  <c r="BM53" i="9" s="1"/>
  <c r="BN53" i="9" s="1"/>
  <c r="BO53" i="9" s="1"/>
  <c r="BP53" i="9" s="1"/>
  <c r="BQ53" i="9" s="1"/>
  <c r="BR53" i="9" s="1"/>
  <c r="BS53" i="9" s="1"/>
  <c r="BT53" i="9" s="1"/>
  <c r="BU53" i="9" s="1"/>
  <c r="BV53" i="9" s="1"/>
  <c r="BW53" i="9" s="1"/>
  <c r="BX53" i="9" s="1"/>
  <c r="BY53" i="9" s="1"/>
  <c r="BZ53" i="9" s="1"/>
  <c r="CA53" i="9" s="1"/>
  <c r="CB53" i="9" s="1"/>
  <c r="CC53" i="9" s="1"/>
  <c r="CD53" i="9" s="1"/>
  <c r="CE53" i="9" s="1"/>
  <c r="CF53" i="9" s="1"/>
  <c r="CG53" i="9" s="1"/>
  <c r="CH53" i="9" s="1"/>
  <c r="CI53" i="9" s="1"/>
  <c r="CJ53" i="9" s="1"/>
  <c r="CK53" i="9" s="1"/>
  <c r="CL53" i="9" s="1"/>
  <c r="CM53" i="9" s="1"/>
  <c r="CN53" i="9" s="1"/>
  <c r="CO53" i="9" s="1"/>
  <c r="CP53" i="9" s="1"/>
  <c r="CQ53" i="9" s="1"/>
  <c r="CR53" i="9" s="1"/>
  <c r="CS53" i="9" s="1"/>
  <c r="CT53" i="9" s="1"/>
  <c r="CU53" i="9" s="1"/>
  <c r="CV53" i="9" s="1"/>
  <c r="CW53" i="9" s="1"/>
  <c r="CX53" i="9" s="1"/>
  <c r="CY53" i="9" s="1"/>
  <c r="CZ53" i="9" s="1"/>
  <c r="DA53" i="9" s="1"/>
  <c r="DB53" i="9" s="1"/>
  <c r="DC53" i="9" s="1"/>
  <c r="DD53" i="9" s="1"/>
  <c r="DE53" i="9" s="1"/>
  <c r="DF53" i="9" s="1"/>
  <c r="DG53" i="9" s="1"/>
  <c r="DH53" i="9" s="1"/>
  <c r="DI53" i="9" s="1"/>
  <c r="DJ53" i="9" s="1"/>
  <c r="DK53" i="9" s="1"/>
  <c r="DL53" i="9" s="1"/>
  <c r="DM53" i="9" s="1"/>
  <c r="DN53" i="9" s="1"/>
  <c r="DO53" i="9" s="1"/>
  <c r="DP53" i="9" s="1"/>
  <c r="DQ53" i="9" s="1"/>
  <c r="DR53" i="9" s="1"/>
  <c r="DS53" i="9" s="1"/>
  <c r="DT53" i="9" s="1"/>
  <c r="DU53" i="9" s="1"/>
  <c r="DV53" i="9" s="1"/>
  <c r="DW53" i="9" s="1"/>
  <c r="DX53" i="9" s="1"/>
  <c r="DY53" i="9" s="1"/>
  <c r="DZ53" i="9" s="1"/>
  <c r="EA53" i="9" s="1"/>
  <c r="EB53" i="9" s="1"/>
  <c r="EC53" i="9" s="1"/>
  <c r="ED53" i="9" s="1"/>
  <c r="EE53" i="9" s="1"/>
  <c r="EF53" i="9" s="1"/>
  <c r="EG53" i="9" s="1"/>
  <c r="EH53" i="9" s="1"/>
  <c r="EI53" i="9" s="1"/>
  <c r="EJ53" i="9" s="1"/>
  <c r="EK53" i="9" s="1"/>
  <c r="EL53" i="9" s="1"/>
  <c r="EM53" i="9" s="1"/>
  <c r="EN53" i="9" s="1"/>
  <c r="EO53" i="9" s="1"/>
  <c r="EP53" i="9" s="1"/>
  <c r="EQ53" i="9" s="1"/>
  <c r="ER53" i="9" s="1"/>
  <c r="ES53" i="9" s="1"/>
  <c r="ET53" i="9" s="1"/>
  <c r="EU53" i="9" s="1"/>
  <c r="EV53" i="9" s="1"/>
  <c r="EW53" i="9" s="1"/>
  <c r="EX53" i="9" s="1"/>
  <c r="EY53" i="9" s="1"/>
  <c r="EZ53" i="9" s="1"/>
  <c r="FA53" i="9" s="1"/>
  <c r="FB53" i="9" s="1"/>
  <c r="FC53" i="9" s="1"/>
  <c r="FD53" i="9" s="1"/>
  <c r="FE53" i="9" s="1"/>
  <c r="FF53" i="9" s="1"/>
  <c r="FG53" i="9" s="1"/>
  <c r="FH53" i="9" s="1"/>
  <c r="FI53" i="9" s="1"/>
  <c r="FJ53" i="9" s="1"/>
  <c r="FK53" i="9" s="1"/>
  <c r="FL53" i="9" s="1"/>
  <c r="FM53" i="9" s="1"/>
  <c r="FN53" i="9" s="1"/>
  <c r="FO53" i="9" s="1"/>
  <c r="FP53" i="9" s="1"/>
  <c r="FQ53" i="9" s="1"/>
  <c r="FR53" i="9" s="1"/>
  <c r="FS53" i="9" s="1"/>
  <c r="FT53" i="9" s="1"/>
  <c r="FU53" i="9" s="1"/>
  <c r="FV53" i="9" s="1"/>
  <c r="FW53" i="9" s="1"/>
  <c r="FX53" i="9" s="1"/>
  <c r="FY53" i="9" s="1"/>
  <c r="FZ53" i="9" s="1"/>
  <c r="GA53" i="9" s="1"/>
  <c r="GB53" i="9" s="1"/>
  <c r="GC53" i="9" s="1"/>
  <c r="GD53" i="9" s="1"/>
  <c r="GE53" i="9" s="1"/>
  <c r="GF53" i="9" s="1"/>
  <c r="GG53" i="9" s="1"/>
  <c r="GH53" i="9" s="1"/>
  <c r="GI53" i="9" s="1"/>
  <c r="GJ53" i="9" s="1"/>
  <c r="GK53" i="9" s="1"/>
  <c r="GL53" i="9" s="1"/>
  <c r="GM53" i="9" s="1"/>
  <c r="GN53" i="9" s="1"/>
  <c r="GO53" i="9" s="1"/>
  <c r="GP53" i="9" s="1"/>
  <c r="GQ53" i="9" s="1"/>
  <c r="GR53" i="9" s="1"/>
  <c r="GS53" i="9" s="1"/>
  <c r="GT53" i="9" s="1"/>
  <c r="GU53" i="9" s="1"/>
  <c r="GV53" i="9" s="1"/>
  <c r="GW53" i="9" s="1"/>
  <c r="GX53" i="9" s="1"/>
  <c r="GY53" i="9" s="1"/>
  <c r="GZ53" i="9" s="1"/>
  <c r="HA53" i="9" s="1"/>
  <c r="HB53" i="9" s="1"/>
  <c r="HC53" i="9" s="1"/>
  <c r="HD53" i="9" s="1"/>
  <c r="HE53" i="9" s="1"/>
  <c r="HF53" i="9" s="1"/>
  <c r="HG53" i="9" s="1"/>
  <c r="HH53" i="9" s="1"/>
  <c r="HI53" i="9" s="1"/>
  <c r="HJ53" i="9" s="1"/>
  <c r="HK53" i="9" s="1"/>
  <c r="HL53" i="9" s="1"/>
  <c r="HM53" i="9" s="1"/>
  <c r="HN53" i="9" s="1"/>
  <c r="HO53" i="9" s="1"/>
  <c r="HP53" i="9" s="1"/>
  <c r="HQ53" i="9" s="1"/>
  <c r="HR53" i="9" s="1"/>
  <c r="HS53" i="9" s="1"/>
  <c r="HT53" i="9" s="1"/>
  <c r="HU53" i="9" s="1"/>
  <c r="HV53" i="9" s="1"/>
  <c r="HW53" i="9" s="1"/>
  <c r="HX53" i="9" s="1"/>
  <c r="HY53" i="9" s="1"/>
  <c r="HZ53" i="9" s="1"/>
  <c r="IA53" i="9" s="1"/>
  <c r="IB53" i="9" s="1"/>
  <c r="IC53" i="9" s="1"/>
  <c r="ID53" i="9" s="1"/>
  <c r="IE53" i="9" s="1"/>
  <c r="IF53" i="9" s="1"/>
  <c r="IG53" i="9" s="1"/>
  <c r="IH53" i="9" s="1"/>
  <c r="II53" i="9" s="1"/>
  <c r="IJ53" i="9" s="1"/>
  <c r="IK53" i="9" s="1"/>
  <c r="IL53" i="9" s="1"/>
  <c r="IM53" i="9" s="1"/>
  <c r="IN53" i="9" s="1"/>
  <c r="IO53" i="9" s="1"/>
  <c r="IP53" i="9" s="1"/>
  <c r="IQ53" i="9" s="1"/>
  <c r="IR53" i="9" s="1"/>
  <c r="IS53" i="9" s="1"/>
  <c r="IT53" i="9" s="1"/>
  <c r="IU53" i="9" s="1"/>
  <c r="IV53" i="9" s="1"/>
  <c r="IW53" i="9" s="1"/>
  <c r="IX53" i="9" s="1"/>
  <c r="IY53" i="9" s="1"/>
  <c r="IZ53" i="9" s="1"/>
  <c r="JA53" i="9" s="1"/>
  <c r="JB53" i="9" s="1"/>
  <c r="JC53" i="9" s="1"/>
  <c r="JD53" i="9" s="1"/>
  <c r="JE53" i="9" s="1"/>
  <c r="JF53" i="9" s="1"/>
  <c r="JG53" i="9" s="1"/>
  <c r="JH53" i="9" s="1"/>
  <c r="JI53" i="9" s="1"/>
  <c r="JJ53" i="9" s="1"/>
  <c r="JK53" i="9" s="1"/>
  <c r="JL53" i="9" s="1"/>
  <c r="JM53" i="9" s="1"/>
  <c r="JN53" i="9" s="1"/>
  <c r="JO53" i="9" s="1"/>
  <c r="JP53" i="9" s="1"/>
  <c r="JQ53" i="9" s="1"/>
  <c r="JR53" i="9" s="1"/>
  <c r="JS53" i="9" s="1"/>
  <c r="JT53" i="9" s="1"/>
  <c r="JU53" i="9" s="1"/>
  <c r="JV53" i="9" s="1"/>
  <c r="JW53" i="9" s="1"/>
  <c r="JX53" i="9" s="1"/>
  <c r="JY53" i="9" s="1"/>
  <c r="JZ53" i="9" s="1"/>
  <c r="KA53" i="9" s="1"/>
  <c r="KB53" i="9" s="1"/>
  <c r="KC53" i="9" s="1"/>
  <c r="KD53" i="9" s="1"/>
  <c r="KE53" i="9" s="1"/>
  <c r="KF53" i="9" s="1"/>
  <c r="KG53" i="9" s="1"/>
  <c r="KH53" i="9" s="1"/>
  <c r="KI53" i="9" s="1"/>
  <c r="KJ53" i="9" s="1"/>
  <c r="KK53" i="9" s="1"/>
  <c r="KL53" i="9" s="1"/>
  <c r="KM53" i="9" s="1"/>
  <c r="KN53" i="9" s="1"/>
  <c r="KO53" i="9" s="1"/>
  <c r="KP53" i="9" s="1"/>
  <c r="KQ53" i="9" s="1"/>
  <c r="KR53" i="9" s="1"/>
  <c r="KS53" i="9" s="1"/>
  <c r="KT53" i="9" s="1"/>
  <c r="KU53" i="9" s="1"/>
  <c r="KV53" i="9" s="1"/>
  <c r="KW53" i="9" s="1"/>
  <c r="KX53" i="9" s="1"/>
  <c r="KY53" i="9" s="1"/>
  <c r="KZ53" i="9" s="1"/>
  <c r="LA53" i="9" s="1"/>
  <c r="LB53" i="9" s="1"/>
  <c r="LC53" i="9" s="1"/>
  <c r="LD53" i="9" s="1"/>
  <c r="LE53" i="9" s="1"/>
  <c r="LF53" i="9" s="1"/>
  <c r="LG53" i="9" s="1"/>
  <c r="LH53" i="9" s="1"/>
  <c r="LI53" i="9" s="1"/>
  <c r="LJ53" i="9" s="1"/>
  <c r="LK53" i="9" s="1"/>
  <c r="LL53" i="9" s="1"/>
  <c r="LM53" i="9" s="1"/>
  <c r="LN53" i="9" s="1"/>
  <c r="LO53" i="9" s="1"/>
  <c r="LP53" i="9" s="1"/>
  <c r="LQ53" i="9" s="1"/>
  <c r="LR53" i="9" s="1"/>
  <c r="LS53" i="9" s="1"/>
  <c r="LT53" i="9" s="1"/>
  <c r="LU53" i="9" s="1"/>
  <c r="LV53" i="9" s="1"/>
  <c r="LW53" i="9" s="1"/>
  <c r="LX53" i="9" s="1"/>
  <c r="LY53" i="9" s="1"/>
  <c r="LZ53" i="9" s="1"/>
  <c r="MA53" i="9" s="1"/>
  <c r="MB53" i="9" s="1"/>
  <c r="MC53" i="9" s="1"/>
  <c r="MD53" i="9" s="1"/>
  <c r="ME53" i="9" s="1"/>
  <c r="MF53" i="9" s="1"/>
  <c r="MG53" i="9" s="1"/>
  <c r="MH53" i="9" s="1"/>
  <c r="MI53" i="9" s="1"/>
  <c r="MJ53" i="9" s="1"/>
  <c r="MK53" i="9" s="1"/>
  <c r="ML53" i="9" s="1"/>
  <c r="MM53" i="9" s="1"/>
  <c r="MN53" i="9" s="1"/>
  <c r="MO53" i="9" s="1"/>
  <c r="MP53" i="9" s="1"/>
  <c r="MQ53" i="9" s="1"/>
  <c r="MR53" i="9" s="1"/>
  <c r="MS53" i="9" s="1"/>
  <c r="MT53" i="9" s="1"/>
  <c r="MU53" i="9" s="1"/>
  <c r="MV53" i="9" s="1"/>
  <c r="MW53" i="9" s="1"/>
  <c r="MX53" i="9" s="1"/>
  <c r="MY53" i="9" s="1"/>
  <c r="MZ53" i="9" s="1"/>
  <c r="NA53" i="9" s="1"/>
  <c r="NB53" i="9" s="1"/>
  <c r="NC53" i="9" s="1"/>
  <c r="ND53" i="9" s="1"/>
  <c r="NE53" i="9" s="1"/>
  <c r="NF53" i="9" s="1"/>
  <c r="NG53" i="9" s="1"/>
  <c r="NH53" i="9" s="1"/>
  <c r="NI53" i="9" s="1"/>
  <c r="NJ53" i="9" s="1"/>
  <c r="NK53" i="9" s="1"/>
  <c r="NL53" i="9" s="1"/>
  <c r="NM53" i="9" s="1"/>
  <c r="NN53" i="9" s="1"/>
  <c r="NO53" i="9" s="1"/>
  <c r="NP53" i="9" s="1"/>
  <c r="NQ53" i="9" s="1"/>
  <c r="NR53" i="9" s="1"/>
  <c r="NS53" i="9" s="1"/>
  <c r="NT53" i="9" s="1"/>
  <c r="NU53" i="9" s="1"/>
  <c r="NV53" i="9" s="1"/>
  <c r="NW53" i="9" s="1"/>
  <c r="NX53" i="9" s="1"/>
  <c r="NY53" i="9" s="1"/>
  <c r="NZ53" i="9" s="1"/>
  <c r="OA53" i="9" s="1"/>
  <c r="OB53" i="9" s="1"/>
  <c r="OC53" i="9" s="1"/>
  <c r="OD53" i="9" s="1"/>
  <c r="OE53" i="9" s="1"/>
  <c r="OF53" i="9" s="1"/>
  <c r="OG53" i="9" s="1"/>
  <c r="OH53" i="9" s="1"/>
  <c r="OI53" i="9" s="1"/>
  <c r="OJ53" i="9" s="1"/>
  <c r="OK53" i="9" s="1"/>
  <c r="OL53" i="9" s="1"/>
  <c r="OM53" i="9" s="1"/>
  <c r="ON53" i="9" s="1"/>
  <c r="OO53" i="9" s="1"/>
  <c r="OP53" i="9" s="1"/>
  <c r="OQ53" i="9" s="1"/>
  <c r="OR53" i="9" s="1"/>
  <c r="OS53" i="9" s="1"/>
  <c r="OT53" i="9" s="1"/>
  <c r="OU53" i="9" s="1"/>
  <c r="OV53" i="9" s="1"/>
  <c r="OW53" i="9" s="1"/>
  <c r="OX53" i="9" s="1"/>
  <c r="OY53" i="9" s="1"/>
  <c r="OZ53" i="9" s="1"/>
  <c r="PA53" i="9" s="1"/>
  <c r="PB53" i="9" s="1"/>
  <c r="PC53" i="9" s="1"/>
  <c r="PD53" i="9" s="1"/>
  <c r="PE53" i="9" s="1"/>
  <c r="PF53" i="9" s="1"/>
  <c r="PG53" i="9" s="1"/>
  <c r="PH53" i="9" s="1"/>
  <c r="PI53" i="9" s="1"/>
  <c r="PJ53" i="9" s="1"/>
  <c r="PK53" i="9" s="1"/>
  <c r="PL53" i="9" s="1"/>
  <c r="PM53" i="9" s="1"/>
  <c r="PN53" i="9" s="1"/>
  <c r="PO53" i="9" s="1"/>
  <c r="PP53" i="9" s="1"/>
  <c r="PQ53" i="9" s="1"/>
  <c r="PR53" i="9" s="1"/>
  <c r="PS53" i="9" s="1"/>
  <c r="PT53" i="9" s="1"/>
  <c r="PU53" i="9" s="1"/>
  <c r="PV53" i="9" s="1"/>
  <c r="PW53" i="9" s="1"/>
  <c r="PX53" i="9" s="1"/>
  <c r="PY53" i="9" s="1"/>
  <c r="PZ53" i="9" s="1"/>
  <c r="QA53" i="9" s="1"/>
  <c r="QB53" i="9" s="1"/>
  <c r="QC53" i="9" s="1"/>
  <c r="QD53" i="9" s="1"/>
  <c r="QE53" i="9" s="1"/>
  <c r="QF53" i="9" s="1"/>
  <c r="QG53" i="9" s="1"/>
  <c r="QH53" i="9" s="1"/>
  <c r="QI53" i="9" s="1"/>
  <c r="QJ53" i="9" s="1"/>
  <c r="QK53" i="9" s="1"/>
  <c r="QL53" i="9" s="1"/>
  <c r="QM53" i="9" s="1"/>
  <c r="QN53" i="9" s="1"/>
  <c r="QO53" i="9" s="1"/>
  <c r="QP53" i="9" s="1"/>
  <c r="QQ53" i="9" s="1"/>
  <c r="QR53" i="9" s="1"/>
  <c r="QS53" i="9" s="1"/>
  <c r="QT53" i="9" s="1"/>
  <c r="QU53" i="9" s="1"/>
  <c r="QV53" i="9" s="1"/>
  <c r="QW53" i="9" s="1"/>
  <c r="QX53" i="9" s="1"/>
  <c r="QY53" i="9" s="1"/>
  <c r="QZ53" i="9" s="1"/>
  <c r="RA53" i="9" s="1"/>
  <c r="RB53" i="9" s="1"/>
  <c r="RC53" i="9" s="1"/>
  <c r="RD53" i="9" s="1"/>
  <c r="RE53" i="9" s="1"/>
  <c r="RF53" i="9" s="1"/>
  <c r="RG53" i="9" s="1"/>
  <c r="RH53" i="9" s="1"/>
  <c r="RI53" i="9" s="1"/>
  <c r="RJ53" i="9" s="1"/>
  <c r="RK53" i="9" s="1"/>
  <c r="RL53" i="9" s="1"/>
  <c r="RM53" i="9" s="1"/>
  <c r="RN53" i="9" s="1"/>
  <c r="RO53" i="9" s="1"/>
  <c r="RP53" i="9" s="1"/>
  <c r="RQ53" i="9" s="1"/>
  <c r="RR53" i="9" s="1"/>
  <c r="RS53" i="9" s="1"/>
  <c r="RT53" i="9" s="1"/>
  <c r="RU53" i="9" s="1"/>
  <c r="RV53" i="9" s="1"/>
  <c r="RW53" i="9" s="1"/>
  <c r="RX53" i="9" s="1"/>
  <c r="RY53" i="9" s="1"/>
  <c r="RZ53" i="9" s="1"/>
  <c r="SA53" i="9" s="1"/>
  <c r="SB53" i="9" s="1"/>
  <c r="SC53" i="9" s="1"/>
  <c r="SD53" i="9" s="1"/>
  <c r="SE53" i="9" s="1"/>
  <c r="SF53" i="9" s="1"/>
  <c r="SG53" i="9" s="1"/>
  <c r="SH53" i="9" s="1"/>
  <c r="SI53" i="9" s="1"/>
  <c r="SJ53" i="9" s="1"/>
  <c r="SK53" i="9" s="1"/>
  <c r="SL53" i="9" s="1"/>
  <c r="SM53" i="9" s="1"/>
  <c r="SN53" i="9" s="1"/>
  <c r="SO53" i="9" s="1"/>
  <c r="SP53" i="9" s="1"/>
  <c r="SQ53" i="9" s="1"/>
  <c r="SR53" i="9" s="1"/>
  <c r="SS53" i="9" s="1"/>
  <c r="ST53" i="9" s="1"/>
  <c r="SU53" i="9" s="1"/>
  <c r="SV53" i="9" s="1"/>
  <c r="SW53" i="9" s="1"/>
  <c r="SX53" i="9" s="1"/>
  <c r="SY53" i="9" s="1"/>
  <c r="SZ53" i="9" s="1"/>
  <c r="TA53" i="9" s="1"/>
  <c r="TB53" i="9" s="1"/>
  <c r="TC53" i="9" s="1"/>
  <c r="TD53" i="9" s="1"/>
  <c r="TE53" i="9" s="1"/>
  <c r="TF53" i="9" s="1"/>
  <c r="TG53" i="9" s="1"/>
  <c r="TH53" i="9" s="1"/>
  <c r="TI53" i="9" s="1"/>
  <c r="TJ53" i="9" s="1"/>
  <c r="TK53" i="9" s="1"/>
  <c r="TL53" i="9" s="1"/>
  <c r="TM53" i="9" s="1"/>
  <c r="TN53" i="9" s="1"/>
  <c r="TO53" i="9" s="1"/>
  <c r="TP53" i="9" s="1"/>
  <c r="TQ53" i="9" s="1"/>
  <c r="TR53" i="9" s="1"/>
  <c r="TS53" i="9" s="1"/>
  <c r="TT53" i="9" s="1"/>
  <c r="TU53" i="9" s="1"/>
  <c r="TV53" i="9" s="1"/>
  <c r="TW53" i="9" s="1"/>
  <c r="TX53" i="9" s="1"/>
  <c r="TY53" i="9" s="1"/>
  <c r="TZ53" i="9" s="1"/>
  <c r="UA53" i="9" s="1"/>
  <c r="UB53" i="9" s="1"/>
  <c r="UC53" i="9" s="1"/>
  <c r="UD53" i="9" s="1"/>
  <c r="UE53" i="9" s="1"/>
  <c r="UF53" i="9" s="1"/>
  <c r="UG53" i="9" s="1"/>
  <c r="UH53" i="9" s="1"/>
  <c r="UI53" i="9" s="1"/>
  <c r="UJ53" i="9" s="1"/>
  <c r="UK53" i="9" s="1"/>
  <c r="UL53" i="9" s="1"/>
  <c r="UM53" i="9" s="1"/>
  <c r="UN53" i="9" s="1"/>
  <c r="UO53" i="9" s="1"/>
  <c r="UP53" i="9" s="1"/>
  <c r="UQ53" i="9" s="1"/>
  <c r="UR53" i="9" s="1"/>
  <c r="US53" i="9" s="1"/>
  <c r="UT53" i="9" s="1"/>
  <c r="UU53" i="9" s="1"/>
  <c r="UV53" i="9" s="1"/>
  <c r="UW53" i="9" s="1"/>
  <c r="UX53" i="9" s="1"/>
  <c r="UY53" i="9" s="1"/>
  <c r="UZ53" i="9" s="1"/>
  <c r="VA53" i="9" s="1"/>
  <c r="VB53" i="9" s="1"/>
  <c r="VC53" i="9" s="1"/>
  <c r="VD53" i="9" s="1"/>
  <c r="VE53" i="9" s="1"/>
  <c r="VF53" i="9" s="1"/>
  <c r="VG53" i="9" s="1"/>
  <c r="VH53" i="9" s="1"/>
  <c r="VI53" i="9" s="1"/>
  <c r="VJ53" i="9" s="1"/>
  <c r="VK53" i="9" s="1"/>
  <c r="VL53" i="9" s="1"/>
  <c r="VM53" i="9" s="1"/>
  <c r="VN53" i="9" s="1"/>
  <c r="VO53" i="9" s="1"/>
  <c r="VP53" i="9" s="1"/>
  <c r="VQ53" i="9" s="1"/>
  <c r="VR53" i="9" s="1"/>
  <c r="VS53" i="9" s="1"/>
  <c r="VT53" i="9" s="1"/>
  <c r="VU53" i="9" s="1"/>
  <c r="VV53" i="9" s="1"/>
  <c r="VW53" i="9" s="1"/>
  <c r="VX53" i="9" s="1"/>
  <c r="VY53" i="9" s="1"/>
  <c r="VZ53" i="9" s="1"/>
  <c r="WA53" i="9" s="1"/>
  <c r="WB53" i="9" s="1"/>
  <c r="WC53" i="9" s="1"/>
  <c r="WD53" i="9" s="1"/>
  <c r="WE53" i="9" s="1"/>
  <c r="WF53" i="9" s="1"/>
  <c r="WG53" i="9" s="1"/>
  <c r="WH53" i="9" s="1"/>
  <c r="WI53" i="9" s="1"/>
  <c r="WJ53" i="9" s="1"/>
  <c r="WK53" i="9" s="1"/>
  <c r="WL53" i="9" s="1"/>
  <c r="WM53" i="9" s="1"/>
  <c r="WN53" i="9" s="1"/>
  <c r="WO53" i="9" s="1"/>
  <c r="WP53" i="9" s="1"/>
  <c r="WQ53" i="9" s="1"/>
  <c r="WR53" i="9" s="1"/>
  <c r="WS53" i="9" s="1"/>
  <c r="WT53" i="9" s="1"/>
  <c r="WU53" i="9" s="1"/>
  <c r="WV53" i="9" s="1"/>
  <c r="WW53" i="9" s="1"/>
  <c r="WX53" i="9" s="1"/>
  <c r="WY53" i="9" s="1"/>
  <c r="WZ53" i="9" s="1"/>
  <c r="XA53" i="9" s="1"/>
  <c r="XB53" i="9" s="1"/>
  <c r="XC53" i="9" s="1"/>
  <c r="XD53" i="9" s="1"/>
  <c r="XE53" i="9" s="1"/>
  <c r="XF53" i="9" s="1"/>
  <c r="XG53" i="9" s="1"/>
  <c r="XH53" i="9" s="1"/>
  <c r="XI53" i="9" s="1"/>
  <c r="XJ53" i="9" s="1"/>
  <c r="XK53" i="9" s="1"/>
  <c r="XL53" i="9" s="1"/>
  <c r="XM53" i="9" s="1"/>
  <c r="XN53" i="9" s="1"/>
  <c r="XO53" i="9" s="1"/>
  <c r="XP53" i="9" s="1"/>
  <c r="XQ53" i="9" s="1"/>
  <c r="XR53" i="9" s="1"/>
  <c r="XS53" i="9" s="1"/>
  <c r="XT53" i="9" s="1"/>
  <c r="XU53" i="9" s="1"/>
  <c r="XV53" i="9" s="1"/>
  <c r="XW53" i="9" s="1"/>
  <c r="XX53" i="9" s="1"/>
  <c r="XY53" i="9" s="1"/>
  <c r="XZ53" i="9" s="1"/>
  <c r="YA53" i="9" s="1"/>
  <c r="YB53" i="9" s="1"/>
  <c r="YC53" i="9" s="1"/>
  <c r="YD53" i="9" s="1"/>
  <c r="YE53" i="9" s="1"/>
  <c r="YF53" i="9" s="1"/>
  <c r="YG53" i="9" s="1"/>
  <c r="YH53" i="9" s="1"/>
  <c r="YI53" i="9" s="1"/>
  <c r="YJ53" i="9" s="1"/>
  <c r="YK53" i="9" s="1"/>
  <c r="YL53" i="9" s="1"/>
  <c r="YM53" i="9" s="1"/>
  <c r="YN53" i="9" s="1"/>
  <c r="YO53" i="9" s="1"/>
  <c r="YP53" i="9" s="1"/>
  <c r="YQ53" i="9" s="1"/>
  <c r="YR53" i="9" s="1"/>
  <c r="YS53" i="9" s="1"/>
  <c r="YT53" i="9" s="1"/>
  <c r="YU53" i="9" s="1"/>
  <c r="YV53" i="9" s="1"/>
  <c r="YW53" i="9" s="1"/>
  <c r="YX53" i="9" s="1"/>
  <c r="YY53" i="9" s="1"/>
  <c r="YZ53" i="9" s="1"/>
  <c r="ZA53" i="9" s="1"/>
  <c r="ZB53" i="9" s="1"/>
  <c r="ZC53" i="9" s="1"/>
  <c r="ZD53" i="9" s="1"/>
  <c r="ZE53" i="9" s="1"/>
  <c r="ZF53" i="9" s="1"/>
  <c r="ZG53" i="9" s="1"/>
  <c r="ZH53" i="9" s="1"/>
  <c r="ZI53" i="9" s="1"/>
  <c r="ZJ53" i="9" s="1"/>
  <c r="ZK53" i="9" s="1"/>
  <c r="ZL53" i="9" s="1"/>
  <c r="ZM53" i="9" s="1"/>
  <c r="ZN53" i="9" s="1"/>
  <c r="ZO53" i="9" s="1"/>
  <c r="ZP53" i="9" s="1"/>
  <c r="ZQ53" i="9" s="1"/>
  <c r="ZR53" i="9" s="1"/>
  <c r="ZS53" i="9" s="1"/>
  <c r="ZT53" i="9" s="1"/>
  <c r="ZU53" i="9" s="1"/>
  <c r="ZV53" i="9" s="1"/>
  <c r="ZW53" i="9" s="1"/>
  <c r="ZX53" i="9" s="1"/>
  <c r="ZY53" i="9" s="1"/>
  <c r="ZZ53" i="9" s="1"/>
  <c r="AAA53" i="9" s="1"/>
  <c r="AAB53" i="9" s="1"/>
  <c r="AAC53" i="9" s="1"/>
  <c r="AAD53" i="9" s="1"/>
  <c r="AAE53" i="9" s="1"/>
  <c r="AAF53" i="9" s="1"/>
  <c r="AAG53" i="9" s="1"/>
  <c r="AAH53" i="9" s="1"/>
  <c r="AAI53" i="9" s="1"/>
  <c r="AAJ53" i="9" s="1"/>
  <c r="AAK53" i="9" s="1"/>
  <c r="AAL53" i="9" s="1"/>
  <c r="AAM53" i="9" s="1"/>
  <c r="AAN53" i="9" s="1"/>
  <c r="AAO53" i="9" s="1"/>
  <c r="AAP53" i="9" s="1"/>
  <c r="AAQ53" i="9" s="1"/>
  <c r="AAR53" i="9" s="1"/>
  <c r="AAS53" i="9" s="1"/>
  <c r="AAT53" i="9" s="1"/>
  <c r="AAU53" i="9" s="1"/>
  <c r="AAV53" i="9" s="1"/>
  <c r="AAW53" i="9" s="1"/>
  <c r="AAX53" i="9" s="1"/>
  <c r="AAY53" i="9" s="1"/>
  <c r="AAZ53" i="9" s="1"/>
  <c r="ABA53" i="9" s="1"/>
  <c r="ABB53" i="9" s="1"/>
  <c r="ABC53" i="9" s="1"/>
  <c r="ABD53" i="9" s="1"/>
  <c r="ABE53" i="9" s="1"/>
  <c r="ABF53" i="9" s="1"/>
  <c r="ABG53" i="9" s="1"/>
  <c r="ABH53" i="9" s="1"/>
  <c r="ABI53" i="9" s="1"/>
  <c r="ABJ53" i="9" s="1"/>
  <c r="ABK53" i="9" s="1"/>
  <c r="ABL53" i="9" s="1"/>
  <c r="ABM53" i="9" s="1"/>
  <c r="ABN53" i="9" s="1"/>
  <c r="ABO53" i="9" s="1"/>
  <c r="ABP53" i="9" s="1"/>
  <c r="ABQ53" i="9" s="1"/>
  <c r="ABR53" i="9" s="1"/>
  <c r="ABS53" i="9" s="1"/>
  <c r="ABT53" i="9" s="1"/>
  <c r="ABU53" i="9" s="1"/>
  <c r="ABV53" i="9" s="1"/>
  <c r="ABW53" i="9" s="1"/>
  <c r="ABX53" i="9" s="1"/>
  <c r="ABY53" i="9" s="1"/>
  <c r="ABZ53" i="9" s="1"/>
  <c r="ACA53" i="9" s="1"/>
  <c r="ACB53" i="9" s="1"/>
  <c r="ACC53" i="9" s="1"/>
  <c r="ACD53" i="9" s="1"/>
  <c r="ACE53" i="9" s="1"/>
  <c r="ACF53" i="9" s="1"/>
  <c r="ACG53" i="9" s="1"/>
  <c r="ACH53" i="9" s="1"/>
  <c r="ACI53" i="9" s="1"/>
  <c r="ACJ53" i="9" s="1"/>
  <c r="ACK53" i="9" s="1"/>
  <c r="ACL53" i="9" s="1"/>
  <c r="ACM53" i="9" s="1"/>
  <c r="ACN53" i="9" s="1"/>
  <c r="ACO53" i="9" s="1"/>
  <c r="ACP53" i="9" s="1"/>
  <c r="ACQ53" i="9" s="1"/>
  <c r="ACR53" i="9" s="1"/>
  <c r="ACS53" i="9" s="1"/>
  <c r="ACT53" i="9" s="1"/>
  <c r="ACU53" i="9" s="1"/>
  <c r="ACV53" i="9" s="1"/>
  <c r="ACW53" i="9" s="1"/>
  <c r="ACX53" i="9" s="1"/>
  <c r="ACY53" i="9" s="1"/>
  <c r="ACZ53" i="9" s="1"/>
  <c r="ADA53" i="9" s="1"/>
  <c r="ADB53" i="9" s="1"/>
  <c r="ADC53" i="9" s="1"/>
  <c r="ADD53" i="9" s="1"/>
  <c r="ADE53" i="9" s="1"/>
  <c r="ADF53" i="9" s="1"/>
  <c r="ADG53" i="9" s="1"/>
  <c r="ADH53" i="9" s="1"/>
  <c r="ADI53" i="9" s="1"/>
  <c r="ADJ53" i="9" s="1"/>
  <c r="ADK53" i="9" s="1"/>
  <c r="ADL53" i="9" s="1"/>
  <c r="ADM53" i="9" s="1"/>
  <c r="ADN53" i="9" s="1"/>
  <c r="ADO53" i="9" s="1"/>
  <c r="ADP53" i="9" s="1"/>
  <c r="ADQ53" i="9" s="1"/>
  <c r="ADR53" i="9" s="1"/>
  <c r="ADS53" i="9" s="1"/>
  <c r="ADT53" i="9" s="1"/>
  <c r="ADU53" i="9" s="1"/>
  <c r="ADV53" i="9" s="1"/>
  <c r="ADW53" i="9" s="1"/>
  <c r="ADX53" i="9" s="1"/>
  <c r="ADY53" i="9" s="1"/>
  <c r="ADZ53" i="9" s="1"/>
  <c r="AEA53" i="9" s="1"/>
  <c r="AEB53" i="9" s="1"/>
  <c r="AEC53" i="9" s="1"/>
  <c r="AED53" i="9" s="1"/>
  <c r="AEE53" i="9" s="1"/>
  <c r="AEF53" i="9" s="1"/>
  <c r="AEG53" i="9" s="1"/>
  <c r="AEH53" i="9" s="1"/>
  <c r="AEI53" i="9" s="1"/>
  <c r="AEJ53" i="9" s="1"/>
  <c r="AEK53" i="9" s="1"/>
  <c r="AEL53" i="9" s="1"/>
  <c r="AEM53" i="9" s="1"/>
  <c r="AEN53" i="9" s="1"/>
  <c r="AEO53" i="9" s="1"/>
  <c r="AEP53" i="9" s="1"/>
  <c r="AEQ53" i="9" s="1"/>
  <c r="AER53" i="9" s="1"/>
  <c r="AES53" i="9" s="1"/>
  <c r="AET53" i="9" s="1"/>
  <c r="AEU53" i="9" s="1"/>
  <c r="AEV53" i="9" s="1"/>
  <c r="AEW53" i="9" s="1"/>
  <c r="AEX53" i="9" s="1"/>
  <c r="AEY53" i="9" s="1"/>
  <c r="AEZ53" i="9" s="1"/>
  <c r="AFA53" i="9" s="1"/>
  <c r="AFB53" i="9" s="1"/>
  <c r="AFC53" i="9" s="1"/>
  <c r="AFD53" i="9" s="1"/>
  <c r="AFE53" i="9" s="1"/>
  <c r="AFF53" i="9" s="1"/>
  <c r="AFG53" i="9" s="1"/>
  <c r="AFH53" i="9" s="1"/>
  <c r="AFI53" i="9" s="1"/>
  <c r="AFJ53" i="9" s="1"/>
  <c r="AFK53" i="9" s="1"/>
  <c r="AFL53" i="9" s="1"/>
  <c r="AFM53" i="9" s="1"/>
  <c r="AFN53" i="9" s="1"/>
  <c r="AFO53" i="9" s="1"/>
  <c r="AFP53" i="9" s="1"/>
  <c r="AFQ53" i="9" s="1"/>
  <c r="AFR53" i="9" s="1"/>
  <c r="AFS53" i="9" s="1"/>
  <c r="AFT53" i="9" s="1"/>
  <c r="AFU53" i="9" s="1"/>
  <c r="AFV53" i="9" s="1"/>
  <c r="AFW53" i="9" s="1"/>
  <c r="AFX53" i="9" s="1"/>
  <c r="AFY53" i="9" s="1"/>
  <c r="AFZ53" i="9" s="1"/>
  <c r="AGA53" i="9" s="1"/>
  <c r="AGB53" i="9" s="1"/>
  <c r="AGC53" i="9" s="1"/>
  <c r="AGD53" i="9" s="1"/>
  <c r="AGE53" i="9" s="1"/>
  <c r="AGF53" i="9" s="1"/>
  <c r="AGG53" i="9" s="1"/>
  <c r="AGH53" i="9" s="1"/>
  <c r="AGI53" i="9" s="1"/>
  <c r="AGJ53" i="9" s="1"/>
  <c r="AGK53" i="9" s="1"/>
  <c r="AGL53" i="9" s="1"/>
  <c r="AGM53" i="9" s="1"/>
  <c r="AGN53" i="9" s="1"/>
  <c r="AGO53" i="9" s="1"/>
  <c r="AGP53" i="9" s="1"/>
  <c r="AGQ53" i="9" s="1"/>
  <c r="AGR53" i="9" s="1"/>
  <c r="AGS53" i="9" s="1"/>
  <c r="AGT53" i="9" s="1"/>
  <c r="AGU53" i="9" s="1"/>
  <c r="AGV53" i="9" s="1"/>
  <c r="AGW53" i="9" s="1"/>
  <c r="AGX53" i="9" s="1"/>
  <c r="AGY53" i="9" s="1"/>
  <c r="AGZ53" i="9" s="1"/>
  <c r="AHA53" i="9" s="1"/>
  <c r="AHB53" i="9" s="1"/>
  <c r="AHC53" i="9" s="1"/>
  <c r="AHD53" i="9" s="1"/>
  <c r="AHE53" i="9" s="1"/>
  <c r="AHF53" i="9" s="1"/>
  <c r="AHG53" i="9" s="1"/>
  <c r="AHH53" i="9" s="1"/>
  <c r="AHI53" i="9" s="1"/>
  <c r="AHJ53" i="9" s="1"/>
  <c r="AHK53" i="9" s="1"/>
  <c r="AHL53" i="9" s="1"/>
  <c r="AHM53" i="9" s="1"/>
  <c r="AHN53" i="9" s="1"/>
  <c r="AHO53" i="9" s="1"/>
  <c r="AHP53" i="9" s="1"/>
  <c r="AHQ53" i="9" s="1"/>
  <c r="AHR53" i="9" s="1"/>
  <c r="AHS53" i="9" s="1"/>
  <c r="AHT53" i="9" s="1"/>
  <c r="AHU53" i="9" s="1"/>
  <c r="AHV53" i="9" s="1"/>
  <c r="AHW53" i="9" s="1"/>
  <c r="AHX53" i="9" s="1"/>
  <c r="AHY53" i="9" s="1"/>
  <c r="AHZ53" i="9" s="1"/>
  <c r="AIA53" i="9" s="1"/>
  <c r="AIB53" i="9" s="1"/>
  <c r="AIC53" i="9" s="1"/>
  <c r="AID53" i="9" s="1"/>
  <c r="AIE53" i="9" s="1"/>
  <c r="AIF53" i="9" s="1"/>
  <c r="AIG53" i="9" s="1"/>
  <c r="AIH53" i="9" s="1"/>
  <c r="AII53" i="9" s="1"/>
  <c r="AIJ53" i="9" s="1"/>
  <c r="AIK53" i="9" s="1"/>
  <c r="AIL53" i="9" s="1"/>
  <c r="AIM53" i="9" s="1"/>
  <c r="AIN53" i="9" s="1"/>
  <c r="AIO53" i="9" s="1"/>
  <c r="AIP53" i="9" s="1"/>
  <c r="AIQ53" i="9" s="1"/>
  <c r="AIR53" i="9" s="1"/>
  <c r="AIS53" i="9" s="1"/>
  <c r="AIT53" i="9" s="1"/>
  <c r="AIU53" i="9" s="1"/>
  <c r="AIV53" i="9" s="1"/>
  <c r="AIW53" i="9" s="1"/>
  <c r="AIX53" i="9" s="1"/>
  <c r="AIY53" i="9" s="1"/>
  <c r="AIZ53" i="9" s="1"/>
  <c r="AJA53" i="9" s="1"/>
  <c r="AJB53" i="9" s="1"/>
  <c r="AJC53" i="9" s="1"/>
  <c r="AJD53" i="9" s="1"/>
  <c r="AJE53" i="9" s="1"/>
  <c r="AJF53" i="9" s="1"/>
  <c r="AJG53" i="9" s="1"/>
  <c r="AJH53" i="9" s="1"/>
  <c r="AJI53" i="9" s="1"/>
  <c r="AJJ53" i="9" s="1"/>
  <c r="AJK53" i="9" s="1"/>
  <c r="AJL53" i="9" s="1"/>
  <c r="AJM53" i="9" s="1"/>
  <c r="AJN53" i="9" s="1"/>
  <c r="AJO53" i="9" s="1"/>
  <c r="AJP53" i="9" s="1"/>
  <c r="AJQ53" i="9" s="1"/>
  <c r="AJR53" i="9" s="1"/>
  <c r="AJS53" i="9" s="1"/>
  <c r="AJT53" i="9" s="1"/>
  <c r="AJU53" i="9" s="1"/>
  <c r="AJV53" i="9" s="1"/>
  <c r="AJW53" i="9" s="1"/>
  <c r="AJX53" i="9" s="1"/>
  <c r="AJY53" i="9" s="1"/>
  <c r="AJZ53" i="9" s="1"/>
  <c r="AKA53" i="9" s="1"/>
  <c r="AKB53" i="9" s="1"/>
  <c r="AKC53" i="9" s="1"/>
  <c r="AKD53" i="9" s="1"/>
  <c r="AKE53" i="9" s="1"/>
  <c r="AKF53" i="9" s="1"/>
  <c r="AKG53" i="9" s="1"/>
  <c r="AKH53" i="9" s="1"/>
  <c r="AKI53" i="9" s="1"/>
  <c r="AKJ53" i="9" s="1"/>
  <c r="AKK53" i="9" s="1"/>
  <c r="AKL53" i="9" s="1"/>
  <c r="AKM53" i="9" s="1"/>
  <c r="AKN53" i="9" s="1"/>
  <c r="AKO53" i="9" s="1"/>
  <c r="AKP53" i="9" s="1"/>
  <c r="AKQ53" i="9" s="1"/>
  <c r="AKR53" i="9" s="1"/>
  <c r="AKS53" i="9" s="1"/>
  <c r="AKT53" i="9" s="1"/>
  <c r="AKU53" i="9" s="1"/>
  <c r="AKV53" i="9" s="1"/>
  <c r="AKW53" i="9" s="1"/>
  <c r="AKX53" i="9" s="1"/>
  <c r="AKY53" i="9" s="1"/>
  <c r="AKZ53" i="9" s="1"/>
  <c r="ALA53" i="9" s="1"/>
  <c r="ALB53" i="9" s="1"/>
  <c r="ALC53" i="9" s="1"/>
  <c r="ALD53" i="9" s="1"/>
  <c r="ALE53" i="9" s="1"/>
  <c r="ALF53" i="9" s="1"/>
  <c r="ALG53" i="9" s="1"/>
  <c r="ALH53" i="9" s="1"/>
  <c r="ALI53" i="9" s="1"/>
  <c r="ALJ53" i="9" s="1"/>
  <c r="ALK53" i="9" s="1"/>
  <c r="ALL53" i="9" s="1"/>
  <c r="ALM53" i="9" s="1"/>
  <c r="ALN53" i="9" s="1"/>
  <c r="ALO53" i="9" s="1"/>
  <c r="ALP53" i="9" s="1"/>
  <c r="ALQ53" i="9" s="1"/>
  <c r="ALR53" i="9" s="1"/>
  <c r="ALS53" i="9" s="1"/>
  <c r="ALT53" i="9" s="1"/>
  <c r="ALU53" i="9" s="1"/>
  <c r="ALV53" i="9" s="1"/>
  <c r="ALW53" i="9" s="1"/>
  <c r="ALX53" i="9" s="1"/>
  <c r="ALY53" i="9" s="1"/>
  <c r="ALZ53" i="9" s="1"/>
  <c r="AMA53" i="9" s="1"/>
  <c r="AMB53" i="9" s="1"/>
  <c r="AMC53" i="9" s="1"/>
  <c r="AMD53" i="9" s="1"/>
  <c r="AME53" i="9" s="1"/>
  <c r="AMF53" i="9" s="1"/>
  <c r="AMG53" i="9" s="1"/>
  <c r="AMH53" i="9" s="1"/>
  <c r="AMI53" i="9" s="1"/>
  <c r="AMJ53" i="9" s="1"/>
  <c r="AMK53" i="9" s="1"/>
  <c r="AML53" i="9" s="1"/>
  <c r="AMM53" i="9" s="1"/>
  <c r="AMN53" i="9" s="1"/>
  <c r="AMO53" i="9" s="1"/>
  <c r="AMP53" i="9" s="1"/>
  <c r="AMQ53" i="9" s="1"/>
  <c r="AMR53" i="9" s="1"/>
  <c r="AMS53" i="9" s="1"/>
  <c r="AMT53" i="9" s="1"/>
  <c r="AMU53" i="9" s="1"/>
  <c r="AMV53" i="9" s="1"/>
  <c r="AMW53" i="9" s="1"/>
  <c r="AMX53" i="9" s="1"/>
  <c r="AMY53" i="9" s="1"/>
  <c r="AMZ53" i="9" s="1"/>
  <c r="ANA53" i="9" s="1"/>
  <c r="ANB53" i="9" s="1"/>
  <c r="ANC53" i="9" s="1"/>
  <c r="AND53" i="9" s="1"/>
  <c r="ANE53" i="9" s="1"/>
  <c r="ANF53" i="9" s="1"/>
  <c r="ANG53" i="9" s="1"/>
  <c r="ANH53" i="9" s="1"/>
  <c r="ANI53" i="9" s="1"/>
  <c r="ANJ53" i="9" s="1"/>
  <c r="ANK53" i="9" s="1"/>
  <c r="ANL53" i="9" s="1"/>
  <c r="ANM53" i="9" s="1"/>
  <c r="ANN53" i="9" s="1"/>
  <c r="ANO53" i="9" s="1"/>
  <c r="ANP53" i="9" s="1"/>
  <c r="ANQ53" i="9" s="1"/>
  <c r="ANR53" i="9" s="1"/>
  <c r="ANS53" i="9" s="1"/>
  <c r="ANT53" i="9" s="1"/>
  <c r="ANU53" i="9" s="1"/>
  <c r="ANV53" i="9" s="1"/>
  <c r="ANW53" i="9" s="1"/>
  <c r="ANX53" i="9" s="1"/>
  <c r="ANY53" i="9" s="1"/>
  <c r="ANZ53" i="9" s="1"/>
  <c r="AOA53" i="9" s="1"/>
  <c r="AOB53" i="9" s="1"/>
  <c r="AOC53" i="9" s="1"/>
  <c r="AOD53" i="9" s="1"/>
  <c r="AOE53" i="9" s="1"/>
  <c r="AOF53" i="9" s="1"/>
  <c r="AOG53" i="9" s="1"/>
  <c r="AOH53" i="9" s="1"/>
  <c r="AOI53" i="9" s="1"/>
  <c r="AOJ53" i="9" s="1"/>
  <c r="AOK53" i="9" s="1"/>
  <c r="AOL53" i="9" s="1"/>
  <c r="AOM53" i="9" s="1"/>
  <c r="AON53" i="9" s="1"/>
  <c r="AOO53" i="9" s="1"/>
  <c r="AOP53" i="9" s="1"/>
  <c r="AOQ53" i="9" s="1"/>
  <c r="AOR53" i="9" s="1"/>
  <c r="AOS53" i="9" s="1"/>
  <c r="AOT53" i="9" s="1"/>
  <c r="AOU53" i="9" s="1"/>
  <c r="AOV53" i="9" s="1"/>
  <c r="AOW53" i="9" s="1"/>
  <c r="AOX53" i="9" s="1"/>
  <c r="AOY53" i="9" s="1"/>
  <c r="AOZ53" i="9" s="1"/>
  <c r="APA53" i="9" s="1"/>
  <c r="APB53" i="9" s="1"/>
  <c r="APC53" i="9" s="1"/>
  <c r="APD53" i="9" s="1"/>
  <c r="APE53" i="9" s="1"/>
  <c r="APF53" i="9" s="1"/>
  <c r="APG53" i="9" s="1"/>
  <c r="APH53" i="9" s="1"/>
  <c r="API53" i="9" s="1"/>
  <c r="APJ53" i="9" s="1"/>
  <c r="APK53" i="9" s="1"/>
  <c r="APL53" i="9" s="1"/>
  <c r="APM53" i="9" s="1"/>
  <c r="APN53" i="9" s="1"/>
  <c r="APO53" i="9" s="1"/>
  <c r="APP53" i="9" s="1"/>
  <c r="APQ53" i="9" s="1"/>
  <c r="APR53" i="9" s="1"/>
  <c r="APS53" i="9" s="1"/>
  <c r="APT53" i="9" s="1"/>
  <c r="APU53" i="9" s="1"/>
  <c r="APV53" i="9" s="1"/>
  <c r="APW53" i="9" s="1"/>
  <c r="APX53" i="9" s="1"/>
  <c r="APY53" i="9" s="1"/>
  <c r="APZ53" i="9" s="1"/>
  <c r="AQA53" i="9" s="1"/>
  <c r="AQB53" i="9" s="1"/>
  <c r="AQC53" i="9" s="1"/>
  <c r="AQD53" i="9" s="1"/>
  <c r="AQE53" i="9" s="1"/>
  <c r="AQF53" i="9" s="1"/>
  <c r="AQG53" i="9" s="1"/>
  <c r="AQH53" i="9" s="1"/>
  <c r="AQI53" i="9" s="1"/>
  <c r="AQJ53" i="9" s="1"/>
  <c r="AQK53" i="9" s="1"/>
  <c r="AQL53" i="9" s="1"/>
  <c r="AQM53" i="9" s="1"/>
  <c r="AQN53" i="9" s="1"/>
  <c r="AQO53" i="9" s="1"/>
  <c r="AQP53" i="9" s="1"/>
  <c r="AQQ53" i="9" s="1"/>
  <c r="AQR53" i="9" s="1"/>
  <c r="AQS53" i="9" s="1"/>
  <c r="AQT53" i="9" s="1"/>
  <c r="AQU53" i="9" s="1"/>
  <c r="AQV53" i="9" s="1"/>
  <c r="AQW53" i="9" s="1"/>
  <c r="AQX53" i="9" s="1"/>
  <c r="AQY53" i="9" s="1"/>
  <c r="AQZ53" i="9" s="1"/>
  <c r="ARA53" i="9" s="1"/>
  <c r="ARB53" i="9" s="1"/>
  <c r="ARC53" i="9" s="1"/>
  <c r="ARD53" i="9" s="1"/>
  <c r="ARE53" i="9" s="1"/>
  <c r="ARF53" i="9" s="1"/>
  <c r="ARG53" i="9" s="1"/>
  <c r="ARH53" i="9" s="1"/>
  <c r="ARI53" i="9" s="1"/>
  <c r="ARJ53" i="9" s="1"/>
  <c r="ARK53" i="9" s="1"/>
  <c r="ARL53" i="9" s="1"/>
  <c r="ARM53" i="9" s="1"/>
  <c r="ARN53" i="9" s="1"/>
  <c r="ARO53" i="9" s="1"/>
  <c r="ARP53" i="9" s="1"/>
  <c r="ARQ53" i="9" s="1"/>
  <c r="ARR53" i="9" s="1"/>
  <c r="ARS53" i="9" s="1"/>
  <c r="ART53" i="9" s="1"/>
  <c r="ARU53" i="9" s="1"/>
  <c r="ARV53" i="9" s="1"/>
  <c r="ARW53" i="9" s="1"/>
  <c r="ARX53" i="9" s="1"/>
  <c r="ARY53" i="9" s="1"/>
  <c r="ARZ53" i="9" s="1"/>
  <c r="ASA53" i="9" s="1"/>
  <c r="ASB53" i="9" s="1"/>
  <c r="ASC53" i="9" s="1"/>
  <c r="ASD53" i="9" s="1"/>
  <c r="ASE53" i="9" s="1"/>
  <c r="ASF53" i="9" s="1"/>
  <c r="ASG53" i="9" s="1"/>
  <c r="ASH53" i="9" s="1"/>
  <c r="ASI53" i="9" s="1"/>
  <c r="ASJ53" i="9" s="1"/>
  <c r="ASK53" i="9" s="1"/>
  <c r="ASL53" i="9" s="1"/>
  <c r="ASM53" i="9" s="1"/>
  <c r="ASN53" i="9" s="1"/>
  <c r="ASO53" i="9" s="1"/>
  <c r="ASP53" i="9" s="1"/>
  <c r="ASQ53" i="9" s="1"/>
  <c r="ASR53" i="9" s="1"/>
  <c r="ASS53" i="9" s="1"/>
  <c r="AST53" i="9" s="1"/>
  <c r="ASU53" i="9" s="1"/>
  <c r="ASV53" i="9" s="1"/>
  <c r="ASW53" i="9" s="1"/>
  <c r="ASX53" i="9" s="1"/>
  <c r="ASY53" i="9" s="1"/>
  <c r="ASZ53" i="9" s="1"/>
  <c r="ATA53" i="9" s="1"/>
  <c r="ATB53" i="9" s="1"/>
  <c r="ATC53" i="9" s="1"/>
  <c r="ATD53" i="9" s="1"/>
  <c r="ATE53" i="9" s="1"/>
  <c r="ATF53" i="9" s="1"/>
  <c r="ATG53" i="9" s="1"/>
  <c r="ATH53" i="9" s="1"/>
  <c r="ATI53" i="9" s="1"/>
  <c r="ATJ53" i="9" s="1"/>
  <c r="ATK53" i="9" s="1"/>
  <c r="ATL53" i="9" s="1"/>
  <c r="ATM53" i="9" s="1"/>
  <c r="ATN53" i="9" s="1"/>
  <c r="ATO53" i="9" s="1"/>
  <c r="ATP53" i="9" s="1"/>
  <c r="ATQ53" i="9" s="1"/>
  <c r="ATR53" i="9" s="1"/>
  <c r="ATS53" i="9" s="1"/>
  <c r="ATT53" i="9" s="1"/>
  <c r="ATU53" i="9" s="1"/>
  <c r="ATV53" i="9" s="1"/>
  <c r="ATW53" i="9" s="1"/>
  <c r="ATX53" i="9" s="1"/>
  <c r="ATY53" i="9" s="1"/>
  <c r="ATZ53" i="9" s="1"/>
  <c r="AUA53" i="9" s="1"/>
  <c r="AUB53" i="9" s="1"/>
  <c r="AUC53" i="9" s="1"/>
  <c r="AUD53" i="9" s="1"/>
  <c r="AUE53" i="9" s="1"/>
  <c r="AUF53" i="9" s="1"/>
  <c r="AUG53" i="9" s="1"/>
  <c r="AUH53" i="9" s="1"/>
  <c r="AUI53" i="9" s="1"/>
  <c r="AUJ53" i="9" s="1"/>
  <c r="AUK53" i="9" s="1"/>
  <c r="AUL53" i="9" s="1"/>
  <c r="AUM53" i="9" s="1"/>
  <c r="AUN53" i="9" s="1"/>
  <c r="AUO53" i="9" s="1"/>
  <c r="AUP53" i="9" s="1"/>
  <c r="AUQ53" i="9" s="1"/>
  <c r="AUR53" i="9" s="1"/>
  <c r="AUS53" i="9" s="1"/>
  <c r="AUT53" i="9" s="1"/>
  <c r="AUU53" i="9" s="1"/>
  <c r="AUV53" i="9" s="1"/>
  <c r="AUW53" i="9" s="1"/>
  <c r="AUX53" i="9" s="1"/>
  <c r="AUY53" i="9" s="1"/>
  <c r="AUZ53" i="9" s="1"/>
  <c r="AVA53" i="9" s="1"/>
  <c r="AVB53" i="9" s="1"/>
  <c r="AVC53" i="9" s="1"/>
  <c r="AVD53" i="9" s="1"/>
  <c r="AVE53" i="9" s="1"/>
  <c r="AVF53" i="9" s="1"/>
  <c r="AVG53" i="9" s="1"/>
  <c r="AVH53" i="9" s="1"/>
  <c r="AVI53" i="9" s="1"/>
  <c r="AVJ53" i="9" s="1"/>
  <c r="AVK53" i="9" s="1"/>
  <c r="AVL53" i="9" s="1"/>
  <c r="AVM53" i="9" s="1"/>
  <c r="AVN53" i="9" s="1"/>
  <c r="AVO53" i="9" s="1"/>
  <c r="AVP53" i="9" s="1"/>
  <c r="AVQ53" i="9" s="1"/>
  <c r="AVR53" i="9" s="1"/>
  <c r="AVS53" i="9" s="1"/>
  <c r="AVT53" i="9" s="1"/>
  <c r="AVU53" i="9" s="1"/>
  <c r="AVV53" i="9" s="1"/>
  <c r="AVW53" i="9" s="1"/>
  <c r="AVX53" i="9" s="1"/>
  <c r="AVY53" i="9" s="1"/>
  <c r="AVZ53" i="9" s="1"/>
  <c r="AWA53" i="9" s="1"/>
  <c r="AWB53" i="9" s="1"/>
  <c r="AWC53" i="9" s="1"/>
  <c r="AWD53" i="9" s="1"/>
  <c r="AWE53" i="9" s="1"/>
  <c r="AWF53" i="9" s="1"/>
  <c r="AWG53" i="9" s="1"/>
  <c r="AWH53" i="9" s="1"/>
  <c r="AWI53" i="9" s="1"/>
  <c r="AWJ53" i="9" s="1"/>
  <c r="AWK53" i="9" s="1"/>
  <c r="AWL53" i="9" s="1"/>
  <c r="AWM53" i="9" s="1"/>
  <c r="AWN53" i="9" s="1"/>
  <c r="AWO53" i="9" s="1"/>
  <c r="AWP53" i="9" s="1"/>
  <c r="AWQ53" i="9" s="1"/>
  <c r="AWR53" i="9" s="1"/>
  <c r="AWS53" i="9" s="1"/>
  <c r="AWT53" i="9" s="1"/>
  <c r="AWU53" i="9" s="1"/>
  <c r="AWV53" i="9" s="1"/>
  <c r="AWW53" i="9" s="1"/>
  <c r="AWX53" i="9" s="1"/>
  <c r="AWY53" i="9" s="1"/>
  <c r="AWZ53" i="9" s="1"/>
  <c r="AXA53" i="9" s="1"/>
  <c r="AXB53" i="9" s="1"/>
  <c r="AXC53" i="9" s="1"/>
  <c r="AXD53" i="9" s="1"/>
  <c r="AXE53" i="9" s="1"/>
  <c r="AXF53" i="9" s="1"/>
  <c r="AXG53" i="9" s="1"/>
  <c r="AXH53" i="9" s="1"/>
  <c r="AXI53" i="9" s="1"/>
  <c r="AXJ53" i="9" s="1"/>
  <c r="AXK53" i="9" s="1"/>
  <c r="AXL53" i="9" s="1"/>
  <c r="AXM53" i="9" s="1"/>
  <c r="AXN53" i="9" s="1"/>
  <c r="AXO53" i="9" s="1"/>
  <c r="AXP53" i="9" s="1"/>
  <c r="AXQ53" i="9" s="1"/>
  <c r="AXR53" i="9" s="1"/>
  <c r="AXS53" i="9" s="1"/>
  <c r="AXT53" i="9" s="1"/>
  <c r="AXU53" i="9" s="1"/>
  <c r="AXV53" i="9" s="1"/>
  <c r="AXW53" i="9" s="1"/>
  <c r="AXX53" i="9" s="1"/>
  <c r="AXY53" i="9" s="1"/>
  <c r="AXZ53" i="9" s="1"/>
  <c r="AYA53" i="9" s="1"/>
  <c r="AYB53" i="9" s="1"/>
  <c r="AYC53" i="9" s="1"/>
  <c r="AYD53" i="9" s="1"/>
  <c r="AYE53" i="9" s="1"/>
  <c r="AYF53" i="9" s="1"/>
  <c r="AYG53" i="9" s="1"/>
  <c r="AYH53" i="9" s="1"/>
  <c r="AYI53" i="9" s="1"/>
  <c r="AYJ53" i="9" s="1"/>
  <c r="AYK53" i="9" s="1"/>
  <c r="AYL53" i="9" s="1"/>
  <c r="AYM53" i="9" s="1"/>
  <c r="AYN53" i="9" s="1"/>
  <c r="AYO53" i="9" s="1"/>
  <c r="AYP53" i="9" s="1"/>
  <c r="AYQ53" i="9" s="1"/>
  <c r="AYR53" i="9" s="1"/>
  <c r="AYS53" i="9" s="1"/>
  <c r="AYT53" i="9" s="1"/>
  <c r="AYU53" i="9" s="1"/>
  <c r="AYV53" i="9" s="1"/>
  <c r="AYW53" i="9" s="1"/>
  <c r="AYX53" i="9" s="1"/>
  <c r="AYY53" i="9" s="1"/>
  <c r="AYZ53" i="9" s="1"/>
  <c r="AZA53" i="9" s="1"/>
  <c r="AZB53" i="9" s="1"/>
  <c r="AZC53" i="9" s="1"/>
  <c r="AZD53" i="9" s="1"/>
  <c r="AZE53" i="9" s="1"/>
  <c r="AZF53" i="9" s="1"/>
  <c r="AZG53" i="9" s="1"/>
  <c r="AZH53" i="9" s="1"/>
  <c r="AZI53" i="9" s="1"/>
  <c r="AZJ53" i="9" s="1"/>
  <c r="AZK53" i="9" s="1"/>
  <c r="AZL53" i="9" s="1"/>
  <c r="AZM53" i="9" s="1"/>
  <c r="AZN53" i="9" s="1"/>
  <c r="AZO53" i="9" s="1"/>
  <c r="AZP53" i="9" s="1"/>
  <c r="AZQ53" i="9" s="1"/>
  <c r="AZR53" i="9" s="1"/>
  <c r="AZS53" i="9" s="1"/>
  <c r="AZT53" i="9" s="1"/>
  <c r="AZU53" i="9" s="1"/>
  <c r="AZV53" i="9" s="1"/>
  <c r="AZW53" i="9" s="1"/>
  <c r="AZX53" i="9" s="1"/>
  <c r="AZY53" i="9" s="1"/>
  <c r="AZZ53" i="9" s="1"/>
  <c r="BAA53" i="9" s="1"/>
  <c r="BAB53" i="9" s="1"/>
  <c r="BAC53" i="9" s="1"/>
  <c r="BAD53" i="9" s="1"/>
  <c r="BAE53" i="9" s="1"/>
  <c r="BAF53" i="9" s="1"/>
  <c r="BAG53" i="9" s="1"/>
  <c r="BAH53" i="9" s="1"/>
  <c r="BAI53" i="9" s="1"/>
  <c r="BAJ53" i="9" s="1"/>
  <c r="BAK53" i="9" s="1"/>
  <c r="BAL53" i="9" s="1"/>
  <c r="BAM53" i="9" s="1"/>
  <c r="BAN53" i="9" s="1"/>
  <c r="BAO53" i="9" s="1"/>
  <c r="BAP53" i="9" s="1"/>
  <c r="BAQ53" i="9" s="1"/>
  <c r="BAR53" i="9" s="1"/>
  <c r="BAS53" i="9" s="1"/>
  <c r="BAT53" i="9" s="1"/>
  <c r="BAU53" i="9" s="1"/>
  <c r="BAV53" i="9" s="1"/>
  <c r="BAW53" i="9" s="1"/>
  <c r="BAX53" i="9" s="1"/>
  <c r="BAY53" i="9" s="1"/>
  <c r="BAZ53" i="9" s="1"/>
  <c r="BBA53" i="9" s="1"/>
  <c r="BBB53" i="9" s="1"/>
  <c r="BBC53" i="9" s="1"/>
  <c r="BBD53" i="9" s="1"/>
  <c r="BBE53" i="9" s="1"/>
  <c r="BBF53" i="9" s="1"/>
  <c r="BBG53" i="9" s="1"/>
  <c r="BBH53" i="9" s="1"/>
  <c r="BBI53" i="9" s="1"/>
  <c r="BBJ53" i="9" s="1"/>
  <c r="BBK53" i="9" s="1"/>
  <c r="BBL53" i="9" s="1"/>
  <c r="BBM53" i="9" s="1"/>
  <c r="BBN53" i="9" s="1"/>
  <c r="BBO53" i="9" s="1"/>
  <c r="BBP53" i="9" s="1"/>
  <c r="BBQ53" i="9" s="1"/>
  <c r="BBR53" i="9" s="1"/>
  <c r="BBS53" i="9" s="1"/>
  <c r="BBT53" i="9" s="1"/>
  <c r="BBU53" i="9" s="1"/>
  <c r="BBV53" i="9" s="1"/>
  <c r="BBW53" i="9" s="1"/>
  <c r="BBX53" i="9" s="1"/>
  <c r="BBY53" i="9" s="1"/>
  <c r="BBZ53" i="9" s="1"/>
  <c r="BCA53" i="9" s="1"/>
  <c r="BCB53" i="9" s="1"/>
  <c r="BCC53" i="9" s="1"/>
  <c r="BCD53" i="9" s="1"/>
  <c r="BCE53" i="9" s="1"/>
  <c r="BCF53" i="9" s="1"/>
  <c r="BCG53" i="9" s="1"/>
  <c r="BCH53" i="9" s="1"/>
  <c r="BCI53" i="9" s="1"/>
  <c r="BCJ53" i="9" s="1"/>
  <c r="BCK53" i="9" s="1"/>
  <c r="BCL53" i="9" s="1"/>
  <c r="BCM53" i="9" s="1"/>
  <c r="BCN53" i="9" s="1"/>
  <c r="BCO53" i="9" s="1"/>
  <c r="BCP53" i="9" s="1"/>
  <c r="BCQ53" i="9" s="1"/>
  <c r="BCR53" i="9" s="1"/>
  <c r="BCS53" i="9" s="1"/>
  <c r="BCT53" i="9" s="1"/>
  <c r="BCU53" i="9" s="1"/>
  <c r="BCV53" i="9" s="1"/>
  <c r="BCW53" i="9" s="1"/>
  <c r="BCX53" i="9" s="1"/>
  <c r="BCY53" i="9" s="1"/>
  <c r="BCZ53" i="9" s="1"/>
  <c r="BDA53" i="9" s="1"/>
  <c r="BDB53" i="9" s="1"/>
  <c r="BDC53" i="9" s="1"/>
  <c r="BDD53" i="9" s="1"/>
  <c r="BDE53" i="9" s="1"/>
  <c r="BDF53" i="9" s="1"/>
  <c r="BDG53" i="9" s="1"/>
  <c r="BDH53" i="9" s="1"/>
  <c r="BDI53" i="9" s="1"/>
  <c r="BDJ53" i="9" s="1"/>
  <c r="BDK53" i="9" s="1"/>
  <c r="BDL53" i="9" s="1"/>
  <c r="BDM53" i="9" s="1"/>
  <c r="BDN53" i="9" s="1"/>
  <c r="BDO53" i="9" s="1"/>
  <c r="BDP53" i="9" s="1"/>
  <c r="BDQ53" i="9" s="1"/>
  <c r="BDR53" i="9" s="1"/>
  <c r="BDS53" i="9" s="1"/>
  <c r="BDT53" i="9" s="1"/>
  <c r="BDU53" i="9" s="1"/>
  <c r="BDV53" i="9" s="1"/>
  <c r="BDW53" i="9" s="1"/>
  <c r="BDX53" i="9" s="1"/>
  <c r="BDY53" i="9" s="1"/>
  <c r="BDZ53" i="9" s="1"/>
  <c r="BEA53" i="9" s="1"/>
  <c r="BEB53" i="9" s="1"/>
  <c r="BEC53" i="9" s="1"/>
  <c r="BED53" i="9" s="1"/>
  <c r="BEE53" i="9" s="1"/>
  <c r="BEF53" i="9" s="1"/>
  <c r="BEG53" i="9" s="1"/>
  <c r="BEH53" i="9" s="1"/>
  <c r="BEI53" i="9" s="1"/>
  <c r="BEJ53" i="9" s="1"/>
  <c r="BEK53" i="9" s="1"/>
  <c r="BEL53" i="9" s="1"/>
  <c r="BEM53" i="9" s="1"/>
  <c r="BEN53" i="9" s="1"/>
  <c r="BEO53" i="9" s="1"/>
  <c r="BEP53" i="9" s="1"/>
  <c r="BEQ53" i="9" s="1"/>
  <c r="BER53" i="9" s="1"/>
  <c r="BES53" i="9" s="1"/>
  <c r="BET53" i="9" s="1"/>
  <c r="BEU53" i="9" s="1"/>
  <c r="BEV53" i="9" s="1"/>
  <c r="BEW53" i="9" s="1"/>
  <c r="BEX53" i="9" s="1"/>
  <c r="BEY53" i="9" s="1"/>
  <c r="BEZ53" i="9" s="1"/>
  <c r="BFA53" i="9" s="1"/>
  <c r="BFB53" i="9" s="1"/>
  <c r="BFC53" i="9" s="1"/>
  <c r="BFD53" i="9" s="1"/>
  <c r="BFE53" i="9" s="1"/>
  <c r="BFF53" i="9" s="1"/>
  <c r="BFG53" i="9" s="1"/>
  <c r="BFH53" i="9" s="1"/>
  <c r="BFI53" i="9" s="1"/>
  <c r="BFJ53" i="9" s="1"/>
  <c r="BFK53" i="9" s="1"/>
  <c r="BFL53" i="9" s="1"/>
  <c r="BFM53" i="9" s="1"/>
  <c r="BFN53" i="9" s="1"/>
  <c r="BFO53" i="9" s="1"/>
  <c r="BFP53" i="9" s="1"/>
  <c r="BFQ53" i="9" s="1"/>
  <c r="BFR53" i="9" s="1"/>
  <c r="BFS53" i="9" s="1"/>
  <c r="BFT53" i="9" s="1"/>
  <c r="BFU53" i="9" s="1"/>
  <c r="BFV53" i="9" s="1"/>
  <c r="BFW53" i="9" s="1"/>
  <c r="BFX53" i="9" s="1"/>
  <c r="BFY53" i="9" s="1"/>
  <c r="BFZ53" i="9" s="1"/>
  <c r="BGA53" i="9" s="1"/>
  <c r="BGB53" i="9" s="1"/>
  <c r="BGC53" i="9" s="1"/>
  <c r="BGD53" i="9" s="1"/>
  <c r="BGE53" i="9" s="1"/>
  <c r="BGF53" i="9" s="1"/>
  <c r="BGG53" i="9" s="1"/>
  <c r="BGH53" i="9" s="1"/>
  <c r="BGI53" i="9" s="1"/>
  <c r="BGJ53" i="9" s="1"/>
  <c r="BGK53" i="9" s="1"/>
  <c r="BGL53" i="9" s="1"/>
  <c r="BGM53" i="9" s="1"/>
  <c r="BGN53" i="9" s="1"/>
  <c r="BGO53" i="9" s="1"/>
  <c r="BGP53" i="9" s="1"/>
  <c r="BGQ53" i="9" s="1"/>
  <c r="BGR53" i="9" s="1"/>
  <c r="BGS53" i="9" s="1"/>
  <c r="BGT53" i="9" s="1"/>
  <c r="BGU53" i="9" s="1"/>
  <c r="BGV53" i="9" s="1"/>
  <c r="BGW53" i="9" s="1"/>
  <c r="BGX53" i="9" s="1"/>
  <c r="BGY53" i="9" s="1"/>
  <c r="BGZ53" i="9" s="1"/>
  <c r="BHA53" i="9" s="1"/>
  <c r="BHB53" i="9" s="1"/>
  <c r="BHC53" i="9" s="1"/>
  <c r="BHD53" i="9" s="1"/>
  <c r="BHE53" i="9" s="1"/>
  <c r="BHF53" i="9" s="1"/>
  <c r="BHG53" i="9" s="1"/>
  <c r="BHH53" i="9" s="1"/>
  <c r="BHI53" i="9" s="1"/>
  <c r="BHJ53" i="9" s="1"/>
  <c r="BHK53" i="9" s="1"/>
  <c r="BHL53" i="9" s="1"/>
  <c r="BHM53" i="9" s="1"/>
  <c r="BHN53" i="9" s="1"/>
  <c r="BHO53" i="9" s="1"/>
  <c r="BHP53" i="9" s="1"/>
  <c r="BHQ53" i="9" s="1"/>
  <c r="BHR53" i="9" s="1"/>
  <c r="BHS53" i="9" s="1"/>
  <c r="BHT53" i="9" s="1"/>
  <c r="BHU53" i="9" s="1"/>
  <c r="BHV53" i="9" s="1"/>
  <c r="BHW53" i="9" s="1"/>
  <c r="BHX53" i="9" s="1"/>
  <c r="BHY53" i="9" s="1"/>
  <c r="BHZ53" i="9" s="1"/>
  <c r="BIA53" i="9" s="1"/>
  <c r="BIB53" i="9" s="1"/>
  <c r="BIC53" i="9" s="1"/>
  <c r="BID53" i="9" s="1"/>
  <c r="BIE53" i="9" s="1"/>
  <c r="BIF53" i="9" s="1"/>
  <c r="BIG53" i="9" s="1"/>
  <c r="BIH53" i="9" s="1"/>
  <c r="BII53" i="9" s="1"/>
  <c r="BIJ53" i="9" s="1"/>
  <c r="BIK53" i="9" s="1"/>
  <c r="BIL53" i="9" s="1"/>
  <c r="BIM53" i="9" s="1"/>
  <c r="BIN53" i="9" s="1"/>
  <c r="BIO53" i="9" s="1"/>
  <c r="BIP53" i="9" s="1"/>
  <c r="BIQ53" i="9" s="1"/>
  <c r="BIR53" i="9" s="1"/>
  <c r="BIS53" i="9" s="1"/>
  <c r="BIT53" i="9" s="1"/>
  <c r="BIU53" i="9" s="1"/>
  <c r="BIV53" i="9" s="1"/>
  <c r="BIW53" i="9" s="1"/>
  <c r="BIX53" i="9" s="1"/>
  <c r="BIY53" i="9" s="1"/>
  <c r="BIZ53" i="9" s="1"/>
  <c r="BJA53" i="9" s="1"/>
  <c r="BJB53" i="9" s="1"/>
  <c r="BJC53" i="9" s="1"/>
  <c r="BJD53" i="9" s="1"/>
  <c r="BJE53" i="9" s="1"/>
  <c r="BJF53" i="9" s="1"/>
  <c r="BJG53" i="9" s="1"/>
  <c r="BJH53" i="9" s="1"/>
  <c r="BJI53" i="9" s="1"/>
  <c r="BJJ53" i="9" s="1"/>
  <c r="BJK53" i="9" s="1"/>
  <c r="BJL53" i="9" s="1"/>
  <c r="BJM53" i="9" s="1"/>
  <c r="BJN53" i="9" s="1"/>
  <c r="BJO53" i="9" s="1"/>
  <c r="BJP53" i="9" s="1"/>
  <c r="BJQ53" i="9" s="1"/>
  <c r="BJR53" i="9" s="1"/>
  <c r="BJS53" i="9" s="1"/>
  <c r="BJT53" i="9" s="1"/>
  <c r="BJU53" i="9" s="1"/>
  <c r="BJV53" i="9" s="1"/>
  <c r="BJW53" i="9" s="1"/>
  <c r="BJX53" i="9" s="1"/>
  <c r="BJY53" i="9" s="1"/>
  <c r="BJZ53" i="9" s="1"/>
  <c r="BKA53" i="9" s="1"/>
  <c r="BKB53" i="9" s="1"/>
  <c r="BKC53" i="9" s="1"/>
  <c r="BKD53" i="9" s="1"/>
  <c r="BKE53" i="9" s="1"/>
  <c r="BKF53" i="9" s="1"/>
  <c r="BKG53" i="9" s="1"/>
  <c r="BKH53" i="9" s="1"/>
  <c r="BKI53" i="9" s="1"/>
  <c r="BKJ53" i="9" s="1"/>
  <c r="BKK53" i="9" s="1"/>
  <c r="BKL53" i="9" s="1"/>
  <c r="BKM53" i="9" s="1"/>
  <c r="BKN53" i="9" s="1"/>
  <c r="BKO53" i="9" s="1"/>
  <c r="BKP53" i="9" s="1"/>
  <c r="BKQ53" i="9" s="1"/>
  <c r="BKR53" i="9" s="1"/>
  <c r="BKS53" i="9" s="1"/>
  <c r="BKT53" i="9" s="1"/>
  <c r="BKU53" i="9" s="1"/>
  <c r="BKV53" i="9" s="1"/>
  <c r="BKW53" i="9" s="1"/>
  <c r="BKX53" i="9" s="1"/>
  <c r="BKY53" i="9" s="1"/>
  <c r="BKZ53" i="9" s="1"/>
  <c r="BLA53" i="9" s="1"/>
  <c r="BLB53" i="9" s="1"/>
  <c r="BLC53" i="9" s="1"/>
  <c r="BLD53" i="9" s="1"/>
  <c r="BLE53" i="9" s="1"/>
  <c r="BLF53" i="9" s="1"/>
  <c r="BLG53" i="9" s="1"/>
  <c r="BLH53" i="9" s="1"/>
  <c r="BLI53" i="9" s="1"/>
  <c r="BLJ53" i="9" s="1"/>
  <c r="BLK53" i="9" s="1"/>
  <c r="BLL53" i="9" s="1"/>
  <c r="BLM53" i="9" s="1"/>
  <c r="BLN53" i="9" s="1"/>
  <c r="BLO53" i="9" s="1"/>
  <c r="BLP53" i="9" s="1"/>
  <c r="BLQ53" i="9" s="1"/>
  <c r="BLR53" i="9" s="1"/>
  <c r="BLS53" i="9" s="1"/>
  <c r="BLT53" i="9" s="1"/>
  <c r="BLU53" i="9" s="1"/>
  <c r="BLV53" i="9" s="1"/>
  <c r="BLW53" i="9" s="1"/>
  <c r="BLX53" i="9" s="1"/>
  <c r="BLY53" i="9" s="1"/>
  <c r="BLZ53" i="9" s="1"/>
  <c r="BMA53" i="9" s="1"/>
  <c r="BMB53" i="9" s="1"/>
  <c r="BMC53" i="9" s="1"/>
  <c r="BMD53" i="9" s="1"/>
  <c r="BME53" i="9" s="1"/>
  <c r="BMF53" i="9" s="1"/>
  <c r="BMG53" i="9" s="1"/>
  <c r="BMH53" i="9" s="1"/>
  <c r="BMI53" i="9" s="1"/>
  <c r="BMJ53" i="9" s="1"/>
  <c r="BMK53" i="9" s="1"/>
  <c r="BML53" i="9" s="1"/>
  <c r="BMM53" i="9" s="1"/>
  <c r="BMN53" i="9" s="1"/>
  <c r="BMO53" i="9" s="1"/>
  <c r="BMP53" i="9" s="1"/>
  <c r="BMQ53" i="9" s="1"/>
  <c r="BMR53" i="9" s="1"/>
  <c r="BMS53" i="9" s="1"/>
  <c r="BMT53" i="9" s="1"/>
  <c r="BMU53" i="9" s="1"/>
  <c r="BMV53" i="9" s="1"/>
  <c r="BMW53" i="9" s="1"/>
  <c r="BMX53" i="9" s="1"/>
  <c r="BMY53" i="9" s="1"/>
  <c r="BMZ53" i="9" s="1"/>
  <c r="BNA53" i="9" s="1"/>
  <c r="BNB53" i="9" s="1"/>
  <c r="BNC53" i="9" s="1"/>
  <c r="BND53" i="9" s="1"/>
  <c r="BNE53" i="9" s="1"/>
  <c r="BNF53" i="9" s="1"/>
  <c r="BNG53" i="9" s="1"/>
  <c r="BNH53" i="9" s="1"/>
  <c r="BNI53" i="9" s="1"/>
  <c r="BNJ53" i="9" s="1"/>
  <c r="BNK53" i="9" s="1"/>
  <c r="BNL53" i="9" s="1"/>
  <c r="BNM53" i="9" s="1"/>
  <c r="BNN53" i="9" s="1"/>
  <c r="BNO53" i="9" s="1"/>
  <c r="BNP53" i="9" s="1"/>
  <c r="BNQ53" i="9" s="1"/>
  <c r="BNR53" i="9" s="1"/>
  <c r="BNS53" i="9" s="1"/>
  <c r="BNT53" i="9" s="1"/>
  <c r="BNU53" i="9" s="1"/>
  <c r="BNV53" i="9" s="1"/>
  <c r="BNW53" i="9" s="1"/>
  <c r="BNX53" i="9" s="1"/>
  <c r="BNY53" i="9" s="1"/>
  <c r="BNZ53" i="9" s="1"/>
  <c r="BOA53" i="9" s="1"/>
  <c r="BOB53" i="9" s="1"/>
  <c r="BOC53" i="9" s="1"/>
  <c r="BOD53" i="9" s="1"/>
  <c r="BOE53" i="9" s="1"/>
  <c r="BOF53" i="9" s="1"/>
  <c r="BOG53" i="9" s="1"/>
  <c r="BOH53" i="9" s="1"/>
  <c r="BOI53" i="9" s="1"/>
  <c r="BOJ53" i="9" s="1"/>
  <c r="BOK53" i="9" s="1"/>
  <c r="BOL53" i="9" s="1"/>
  <c r="BOM53" i="9" s="1"/>
  <c r="BON53" i="9" s="1"/>
  <c r="BOO53" i="9" s="1"/>
  <c r="BOP53" i="9" s="1"/>
  <c r="BOQ53" i="9" s="1"/>
  <c r="BOR53" i="9" s="1"/>
  <c r="BOS53" i="9" s="1"/>
  <c r="BOT53" i="9" s="1"/>
  <c r="BOU53" i="9" s="1"/>
  <c r="BOV53" i="9" s="1"/>
  <c r="BOW53" i="9" s="1"/>
  <c r="BOX53" i="9" s="1"/>
  <c r="BOY53" i="9" s="1"/>
  <c r="BOZ53" i="9" s="1"/>
  <c r="BPA53" i="9" s="1"/>
  <c r="BPB53" i="9" s="1"/>
  <c r="BPC53" i="9" s="1"/>
  <c r="BPD53" i="9" s="1"/>
  <c r="BPE53" i="9" s="1"/>
  <c r="BPF53" i="9" s="1"/>
  <c r="BPG53" i="9" s="1"/>
  <c r="BPH53" i="9" s="1"/>
  <c r="BPI53" i="9" s="1"/>
  <c r="BPJ53" i="9" s="1"/>
  <c r="BPK53" i="9" s="1"/>
  <c r="BPL53" i="9" s="1"/>
  <c r="BPM53" i="9" s="1"/>
  <c r="BPN53" i="9" s="1"/>
  <c r="BPO53" i="9" s="1"/>
  <c r="BPP53" i="9" s="1"/>
  <c r="BPQ53" i="9" s="1"/>
  <c r="BPR53" i="9" s="1"/>
  <c r="BPS53" i="9" s="1"/>
  <c r="BPT53" i="9" s="1"/>
  <c r="BPU53" i="9" s="1"/>
  <c r="BPV53" i="9" s="1"/>
  <c r="BPW53" i="9" s="1"/>
  <c r="BPX53" i="9" s="1"/>
  <c r="BPY53" i="9" s="1"/>
  <c r="BPZ53" i="9" s="1"/>
  <c r="BQA53" i="9" s="1"/>
  <c r="BQB53" i="9" s="1"/>
  <c r="BQC53" i="9" s="1"/>
  <c r="BQD53" i="9" s="1"/>
  <c r="BQE53" i="9" s="1"/>
  <c r="BQF53" i="9" s="1"/>
  <c r="BQG53" i="9" s="1"/>
  <c r="BQH53" i="9" s="1"/>
  <c r="BQI53" i="9" s="1"/>
  <c r="BQJ53" i="9" s="1"/>
  <c r="BQK53" i="9" s="1"/>
  <c r="BQL53" i="9" s="1"/>
  <c r="BQM53" i="9" s="1"/>
  <c r="BQN53" i="9" s="1"/>
  <c r="BQO53" i="9" s="1"/>
  <c r="BQP53" i="9" s="1"/>
  <c r="BQQ53" i="9" s="1"/>
  <c r="BQR53" i="9" s="1"/>
  <c r="BQS53" i="9" s="1"/>
  <c r="BQT53" i="9" s="1"/>
  <c r="BQU53" i="9" s="1"/>
  <c r="BQV53" i="9" s="1"/>
  <c r="BQW53" i="9" s="1"/>
  <c r="BQX53" i="9" s="1"/>
  <c r="BQY53" i="9" s="1"/>
  <c r="BQZ53" i="9" s="1"/>
  <c r="BRA53" i="9" s="1"/>
  <c r="BRB53" i="9" s="1"/>
  <c r="BRC53" i="9" s="1"/>
  <c r="BRD53" i="9" s="1"/>
  <c r="BRE53" i="9" s="1"/>
  <c r="BRF53" i="9" s="1"/>
  <c r="BRG53" i="9" s="1"/>
  <c r="BRH53" i="9" s="1"/>
  <c r="BRI53" i="9" s="1"/>
  <c r="BRJ53" i="9" s="1"/>
  <c r="BRK53" i="9" s="1"/>
  <c r="BRL53" i="9" s="1"/>
  <c r="BRM53" i="9" s="1"/>
  <c r="BRN53" i="9" s="1"/>
  <c r="BRO53" i="9" s="1"/>
  <c r="BRP53" i="9" s="1"/>
  <c r="BRQ53" i="9" s="1"/>
  <c r="BRR53" i="9" s="1"/>
  <c r="BRS53" i="9" s="1"/>
  <c r="BRT53" i="9" s="1"/>
  <c r="BRU53" i="9" s="1"/>
  <c r="BRV53" i="9" s="1"/>
  <c r="BRW53" i="9" s="1"/>
  <c r="BRX53" i="9" s="1"/>
  <c r="BRY53" i="9" s="1"/>
  <c r="BRZ53" i="9" s="1"/>
  <c r="BSA53" i="9" s="1"/>
  <c r="BSB53" i="9" s="1"/>
  <c r="BSC53" i="9" s="1"/>
  <c r="BSD53" i="9" s="1"/>
  <c r="BSE53" i="9" s="1"/>
  <c r="BSF53" i="9" s="1"/>
  <c r="BSG53" i="9" s="1"/>
  <c r="BSH53" i="9" s="1"/>
  <c r="BSI53" i="9" s="1"/>
  <c r="BSJ53" i="9" s="1"/>
  <c r="BSK53" i="9" s="1"/>
  <c r="BSL53" i="9" s="1"/>
  <c r="BSM53" i="9" s="1"/>
  <c r="BSN53" i="9" s="1"/>
  <c r="BSO53" i="9" s="1"/>
  <c r="BSP53" i="9" s="1"/>
  <c r="BSQ53" i="9" s="1"/>
  <c r="BSR53" i="9" s="1"/>
  <c r="BSS53" i="9" s="1"/>
  <c r="BST53" i="9" s="1"/>
  <c r="BSU53" i="9" s="1"/>
  <c r="BSV53" i="9" s="1"/>
  <c r="BSW53" i="9" s="1"/>
  <c r="BSX53" i="9" s="1"/>
  <c r="BSY53" i="9" s="1"/>
  <c r="BSZ53" i="9" s="1"/>
  <c r="BTA53" i="9" s="1"/>
  <c r="BTB53" i="9" s="1"/>
  <c r="BTC53" i="9" s="1"/>
  <c r="BTD53" i="9" s="1"/>
  <c r="BTE53" i="9" s="1"/>
  <c r="BTF53" i="9" s="1"/>
  <c r="BTG53" i="9" s="1"/>
  <c r="BTH53" i="9" s="1"/>
  <c r="BTI53" i="9" s="1"/>
  <c r="BTJ53" i="9" s="1"/>
  <c r="BTK53" i="9" s="1"/>
  <c r="BTL53" i="9" s="1"/>
  <c r="BTM53" i="9" s="1"/>
  <c r="BTN53" i="9" s="1"/>
  <c r="BTO53" i="9" s="1"/>
  <c r="BTP53" i="9" s="1"/>
  <c r="BTQ53" i="9" s="1"/>
  <c r="BTR53" i="9" s="1"/>
  <c r="BTS53" i="9" s="1"/>
  <c r="BTT53" i="9" s="1"/>
  <c r="BTU53" i="9" s="1"/>
  <c r="BTV53" i="9" s="1"/>
  <c r="BTW53" i="9" s="1"/>
  <c r="BTX53" i="9" s="1"/>
  <c r="BTY53" i="9" s="1"/>
  <c r="BTZ53" i="9" s="1"/>
  <c r="BUA53" i="9" s="1"/>
  <c r="BUB53" i="9" s="1"/>
  <c r="BUC53" i="9" s="1"/>
  <c r="BUD53" i="9" s="1"/>
  <c r="BUE53" i="9" s="1"/>
  <c r="BUF53" i="9" s="1"/>
  <c r="BUG53" i="9" s="1"/>
  <c r="BUH53" i="9" s="1"/>
  <c r="BUI53" i="9" s="1"/>
  <c r="BUJ53" i="9" s="1"/>
  <c r="BUK53" i="9" s="1"/>
  <c r="BUL53" i="9" s="1"/>
  <c r="BUM53" i="9" s="1"/>
  <c r="BUN53" i="9" s="1"/>
  <c r="BUO53" i="9" s="1"/>
  <c r="BUP53" i="9" s="1"/>
  <c r="BUQ53" i="9" s="1"/>
  <c r="BUR53" i="9" s="1"/>
  <c r="BUS53" i="9" s="1"/>
  <c r="BUT53" i="9" s="1"/>
  <c r="BUU53" i="9" s="1"/>
  <c r="BUV53" i="9" s="1"/>
  <c r="BUW53" i="9" s="1"/>
  <c r="BUX53" i="9" s="1"/>
  <c r="BUY53" i="9" s="1"/>
  <c r="BUZ53" i="9" s="1"/>
  <c r="BVA53" i="9" s="1"/>
  <c r="BVB53" i="9" s="1"/>
  <c r="BVC53" i="9" s="1"/>
  <c r="BVD53" i="9" s="1"/>
  <c r="BVE53" i="9" s="1"/>
  <c r="BVF53" i="9" s="1"/>
  <c r="BVG53" i="9" s="1"/>
  <c r="BVH53" i="9" s="1"/>
  <c r="BVI53" i="9" s="1"/>
  <c r="BVJ53" i="9" s="1"/>
  <c r="BVK53" i="9" s="1"/>
  <c r="BVL53" i="9" s="1"/>
  <c r="BVM53" i="9" s="1"/>
  <c r="BVN53" i="9" s="1"/>
  <c r="BVO53" i="9" s="1"/>
  <c r="BVP53" i="9" s="1"/>
  <c r="BVQ53" i="9" s="1"/>
  <c r="BVR53" i="9" s="1"/>
  <c r="BVS53" i="9" s="1"/>
  <c r="BVT53" i="9" s="1"/>
  <c r="BVU53" i="9" s="1"/>
  <c r="BVV53" i="9" s="1"/>
  <c r="BVW53" i="9" s="1"/>
  <c r="BVX53" i="9" s="1"/>
  <c r="BVY53" i="9" s="1"/>
  <c r="BVZ53" i="9" s="1"/>
  <c r="BWA53" i="9" s="1"/>
  <c r="BWB53" i="9" s="1"/>
  <c r="BWC53" i="9" s="1"/>
  <c r="BWD53" i="9" s="1"/>
  <c r="BWE53" i="9" s="1"/>
  <c r="BWF53" i="9" s="1"/>
  <c r="BWG53" i="9" s="1"/>
  <c r="BWH53" i="9" s="1"/>
  <c r="BWI53" i="9" s="1"/>
  <c r="BWJ53" i="9" s="1"/>
  <c r="BWK53" i="9" s="1"/>
  <c r="BWL53" i="9" s="1"/>
  <c r="BWM53" i="9" s="1"/>
  <c r="BWN53" i="9" s="1"/>
  <c r="BWO53" i="9" s="1"/>
  <c r="BWP53" i="9" s="1"/>
  <c r="BWQ53" i="9" s="1"/>
  <c r="BWR53" i="9" s="1"/>
  <c r="BWS53" i="9" s="1"/>
  <c r="BWT53" i="9" s="1"/>
  <c r="BWU53" i="9" s="1"/>
  <c r="BWV53" i="9" s="1"/>
  <c r="BWW53" i="9" s="1"/>
  <c r="BWX53" i="9" s="1"/>
  <c r="BWY53" i="9" s="1"/>
  <c r="BWZ53" i="9" s="1"/>
  <c r="BXA53" i="9" s="1"/>
  <c r="BXB53" i="9" s="1"/>
  <c r="BXC53" i="9" s="1"/>
  <c r="BXD53" i="9" s="1"/>
  <c r="BXE53" i="9" s="1"/>
  <c r="BXF53" i="9" s="1"/>
  <c r="BXG53" i="9" s="1"/>
  <c r="BXH53" i="9" s="1"/>
  <c r="BXI53" i="9" s="1"/>
  <c r="BXJ53" i="9" s="1"/>
  <c r="BXK53" i="9" s="1"/>
  <c r="BXL53" i="9" s="1"/>
  <c r="BXM53" i="9" s="1"/>
  <c r="BXN53" i="9" s="1"/>
  <c r="BXO53" i="9" s="1"/>
  <c r="BXP53" i="9" s="1"/>
  <c r="BXQ53" i="9" s="1"/>
  <c r="BXR53" i="9" s="1"/>
  <c r="BXS53" i="9" s="1"/>
  <c r="BXT53" i="9" s="1"/>
  <c r="BXU53" i="9" s="1"/>
  <c r="BXV53" i="9" s="1"/>
  <c r="BXW53" i="9" s="1"/>
  <c r="BXX53" i="9" s="1"/>
  <c r="BXY53" i="9" s="1"/>
  <c r="BXZ53" i="9" s="1"/>
  <c r="BYA53" i="9" s="1"/>
  <c r="BYB53" i="9" s="1"/>
  <c r="BYC53" i="9" s="1"/>
  <c r="BYD53" i="9" s="1"/>
  <c r="BYE53" i="9" s="1"/>
  <c r="BYF53" i="9" s="1"/>
  <c r="BYG53" i="9" s="1"/>
  <c r="BYH53" i="9" s="1"/>
  <c r="BYI53" i="9" s="1"/>
  <c r="BYJ53" i="9" s="1"/>
  <c r="BYK53" i="9" s="1"/>
  <c r="BYL53" i="9" s="1"/>
  <c r="BYM53" i="9" s="1"/>
  <c r="BYN53" i="9" s="1"/>
  <c r="BYO53" i="9" s="1"/>
  <c r="BYP53" i="9" s="1"/>
  <c r="BYQ53" i="9" s="1"/>
  <c r="BYR53" i="9" s="1"/>
  <c r="BYS53" i="9" s="1"/>
  <c r="BYT53" i="9" s="1"/>
  <c r="BYU53" i="9" s="1"/>
  <c r="BYV53" i="9" s="1"/>
  <c r="BYW53" i="9" s="1"/>
  <c r="BYX53" i="9" s="1"/>
  <c r="BYY53" i="9" s="1"/>
  <c r="BYZ53" i="9" s="1"/>
  <c r="BZA53" i="9" s="1"/>
  <c r="BZB53" i="9" s="1"/>
  <c r="BZC53" i="9" s="1"/>
  <c r="BZD53" i="9" s="1"/>
  <c r="BZE53" i="9" s="1"/>
  <c r="BZF53" i="9" s="1"/>
  <c r="BZG53" i="9" s="1"/>
  <c r="BZH53" i="9" s="1"/>
  <c r="BZI53" i="9" s="1"/>
  <c r="BZJ53" i="9" s="1"/>
  <c r="BZK53" i="9" s="1"/>
  <c r="BZL53" i="9" s="1"/>
  <c r="BZM53" i="9" s="1"/>
  <c r="BZN53" i="9" s="1"/>
  <c r="BZO53" i="9" s="1"/>
  <c r="BZP53" i="9" s="1"/>
  <c r="BZQ53" i="9" s="1"/>
  <c r="BZR53" i="9" s="1"/>
  <c r="BZS53" i="9" s="1"/>
  <c r="BZT53" i="9" s="1"/>
  <c r="BZU53" i="9" s="1"/>
  <c r="BZV53" i="9" s="1"/>
  <c r="BZW53" i="9" s="1"/>
  <c r="BZX53" i="9" s="1"/>
  <c r="BZY53" i="9" s="1"/>
  <c r="BZZ53" i="9" s="1"/>
  <c r="CAA53" i="9" s="1"/>
  <c r="CAB53" i="9" s="1"/>
  <c r="CAC53" i="9" s="1"/>
  <c r="CAD53" i="9" s="1"/>
  <c r="CAE53" i="9" s="1"/>
  <c r="CAF53" i="9" s="1"/>
  <c r="CAG53" i="9" s="1"/>
  <c r="CAH53" i="9" s="1"/>
  <c r="CAI53" i="9" s="1"/>
  <c r="CAJ53" i="9" s="1"/>
  <c r="CAK53" i="9" s="1"/>
  <c r="CAL53" i="9" s="1"/>
  <c r="CAM53" i="9" s="1"/>
  <c r="CAN53" i="9" s="1"/>
  <c r="CAO53" i="9" s="1"/>
  <c r="CAP53" i="9" s="1"/>
  <c r="CAQ53" i="9" s="1"/>
  <c r="CAR53" i="9" s="1"/>
  <c r="CAS53" i="9" s="1"/>
  <c r="CAT53" i="9" s="1"/>
  <c r="CAU53" i="9" s="1"/>
  <c r="CAV53" i="9" s="1"/>
  <c r="CAW53" i="9" s="1"/>
  <c r="CAX53" i="9" s="1"/>
  <c r="CAY53" i="9" s="1"/>
  <c r="CAZ53" i="9" s="1"/>
  <c r="CBA53" i="9" s="1"/>
  <c r="CBB53" i="9" s="1"/>
  <c r="CBC53" i="9" s="1"/>
  <c r="CBD53" i="9" s="1"/>
  <c r="CBE53" i="9" s="1"/>
  <c r="CBF53" i="9" s="1"/>
  <c r="CBG53" i="9" s="1"/>
  <c r="CBH53" i="9" s="1"/>
  <c r="CBI53" i="9" s="1"/>
  <c r="CBJ53" i="9" s="1"/>
  <c r="CBK53" i="9" s="1"/>
  <c r="CBL53" i="9" s="1"/>
  <c r="CBM53" i="9" s="1"/>
  <c r="CBN53" i="9" s="1"/>
  <c r="CBO53" i="9" s="1"/>
  <c r="CBP53" i="9" s="1"/>
  <c r="CBQ53" i="9" s="1"/>
  <c r="CBR53" i="9" s="1"/>
  <c r="CBS53" i="9" s="1"/>
  <c r="CBT53" i="9" s="1"/>
  <c r="CBU53" i="9" s="1"/>
  <c r="CBV53" i="9" s="1"/>
  <c r="CBW53" i="9" s="1"/>
  <c r="CBX53" i="9" s="1"/>
  <c r="CBY53" i="9" s="1"/>
  <c r="CBZ53" i="9" s="1"/>
  <c r="CCA53" i="9" s="1"/>
  <c r="CCB53" i="9" s="1"/>
  <c r="CCC53" i="9" s="1"/>
  <c r="CCD53" i="9" s="1"/>
  <c r="CCE53" i="9" s="1"/>
  <c r="CCF53" i="9" s="1"/>
  <c r="CCG53" i="9" s="1"/>
  <c r="CCH53" i="9" s="1"/>
  <c r="CCI53" i="9" s="1"/>
  <c r="CCJ53" i="9" s="1"/>
  <c r="CCK53" i="9" s="1"/>
  <c r="CCL53" i="9" s="1"/>
  <c r="CCM53" i="9" s="1"/>
  <c r="CCN53" i="9" s="1"/>
  <c r="CCO53" i="9" s="1"/>
  <c r="CCP53" i="9" s="1"/>
  <c r="CCQ53" i="9" s="1"/>
  <c r="CCR53" i="9" s="1"/>
  <c r="CCS53" i="9" s="1"/>
  <c r="CCT53" i="9" s="1"/>
  <c r="CCU53" i="9" s="1"/>
  <c r="CCV53" i="9" s="1"/>
  <c r="CCW53" i="9" s="1"/>
  <c r="CCX53" i="9" s="1"/>
  <c r="CCY53" i="9" s="1"/>
  <c r="CCZ53" i="9" s="1"/>
  <c r="CDA53" i="9" s="1"/>
  <c r="CDB53" i="9" s="1"/>
  <c r="CDC53" i="9" s="1"/>
  <c r="CDD53" i="9" s="1"/>
  <c r="CDE53" i="9" s="1"/>
  <c r="CDF53" i="9" s="1"/>
  <c r="CDG53" i="9" s="1"/>
  <c r="CDH53" i="9" s="1"/>
  <c r="CDI53" i="9" s="1"/>
  <c r="CDJ53" i="9" s="1"/>
  <c r="CDK53" i="9" s="1"/>
  <c r="CDL53" i="9" s="1"/>
  <c r="CDM53" i="9" s="1"/>
  <c r="CDN53" i="9" s="1"/>
  <c r="CDO53" i="9" s="1"/>
  <c r="CDP53" i="9" s="1"/>
  <c r="CDQ53" i="9" s="1"/>
  <c r="CDR53" i="9" s="1"/>
  <c r="CDS53" i="9" s="1"/>
  <c r="CDT53" i="9" s="1"/>
  <c r="CDU53" i="9" s="1"/>
  <c r="CDV53" i="9" s="1"/>
  <c r="CDW53" i="9" s="1"/>
  <c r="CDX53" i="9" s="1"/>
  <c r="CDY53" i="9" s="1"/>
  <c r="CDZ53" i="9" s="1"/>
  <c r="CEA53" i="9" s="1"/>
  <c r="CEB53" i="9" s="1"/>
  <c r="CEC53" i="9" s="1"/>
  <c r="CED53" i="9" s="1"/>
  <c r="CEE53" i="9" s="1"/>
  <c r="CEF53" i="9" s="1"/>
  <c r="CEG53" i="9" s="1"/>
  <c r="CEH53" i="9" s="1"/>
  <c r="CEI53" i="9" s="1"/>
  <c r="CEJ53" i="9" s="1"/>
  <c r="CEK53" i="9" s="1"/>
  <c r="CEL53" i="9" s="1"/>
  <c r="CEM53" i="9" s="1"/>
  <c r="CEN53" i="9" s="1"/>
  <c r="CEO53" i="9" s="1"/>
  <c r="CEP53" i="9" s="1"/>
  <c r="CEQ53" i="9" s="1"/>
  <c r="CER53" i="9" s="1"/>
  <c r="CES53" i="9" s="1"/>
  <c r="CET53" i="9" s="1"/>
  <c r="CEU53" i="9" s="1"/>
  <c r="CEV53" i="9" s="1"/>
  <c r="CEW53" i="9" s="1"/>
  <c r="CEX53" i="9" s="1"/>
  <c r="CEY53" i="9" s="1"/>
  <c r="CEZ53" i="9" s="1"/>
  <c r="CFA53" i="9" s="1"/>
  <c r="CFB53" i="9" s="1"/>
  <c r="CFC53" i="9" s="1"/>
  <c r="CFD53" i="9" s="1"/>
  <c r="CFE53" i="9" s="1"/>
  <c r="CFF53" i="9" s="1"/>
  <c r="CFG53" i="9" s="1"/>
  <c r="CFH53" i="9" s="1"/>
  <c r="CFI53" i="9" s="1"/>
  <c r="CFJ53" i="9" s="1"/>
  <c r="CFK53" i="9" s="1"/>
  <c r="CFL53" i="9" s="1"/>
  <c r="CFM53" i="9" s="1"/>
  <c r="CFN53" i="9" s="1"/>
  <c r="CFO53" i="9" s="1"/>
  <c r="CFP53" i="9" s="1"/>
  <c r="CFQ53" i="9" s="1"/>
  <c r="CFR53" i="9" s="1"/>
  <c r="CFS53" i="9" s="1"/>
  <c r="CFT53" i="9" s="1"/>
  <c r="CFU53" i="9" s="1"/>
  <c r="CFV53" i="9" s="1"/>
  <c r="CFW53" i="9" s="1"/>
  <c r="CFX53" i="9" s="1"/>
  <c r="CFY53" i="9" s="1"/>
  <c r="CFZ53" i="9" s="1"/>
  <c r="CGA53" i="9" s="1"/>
  <c r="CGB53" i="9" s="1"/>
  <c r="CGC53" i="9" s="1"/>
  <c r="CGD53" i="9" s="1"/>
  <c r="CGE53" i="9" s="1"/>
  <c r="CGF53" i="9" s="1"/>
  <c r="CGG53" i="9" s="1"/>
  <c r="CGH53" i="9" s="1"/>
  <c r="CGI53" i="9" s="1"/>
  <c r="CGJ53" i="9" s="1"/>
  <c r="CGK53" i="9" s="1"/>
  <c r="CGL53" i="9" s="1"/>
  <c r="CGM53" i="9" s="1"/>
  <c r="CGN53" i="9" s="1"/>
  <c r="CGO53" i="9" s="1"/>
  <c r="CGP53" i="9" s="1"/>
  <c r="CGQ53" i="9" s="1"/>
  <c r="CGR53" i="9" s="1"/>
  <c r="CGS53" i="9" s="1"/>
  <c r="CGT53" i="9" s="1"/>
  <c r="CGU53" i="9" s="1"/>
  <c r="CGV53" i="9" s="1"/>
  <c r="CGW53" i="9" s="1"/>
  <c r="CGX53" i="9" s="1"/>
  <c r="CGY53" i="9" s="1"/>
  <c r="CGZ53" i="9" s="1"/>
  <c r="CHA53" i="9" s="1"/>
  <c r="CHB53" i="9" s="1"/>
  <c r="CHC53" i="9" s="1"/>
  <c r="CHD53" i="9" s="1"/>
  <c r="CHE53" i="9" s="1"/>
  <c r="CHF53" i="9" s="1"/>
  <c r="CHG53" i="9" s="1"/>
  <c r="CHH53" i="9" s="1"/>
  <c r="CHI53" i="9" s="1"/>
  <c r="CHJ53" i="9" s="1"/>
  <c r="CHK53" i="9" s="1"/>
  <c r="CHL53" i="9" s="1"/>
  <c r="CHM53" i="9" s="1"/>
  <c r="CHN53" i="9" s="1"/>
  <c r="CHO53" i="9" s="1"/>
  <c r="CHP53" i="9" s="1"/>
  <c r="CHQ53" i="9" s="1"/>
  <c r="CHR53" i="9" s="1"/>
  <c r="CHS53" i="9" s="1"/>
  <c r="CHT53" i="9" s="1"/>
  <c r="CHU53" i="9" s="1"/>
  <c r="CHV53" i="9" s="1"/>
  <c r="CHW53" i="9" s="1"/>
  <c r="CHX53" i="9" s="1"/>
  <c r="CHY53" i="9" s="1"/>
  <c r="CHZ53" i="9" s="1"/>
  <c r="CIA53" i="9" s="1"/>
  <c r="CIB53" i="9" s="1"/>
  <c r="CIC53" i="9" s="1"/>
  <c r="CID53" i="9" s="1"/>
  <c r="CIE53" i="9" s="1"/>
  <c r="CIF53" i="9" s="1"/>
  <c r="CIG53" i="9" s="1"/>
  <c r="CIH53" i="9" s="1"/>
  <c r="CII53" i="9" s="1"/>
  <c r="CIJ53" i="9" s="1"/>
  <c r="CIK53" i="9" s="1"/>
  <c r="CIL53" i="9" s="1"/>
  <c r="CIM53" i="9" s="1"/>
  <c r="CIN53" i="9" s="1"/>
  <c r="CIO53" i="9" s="1"/>
  <c r="CIP53" i="9" s="1"/>
  <c r="CIQ53" i="9" s="1"/>
  <c r="CIR53" i="9" s="1"/>
  <c r="CIS53" i="9" s="1"/>
  <c r="CIT53" i="9" s="1"/>
  <c r="CIU53" i="9" s="1"/>
  <c r="CIV53" i="9" s="1"/>
  <c r="CIW53" i="9" s="1"/>
  <c r="CIX53" i="9" s="1"/>
  <c r="CIY53" i="9" s="1"/>
  <c r="CIZ53" i="9" s="1"/>
  <c r="CJA53" i="9" s="1"/>
  <c r="CJB53" i="9" s="1"/>
  <c r="CJC53" i="9" s="1"/>
  <c r="CJD53" i="9" s="1"/>
  <c r="CJE53" i="9" s="1"/>
  <c r="CJF53" i="9" s="1"/>
  <c r="CJG53" i="9" s="1"/>
  <c r="CJH53" i="9" s="1"/>
  <c r="CJI53" i="9" s="1"/>
  <c r="CJJ53" i="9" s="1"/>
  <c r="CJK53" i="9" s="1"/>
  <c r="CJL53" i="9" s="1"/>
  <c r="CJM53" i="9" s="1"/>
  <c r="CJN53" i="9" s="1"/>
  <c r="CJO53" i="9" s="1"/>
  <c r="CJP53" i="9" s="1"/>
  <c r="CJQ53" i="9" s="1"/>
  <c r="CJR53" i="9" s="1"/>
  <c r="CJS53" i="9" s="1"/>
  <c r="CJT53" i="9" s="1"/>
  <c r="CJU53" i="9" s="1"/>
  <c r="CJV53" i="9" s="1"/>
  <c r="CJW53" i="9" s="1"/>
  <c r="CJX53" i="9" s="1"/>
  <c r="CJY53" i="9" s="1"/>
  <c r="CJZ53" i="9" s="1"/>
  <c r="CKA53" i="9" s="1"/>
  <c r="CKB53" i="9" s="1"/>
  <c r="CKC53" i="9" s="1"/>
  <c r="CKD53" i="9" s="1"/>
  <c r="CKE53" i="9" s="1"/>
  <c r="CKF53" i="9" s="1"/>
  <c r="CKG53" i="9" s="1"/>
  <c r="CKH53" i="9" s="1"/>
  <c r="CKI53" i="9" s="1"/>
  <c r="CKJ53" i="9" s="1"/>
  <c r="CKK53" i="9" s="1"/>
  <c r="CKL53" i="9" s="1"/>
  <c r="CKM53" i="9" s="1"/>
  <c r="CKN53" i="9" s="1"/>
  <c r="CKO53" i="9" s="1"/>
  <c r="CKP53" i="9" s="1"/>
  <c r="CKQ53" i="9" s="1"/>
  <c r="CKR53" i="9" s="1"/>
  <c r="CKS53" i="9" s="1"/>
  <c r="CKT53" i="9" s="1"/>
  <c r="CKU53" i="9" s="1"/>
  <c r="CKV53" i="9" s="1"/>
  <c r="CKW53" i="9" s="1"/>
  <c r="CKX53" i="9" s="1"/>
  <c r="CKY53" i="9" s="1"/>
  <c r="CKZ53" i="9" s="1"/>
  <c r="CLA53" i="9" s="1"/>
  <c r="CLB53" i="9" s="1"/>
  <c r="CLC53" i="9" s="1"/>
  <c r="CLD53" i="9" s="1"/>
  <c r="CLE53" i="9" s="1"/>
  <c r="CLF53" i="9" s="1"/>
  <c r="CLG53" i="9" s="1"/>
  <c r="CLH53" i="9" s="1"/>
  <c r="CLI53" i="9" s="1"/>
  <c r="CLJ53" i="9" s="1"/>
  <c r="CLK53" i="9" s="1"/>
  <c r="CLL53" i="9" s="1"/>
  <c r="CLM53" i="9" s="1"/>
  <c r="CLN53" i="9" s="1"/>
  <c r="CLO53" i="9" s="1"/>
  <c r="CLP53" i="9" s="1"/>
  <c r="CLQ53" i="9" s="1"/>
  <c r="CLR53" i="9" s="1"/>
  <c r="CLS53" i="9" s="1"/>
  <c r="CLT53" i="9" s="1"/>
  <c r="CLU53" i="9" s="1"/>
  <c r="CLV53" i="9" s="1"/>
  <c r="CLW53" i="9" s="1"/>
  <c r="CLX53" i="9" s="1"/>
  <c r="CLY53" i="9" s="1"/>
  <c r="CLZ53" i="9" s="1"/>
  <c r="CMA53" i="9" s="1"/>
  <c r="CMB53" i="9" s="1"/>
  <c r="CMC53" i="9" s="1"/>
  <c r="CMD53" i="9" s="1"/>
  <c r="CME53" i="9" s="1"/>
  <c r="CMF53" i="9" s="1"/>
  <c r="CMG53" i="9" s="1"/>
  <c r="CMH53" i="9" s="1"/>
  <c r="CMI53" i="9" s="1"/>
  <c r="CMJ53" i="9" s="1"/>
  <c r="CMK53" i="9" s="1"/>
  <c r="CML53" i="9" s="1"/>
  <c r="CMM53" i="9" s="1"/>
  <c r="CMN53" i="9" s="1"/>
  <c r="CMO53" i="9" s="1"/>
  <c r="CMP53" i="9" s="1"/>
  <c r="CMQ53" i="9" s="1"/>
  <c r="CMR53" i="9" s="1"/>
  <c r="CMS53" i="9" s="1"/>
  <c r="CMT53" i="9" s="1"/>
  <c r="CMU53" i="9" s="1"/>
  <c r="CMV53" i="9" s="1"/>
  <c r="CMW53" i="9" s="1"/>
  <c r="CMX53" i="9" s="1"/>
  <c r="CMY53" i="9" s="1"/>
  <c r="CMZ53" i="9" s="1"/>
  <c r="CNA53" i="9" s="1"/>
  <c r="CNB53" i="9" s="1"/>
  <c r="CNC53" i="9" s="1"/>
  <c r="CND53" i="9" s="1"/>
  <c r="CNE53" i="9" s="1"/>
  <c r="CNF53" i="9" s="1"/>
  <c r="CNG53" i="9" s="1"/>
  <c r="CNH53" i="9" s="1"/>
  <c r="CNI53" i="9" s="1"/>
  <c r="CNJ53" i="9" s="1"/>
  <c r="CNK53" i="9" s="1"/>
  <c r="CNL53" i="9" s="1"/>
  <c r="CNM53" i="9" s="1"/>
  <c r="CNN53" i="9" s="1"/>
  <c r="CNO53" i="9" s="1"/>
  <c r="CNP53" i="9" s="1"/>
  <c r="CNQ53" i="9" s="1"/>
  <c r="CNR53" i="9" s="1"/>
  <c r="CNS53" i="9" s="1"/>
  <c r="CNT53" i="9" s="1"/>
  <c r="CNU53" i="9" s="1"/>
  <c r="CNV53" i="9" s="1"/>
  <c r="CNW53" i="9" s="1"/>
  <c r="CNX53" i="9" s="1"/>
  <c r="CNY53" i="9" s="1"/>
  <c r="CNZ53" i="9" s="1"/>
  <c r="COA53" i="9" s="1"/>
  <c r="COB53" i="9" s="1"/>
  <c r="COC53" i="9" s="1"/>
  <c r="COD53" i="9" s="1"/>
  <c r="COE53" i="9" s="1"/>
  <c r="COF53" i="9" s="1"/>
  <c r="COG53" i="9" s="1"/>
  <c r="COH53" i="9" s="1"/>
  <c r="COI53" i="9" s="1"/>
  <c r="COJ53" i="9" s="1"/>
  <c r="COK53" i="9" s="1"/>
  <c r="COL53" i="9" s="1"/>
  <c r="COM53" i="9" s="1"/>
  <c r="CON53" i="9" s="1"/>
  <c r="COO53" i="9" s="1"/>
  <c r="COP53" i="9" s="1"/>
  <c r="COQ53" i="9" s="1"/>
  <c r="COR53" i="9" s="1"/>
  <c r="COS53" i="9" s="1"/>
  <c r="COT53" i="9" s="1"/>
  <c r="COU53" i="9" s="1"/>
  <c r="COV53" i="9" s="1"/>
  <c r="COW53" i="9" s="1"/>
  <c r="COX53" i="9" s="1"/>
  <c r="COY53" i="9" s="1"/>
  <c r="COZ53" i="9" s="1"/>
  <c r="CPA53" i="9" s="1"/>
  <c r="CPB53" i="9" s="1"/>
  <c r="CPC53" i="9" s="1"/>
  <c r="CPD53" i="9" s="1"/>
  <c r="CPE53" i="9" s="1"/>
  <c r="CPF53" i="9" s="1"/>
  <c r="CPG53" i="9" s="1"/>
  <c r="CPH53" i="9" s="1"/>
  <c r="CPI53" i="9" s="1"/>
  <c r="CPJ53" i="9" s="1"/>
  <c r="CPK53" i="9" s="1"/>
  <c r="CPL53" i="9" s="1"/>
  <c r="CPM53" i="9" s="1"/>
  <c r="CPN53" i="9" s="1"/>
  <c r="CPO53" i="9" s="1"/>
  <c r="CPP53" i="9" s="1"/>
  <c r="CPQ53" i="9" s="1"/>
  <c r="CPR53" i="9" s="1"/>
  <c r="CPS53" i="9" s="1"/>
  <c r="CPT53" i="9" s="1"/>
  <c r="CPU53" i="9" s="1"/>
  <c r="CPV53" i="9" s="1"/>
  <c r="CPW53" i="9" s="1"/>
  <c r="CPX53" i="9" s="1"/>
  <c r="CPY53" i="9" s="1"/>
  <c r="CPZ53" i="9" s="1"/>
  <c r="CQA53" i="9" s="1"/>
  <c r="CQB53" i="9" s="1"/>
  <c r="CQC53" i="9" s="1"/>
  <c r="CQD53" i="9" s="1"/>
  <c r="CQE53" i="9" s="1"/>
  <c r="CQF53" i="9" s="1"/>
  <c r="CQG53" i="9" s="1"/>
  <c r="CQH53" i="9" s="1"/>
  <c r="CQI53" i="9" s="1"/>
  <c r="CQJ53" i="9" s="1"/>
  <c r="CQK53" i="9" s="1"/>
  <c r="CQL53" i="9" s="1"/>
  <c r="CQM53" i="9" s="1"/>
  <c r="CQN53" i="9" s="1"/>
  <c r="CQO53" i="9" s="1"/>
  <c r="CQP53" i="9" s="1"/>
  <c r="CQQ53" i="9" s="1"/>
  <c r="CQR53" i="9" s="1"/>
  <c r="CQS53" i="9" s="1"/>
  <c r="CQT53" i="9" s="1"/>
  <c r="CQU53" i="9" s="1"/>
  <c r="CQV53" i="9" s="1"/>
  <c r="CQW53" i="9" s="1"/>
  <c r="CQX53" i="9" s="1"/>
  <c r="CQY53" i="9" s="1"/>
  <c r="CQZ53" i="9" s="1"/>
  <c r="CRA53" i="9" s="1"/>
  <c r="CRB53" i="9" s="1"/>
  <c r="CRC53" i="9" s="1"/>
  <c r="CRD53" i="9" s="1"/>
  <c r="CRE53" i="9" s="1"/>
  <c r="CRF53" i="9" s="1"/>
  <c r="CRG53" i="9" s="1"/>
  <c r="CRH53" i="9" s="1"/>
  <c r="CRI53" i="9" s="1"/>
  <c r="CRJ53" i="9" s="1"/>
  <c r="CRK53" i="9" s="1"/>
  <c r="CRL53" i="9" s="1"/>
  <c r="CRM53" i="9" s="1"/>
  <c r="CRN53" i="9" s="1"/>
  <c r="CRO53" i="9" s="1"/>
  <c r="CRP53" i="9" s="1"/>
  <c r="CRQ53" i="9" s="1"/>
  <c r="CRR53" i="9" s="1"/>
  <c r="CRS53" i="9" s="1"/>
  <c r="CRT53" i="9" s="1"/>
  <c r="CRU53" i="9" s="1"/>
  <c r="CRV53" i="9" s="1"/>
  <c r="CRW53" i="9" s="1"/>
  <c r="CRX53" i="9" s="1"/>
  <c r="CRY53" i="9" s="1"/>
  <c r="CRZ53" i="9" s="1"/>
  <c r="CSA53" i="9" s="1"/>
  <c r="CSB53" i="9" s="1"/>
  <c r="CSC53" i="9" s="1"/>
  <c r="CSD53" i="9" s="1"/>
  <c r="CSE53" i="9" s="1"/>
  <c r="CSF53" i="9" s="1"/>
  <c r="CSG53" i="9" s="1"/>
  <c r="CSH53" i="9" s="1"/>
  <c r="CSI53" i="9" s="1"/>
  <c r="CSJ53" i="9" s="1"/>
  <c r="CSK53" i="9" s="1"/>
  <c r="CSL53" i="9" s="1"/>
  <c r="CSM53" i="9" s="1"/>
  <c r="CSN53" i="9" s="1"/>
  <c r="CSO53" i="9" s="1"/>
  <c r="CSP53" i="9" s="1"/>
  <c r="CSQ53" i="9" s="1"/>
  <c r="CSR53" i="9" s="1"/>
  <c r="CSS53" i="9" s="1"/>
  <c r="CST53" i="9" s="1"/>
  <c r="CSU53" i="9" s="1"/>
  <c r="CSV53" i="9" s="1"/>
  <c r="CSW53" i="9" s="1"/>
  <c r="CSX53" i="9" s="1"/>
  <c r="CSY53" i="9" s="1"/>
  <c r="CSZ53" i="9" s="1"/>
  <c r="CTA53" i="9" s="1"/>
  <c r="CTB53" i="9" s="1"/>
  <c r="CTC53" i="9" s="1"/>
  <c r="CTD53" i="9" s="1"/>
  <c r="CTE53" i="9" s="1"/>
  <c r="CTF53" i="9" s="1"/>
  <c r="CTG53" i="9" s="1"/>
  <c r="CTH53" i="9" s="1"/>
  <c r="CTI53" i="9" s="1"/>
  <c r="CTJ53" i="9" s="1"/>
  <c r="CTK53" i="9" s="1"/>
  <c r="CTL53" i="9" s="1"/>
  <c r="CTM53" i="9" s="1"/>
  <c r="CTN53" i="9" s="1"/>
  <c r="CTO53" i="9" s="1"/>
  <c r="CTP53" i="9" s="1"/>
  <c r="CTQ53" i="9" s="1"/>
  <c r="CTR53" i="9" s="1"/>
  <c r="CTS53" i="9" s="1"/>
  <c r="CTT53" i="9" s="1"/>
  <c r="CTU53" i="9" s="1"/>
  <c r="CTV53" i="9" s="1"/>
  <c r="CTW53" i="9" s="1"/>
  <c r="CTX53" i="9" s="1"/>
  <c r="CTY53" i="9" s="1"/>
  <c r="CTZ53" i="9" s="1"/>
  <c r="CUA53" i="9" s="1"/>
  <c r="CUB53" i="9" s="1"/>
  <c r="CUC53" i="9" s="1"/>
  <c r="CUD53" i="9" s="1"/>
  <c r="CUE53" i="9" s="1"/>
  <c r="CUF53" i="9" s="1"/>
  <c r="CUG53" i="9" s="1"/>
  <c r="CUH53" i="9" s="1"/>
  <c r="CUI53" i="9" s="1"/>
  <c r="CUJ53" i="9" s="1"/>
  <c r="CUK53" i="9" s="1"/>
  <c r="CUL53" i="9" s="1"/>
  <c r="CUM53" i="9" s="1"/>
  <c r="CUN53" i="9" s="1"/>
  <c r="CUO53" i="9" s="1"/>
  <c r="CUP53" i="9" s="1"/>
  <c r="CUQ53" i="9" s="1"/>
  <c r="CUR53" i="9" s="1"/>
  <c r="CUS53" i="9" s="1"/>
  <c r="CUT53" i="9" s="1"/>
  <c r="CUU53" i="9" s="1"/>
  <c r="CUV53" i="9" s="1"/>
  <c r="CUW53" i="9" s="1"/>
  <c r="CUX53" i="9" s="1"/>
  <c r="CUY53" i="9" s="1"/>
  <c r="CUZ53" i="9" s="1"/>
  <c r="CVA53" i="9" s="1"/>
  <c r="CVB53" i="9" s="1"/>
  <c r="CVC53" i="9" s="1"/>
  <c r="CVD53" i="9" s="1"/>
  <c r="CVE53" i="9" s="1"/>
  <c r="CVF53" i="9" s="1"/>
  <c r="CVG53" i="9" s="1"/>
  <c r="CVH53" i="9" s="1"/>
  <c r="CVI53" i="9" s="1"/>
  <c r="CVJ53" i="9" s="1"/>
  <c r="CVK53" i="9" s="1"/>
  <c r="CVL53" i="9" s="1"/>
  <c r="CVM53" i="9" s="1"/>
  <c r="CVN53" i="9" s="1"/>
  <c r="CVO53" i="9" s="1"/>
  <c r="CVP53" i="9" s="1"/>
  <c r="CVQ53" i="9" s="1"/>
  <c r="CVR53" i="9" s="1"/>
  <c r="CVS53" i="9" s="1"/>
  <c r="CVT53" i="9" s="1"/>
  <c r="CVU53" i="9" s="1"/>
  <c r="CVV53" i="9" s="1"/>
  <c r="CVW53" i="9" s="1"/>
  <c r="CVX53" i="9" s="1"/>
  <c r="CVY53" i="9" s="1"/>
  <c r="CVZ53" i="9" s="1"/>
  <c r="CWA53" i="9" s="1"/>
  <c r="CWB53" i="9" s="1"/>
  <c r="CWC53" i="9" s="1"/>
  <c r="CWD53" i="9" s="1"/>
  <c r="CWE53" i="9" s="1"/>
  <c r="CWF53" i="9" s="1"/>
  <c r="CWG53" i="9" s="1"/>
  <c r="CWH53" i="9" s="1"/>
  <c r="CWI53" i="9" s="1"/>
  <c r="CWJ53" i="9" s="1"/>
  <c r="CWK53" i="9" s="1"/>
  <c r="CWL53" i="9" s="1"/>
  <c r="CWM53" i="9" s="1"/>
  <c r="CWN53" i="9" s="1"/>
  <c r="CWO53" i="9" s="1"/>
  <c r="CWP53" i="9" s="1"/>
  <c r="CWQ53" i="9" s="1"/>
  <c r="CWR53" i="9" s="1"/>
  <c r="CWS53" i="9" s="1"/>
  <c r="CWT53" i="9" s="1"/>
  <c r="CWU53" i="9" s="1"/>
  <c r="CWV53" i="9" s="1"/>
  <c r="CWW53" i="9" s="1"/>
  <c r="CWX53" i="9" s="1"/>
  <c r="CWY53" i="9" s="1"/>
  <c r="CWZ53" i="9" s="1"/>
  <c r="CXA53" i="9" s="1"/>
  <c r="CXB53" i="9" s="1"/>
  <c r="CXC53" i="9" s="1"/>
  <c r="CXD53" i="9" s="1"/>
  <c r="CXE53" i="9" s="1"/>
  <c r="CXF53" i="9" s="1"/>
  <c r="CXG53" i="9" s="1"/>
  <c r="CXH53" i="9" s="1"/>
  <c r="CXI53" i="9" s="1"/>
  <c r="CXJ53" i="9" s="1"/>
  <c r="CXK53" i="9" s="1"/>
  <c r="CXL53" i="9" s="1"/>
  <c r="CXM53" i="9" s="1"/>
  <c r="CXN53" i="9" s="1"/>
  <c r="CXO53" i="9" s="1"/>
  <c r="CXP53" i="9" s="1"/>
  <c r="CXQ53" i="9" s="1"/>
  <c r="CXR53" i="9" s="1"/>
  <c r="CXS53" i="9" s="1"/>
  <c r="CXT53" i="9" s="1"/>
  <c r="CXU53" i="9" s="1"/>
  <c r="CXV53" i="9" s="1"/>
  <c r="CXW53" i="9" s="1"/>
  <c r="CXX53" i="9" s="1"/>
  <c r="CXY53" i="9" s="1"/>
  <c r="CXZ53" i="9" s="1"/>
  <c r="CYA53" i="9" s="1"/>
  <c r="CYB53" i="9" s="1"/>
  <c r="CYC53" i="9" s="1"/>
  <c r="CYD53" i="9" s="1"/>
  <c r="CYE53" i="9" s="1"/>
  <c r="CYF53" i="9" s="1"/>
  <c r="CYG53" i="9" s="1"/>
  <c r="CYH53" i="9" s="1"/>
  <c r="CYI53" i="9" s="1"/>
  <c r="CYJ53" i="9" s="1"/>
  <c r="CYK53" i="9" s="1"/>
  <c r="CYL53" i="9" s="1"/>
  <c r="CYM53" i="9" s="1"/>
  <c r="CYN53" i="9" s="1"/>
  <c r="CYO53" i="9" s="1"/>
  <c r="CYP53" i="9" s="1"/>
  <c r="CYQ53" i="9" s="1"/>
  <c r="CYR53" i="9" s="1"/>
  <c r="CYS53" i="9" s="1"/>
  <c r="CYT53" i="9" s="1"/>
  <c r="CYU53" i="9" s="1"/>
  <c r="CYV53" i="9" s="1"/>
  <c r="CYW53" i="9" s="1"/>
  <c r="CYX53" i="9" s="1"/>
  <c r="CYY53" i="9" s="1"/>
  <c r="CYZ53" i="9" s="1"/>
  <c r="CZA53" i="9" s="1"/>
  <c r="CZB53" i="9" s="1"/>
  <c r="CZC53" i="9" s="1"/>
  <c r="CZD53" i="9" s="1"/>
  <c r="CZE53" i="9" s="1"/>
  <c r="CZF53" i="9" s="1"/>
  <c r="CZG53" i="9" s="1"/>
  <c r="CZH53" i="9" s="1"/>
  <c r="CZI53" i="9" s="1"/>
  <c r="CZJ53" i="9" s="1"/>
  <c r="CZK53" i="9" s="1"/>
  <c r="CZL53" i="9" s="1"/>
  <c r="CZM53" i="9" s="1"/>
  <c r="CZN53" i="9" s="1"/>
  <c r="CZO53" i="9" s="1"/>
  <c r="CZP53" i="9" s="1"/>
  <c r="CZQ53" i="9" s="1"/>
  <c r="CZR53" i="9" s="1"/>
  <c r="CZS53" i="9" s="1"/>
  <c r="CZT53" i="9" s="1"/>
  <c r="CZU53" i="9" s="1"/>
  <c r="CZV53" i="9" s="1"/>
  <c r="CZW53" i="9" s="1"/>
  <c r="CZX53" i="9" s="1"/>
  <c r="CZY53" i="9" s="1"/>
  <c r="CZZ53" i="9" s="1"/>
  <c r="DAA53" i="9" s="1"/>
  <c r="DAB53" i="9" s="1"/>
  <c r="DAC53" i="9" s="1"/>
  <c r="DAD53" i="9" s="1"/>
  <c r="DAE53" i="9" s="1"/>
  <c r="DAF53" i="9" s="1"/>
  <c r="DAG53" i="9" s="1"/>
  <c r="DAH53" i="9" s="1"/>
  <c r="DAI53" i="9" s="1"/>
  <c r="DAJ53" i="9" s="1"/>
  <c r="DAK53" i="9" s="1"/>
  <c r="DAL53" i="9" s="1"/>
  <c r="DAM53" i="9" s="1"/>
  <c r="DAN53" i="9" s="1"/>
  <c r="DAO53" i="9" s="1"/>
  <c r="DAP53" i="9" s="1"/>
  <c r="DAQ53" i="9" s="1"/>
  <c r="DAR53" i="9" s="1"/>
  <c r="DAS53" i="9" s="1"/>
  <c r="DAT53" i="9" s="1"/>
  <c r="DAU53" i="9" s="1"/>
  <c r="DAV53" i="9" s="1"/>
  <c r="DAW53" i="9" s="1"/>
  <c r="DAX53" i="9" s="1"/>
  <c r="DAY53" i="9" s="1"/>
  <c r="DAZ53" i="9" s="1"/>
  <c r="DBA53" i="9" s="1"/>
  <c r="DBB53" i="9" s="1"/>
  <c r="DBC53" i="9" s="1"/>
  <c r="DBD53" i="9" s="1"/>
  <c r="DBE53" i="9" s="1"/>
  <c r="DBF53" i="9" s="1"/>
  <c r="DBG53" i="9" s="1"/>
  <c r="DBH53" i="9" s="1"/>
  <c r="DBI53" i="9" s="1"/>
  <c r="DBJ53" i="9" s="1"/>
  <c r="DBK53" i="9" s="1"/>
  <c r="DBL53" i="9" s="1"/>
  <c r="DBM53" i="9" s="1"/>
  <c r="DBN53" i="9" s="1"/>
  <c r="DBO53" i="9" s="1"/>
  <c r="DBP53" i="9" s="1"/>
  <c r="DBQ53" i="9" s="1"/>
  <c r="DBR53" i="9" s="1"/>
  <c r="DBS53" i="9" s="1"/>
  <c r="DBT53" i="9" s="1"/>
  <c r="DBU53" i="9" s="1"/>
  <c r="DBV53" i="9" s="1"/>
  <c r="DBW53" i="9" s="1"/>
  <c r="DBX53" i="9" s="1"/>
  <c r="DBY53" i="9" s="1"/>
  <c r="DBZ53" i="9" s="1"/>
  <c r="DCA53" i="9" s="1"/>
  <c r="DCB53" i="9" s="1"/>
  <c r="DCC53" i="9" s="1"/>
  <c r="DCD53" i="9" s="1"/>
  <c r="DCE53" i="9" s="1"/>
  <c r="DCF53" i="9" s="1"/>
  <c r="DCG53" i="9" s="1"/>
  <c r="DCH53" i="9" s="1"/>
  <c r="DCI53" i="9" s="1"/>
  <c r="DCJ53" i="9" s="1"/>
  <c r="DCK53" i="9" s="1"/>
  <c r="DCL53" i="9" s="1"/>
  <c r="DCM53" i="9" s="1"/>
  <c r="DCN53" i="9" s="1"/>
  <c r="DCO53" i="9" s="1"/>
  <c r="DCP53" i="9" s="1"/>
  <c r="DCQ53" i="9" s="1"/>
  <c r="DCR53" i="9" s="1"/>
  <c r="DCS53" i="9" s="1"/>
  <c r="DCT53" i="9" s="1"/>
  <c r="DCU53" i="9" s="1"/>
  <c r="DCV53" i="9" s="1"/>
  <c r="DCW53" i="9" s="1"/>
  <c r="DCX53" i="9" s="1"/>
  <c r="DCY53" i="9" s="1"/>
  <c r="DCZ53" i="9" s="1"/>
  <c r="DDA53" i="9" s="1"/>
  <c r="DDB53" i="9" s="1"/>
  <c r="DDC53" i="9" s="1"/>
  <c r="DDD53" i="9" s="1"/>
  <c r="DDE53" i="9" s="1"/>
  <c r="DDF53" i="9" s="1"/>
  <c r="DDG53" i="9" s="1"/>
  <c r="DDH53" i="9" s="1"/>
  <c r="DDI53" i="9" s="1"/>
  <c r="DDJ53" i="9" s="1"/>
  <c r="DDK53" i="9" s="1"/>
  <c r="DDL53" i="9" s="1"/>
  <c r="DDM53" i="9" s="1"/>
  <c r="DDN53" i="9" s="1"/>
  <c r="DDO53" i="9" s="1"/>
  <c r="DDP53" i="9" s="1"/>
  <c r="DDQ53" i="9" s="1"/>
  <c r="DDR53" i="9" s="1"/>
  <c r="DDS53" i="9" s="1"/>
  <c r="DDT53" i="9" s="1"/>
  <c r="DDU53" i="9" s="1"/>
  <c r="DDV53" i="9" s="1"/>
  <c r="DDW53" i="9" s="1"/>
  <c r="DDX53" i="9" s="1"/>
  <c r="DDY53" i="9" s="1"/>
  <c r="DDZ53" i="9" s="1"/>
  <c r="DEA53" i="9" s="1"/>
  <c r="DEB53" i="9" s="1"/>
  <c r="DEC53" i="9" s="1"/>
  <c r="DED53" i="9" s="1"/>
  <c r="DEE53" i="9" s="1"/>
  <c r="DEF53" i="9" s="1"/>
  <c r="DEG53" i="9" s="1"/>
  <c r="DEH53" i="9" s="1"/>
  <c r="DEI53" i="9" s="1"/>
  <c r="DEJ53" i="9" s="1"/>
  <c r="DEK53" i="9" s="1"/>
  <c r="DEL53" i="9" s="1"/>
  <c r="DEM53" i="9" s="1"/>
  <c r="DEN53" i="9" s="1"/>
  <c r="DEO53" i="9" s="1"/>
  <c r="DEP53" i="9" s="1"/>
  <c r="DEQ53" i="9" s="1"/>
  <c r="DER53" i="9" s="1"/>
  <c r="DES53" i="9" s="1"/>
  <c r="DET53" i="9" s="1"/>
  <c r="DEU53" i="9" s="1"/>
  <c r="DEV53" i="9" s="1"/>
  <c r="DEW53" i="9" s="1"/>
  <c r="DEX53" i="9" s="1"/>
  <c r="DEY53" i="9" s="1"/>
  <c r="DEZ53" i="9" s="1"/>
  <c r="DFA53" i="9" s="1"/>
  <c r="DFB53" i="9" s="1"/>
  <c r="DFC53" i="9" s="1"/>
  <c r="DFD53" i="9" s="1"/>
  <c r="DFE53" i="9" s="1"/>
  <c r="DFF53" i="9" s="1"/>
  <c r="DFG53" i="9" s="1"/>
  <c r="DFH53" i="9" s="1"/>
  <c r="DFI53" i="9" s="1"/>
  <c r="DFJ53" i="9" s="1"/>
  <c r="DFK53" i="9" s="1"/>
  <c r="DFL53" i="9" s="1"/>
  <c r="DFM53" i="9" s="1"/>
  <c r="DFN53" i="9" s="1"/>
  <c r="DFO53" i="9" s="1"/>
  <c r="DFP53" i="9" s="1"/>
  <c r="DFQ53" i="9" s="1"/>
  <c r="DFR53" i="9" s="1"/>
  <c r="DFS53" i="9" s="1"/>
  <c r="DFT53" i="9" s="1"/>
  <c r="DFU53" i="9" s="1"/>
  <c r="DFV53" i="9" s="1"/>
  <c r="DFW53" i="9" s="1"/>
  <c r="DFX53" i="9" s="1"/>
  <c r="DFY53" i="9" s="1"/>
  <c r="DFZ53" i="9" s="1"/>
  <c r="DGA53" i="9" s="1"/>
  <c r="DGB53" i="9" s="1"/>
  <c r="DGC53" i="9" s="1"/>
  <c r="DGD53" i="9" s="1"/>
  <c r="DGE53" i="9" s="1"/>
  <c r="DGF53" i="9" s="1"/>
  <c r="DGG53" i="9" s="1"/>
  <c r="DGH53" i="9" s="1"/>
  <c r="DGI53" i="9" s="1"/>
  <c r="DGJ53" i="9" s="1"/>
  <c r="DGK53" i="9" s="1"/>
  <c r="DGL53" i="9" s="1"/>
  <c r="DGM53" i="9" s="1"/>
  <c r="DGN53" i="9" s="1"/>
  <c r="DGO53" i="9" s="1"/>
  <c r="DGP53" i="9" s="1"/>
  <c r="DGQ53" i="9" s="1"/>
  <c r="DGR53" i="9" s="1"/>
  <c r="DGS53" i="9" s="1"/>
  <c r="DGT53" i="9" s="1"/>
  <c r="DGU53" i="9" s="1"/>
  <c r="DGV53" i="9" s="1"/>
  <c r="DGW53" i="9" s="1"/>
  <c r="DGX53" i="9" s="1"/>
  <c r="DGY53" i="9" s="1"/>
  <c r="DGZ53" i="9" s="1"/>
  <c r="DHA53" i="9" s="1"/>
  <c r="DHB53" i="9" s="1"/>
  <c r="DHC53" i="9" s="1"/>
  <c r="DHD53" i="9" s="1"/>
  <c r="DHE53" i="9" s="1"/>
  <c r="DHF53" i="9" s="1"/>
  <c r="DHG53" i="9" s="1"/>
  <c r="DHH53" i="9" s="1"/>
  <c r="DHI53" i="9" s="1"/>
  <c r="DHJ53" i="9" s="1"/>
  <c r="DHK53" i="9" s="1"/>
  <c r="DHL53" i="9" s="1"/>
  <c r="DHM53" i="9" s="1"/>
  <c r="DHN53" i="9" s="1"/>
  <c r="DHO53" i="9" s="1"/>
  <c r="DHP53" i="9" s="1"/>
  <c r="DHQ53" i="9" s="1"/>
  <c r="DHR53" i="9" s="1"/>
  <c r="DHS53" i="9" s="1"/>
  <c r="DHT53" i="9" s="1"/>
  <c r="DHU53" i="9" s="1"/>
  <c r="DHV53" i="9" s="1"/>
  <c r="DHW53" i="9" s="1"/>
  <c r="DHX53" i="9" s="1"/>
  <c r="DHY53" i="9" s="1"/>
  <c r="DHZ53" i="9" s="1"/>
  <c r="DIA53" i="9" s="1"/>
  <c r="DIB53" i="9" s="1"/>
  <c r="DIC53" i="9" s="1"/>
  <c r="DID53" i="9" s="1"/>
  <c r="DIE53" i="9" s="1"/>
  <c r="DIF53" i="9" s="1"/>
  <c r="DIG53" i="9" s="1"/>
  <c r="DIH53" i="9" s="1"/>
  <c r="DII53" i="9" s="1"/>
  <c r="DIJ53" i="9" s="1"/>
  <c r="DIK53" i="9" s="1"/>
  <c r="DIL53" i="9" s="1"/>
  <c r="DIM53" i="9" s="1"/>
  <c r="DIN53" i="9" s="1"/>
  <c r="DIO53" i="9" s="1"/>
  <c r="DIP53" i="9" s="1"/>
  <c r="DIQ53" i="9" s="1"/>
  <c r="DIR53" i="9" s="1"/>
  <c r="DIS53" i="9" s="1"/>
  <c r="DIT53" i="9" s="1"/>
  <c r="DIU53" i="9" s="1"/>
  <c r="DIV53" i="9" s="1"/>
  <c r="DIW53" i="9" s="1"/>
  <c r="DIX53" i="9" s="1"/>
  <c r="DIY53" i="9" s="1"/>
  <c r="DIZ53" i="9" s="1"/>
  <c r="DJA53" i="9" s="1"/>
  <c r="DJB53" i="9" s="1"/>
  <c r="DJC53" i="9" s="1"/>
  <c r="DJD53" i="9" s="1"/>
  <c r="DJE53" i="9" s="1"/>
  <c r="DJF53" i="9" s="1"/>
  <c r="DJG53" i="9" s="1"/>
  <c r="DJH53" i="9" s="1"/>
  <c r="DJI53" i="9" s="1"/>
  <c r="DJJ53" i="9" s="1"/>
  <c r="DJK53" i="9" s="1"/>
  <c r="DJL53" i="9" s="1"/>
  <c r="DJM53" i="9" s="1"/>
  <c r="DJN53" i="9" s="1"/>
  <c r="DJO53" i="9" s="1"/>
  <c r="DJP53" i="9" s="1"/>
  <c r="DJQ53" i="9" s="1"/>
  <c r="DJR53" i="9" s="1"/>
  <c r="DJS53" i="9" s="1"/>
  <c r="DJT53" i="9" s="1"/>
  <c r="DJU53" i="9" s="1"/>
  <c r="DJV53" i="9" s="1"/>
  <c r="DJW53" i="9" s="1"/>
  <c r="DJX53" i="9" s="1"/>
  <c r="DJY53" i="9" s="1"/>
  <c r="DJZ53" i="9" s="1"/>
  <c r="DKA53" i="9" s="1"/>
  <c r="DKB53" i="9" s="1"/>
  <c r="DKC53" i="9" s="1"/>
  <c r="DKD53" i="9" s="1"/>
  <c r="DKE53" i="9" s="1"/>
  <c r="DKF53" i="9" s="1"/>
  <c r="DKG53" i="9" s="1"/>
  <c r="DKH53" i="9" s="1"/>
  <c r="DKI53" i="9" s="1"/>
  <c r="DKJ53" i="9" s="1"/>
  <c r="DKK53" i="9" s="1"/>
  <c r="DKL53" i="9" s="1"/>
  <c r="DKM53" i="9" s="1"/>
  <c r="DKN53" i="9" s="1"/>
  <c r="DKO53" i="9" s="1"/>
  <c r="DKP53" i="9" s="1"/>
  <c r="DKQ53" i="9" s="1"/>
  <c r="DKR53" i="9" s="1"/>
  <c r="DKS53" i="9" s="1"/>
  <c r="DKT53" i="9" s="1"/>
  <c r="DKU53" i="9" s="1"/>
  <c r="DKV53" i="9" s="1"/>
  <c r="DKW53" i="9" s="1"/>
  <c r="DKX53" i="9" s="1"/>
  <c r="DKY53" i="9" s="1"/>
  <c r="DKZ53" i="9" s="1"/>
  <c r="DLA53" i="9" s="1"/>
  <c r="DLB53" i="9" s="1"/>
  <c r="DLC53" i="9" s="1"/>
  <c r="DLD53" i="9" s="1"/>
  <c r="DLE53" i="9" s="1"/>
  <c r="DLF53" i="9" s="1"/>
  <c r="DLG53" i="9" s="1"/>
  <c r="DLH53" i="9" s="1"/>
  <c r="DLI53" i="9" s="1"/>
  <c r="DLJ53" i="9" s="1"/>
  <c r="DLK53" i="9" s="1"/>
  <c r="DLL53" i="9" s="1"/>
  <c r="DLM53" i="9" s="1"/>
  <c r="DLN53" i="9" s="1"/>
  <c r="DLO53" i="9" s="1"/>
  <c r="DLP53" i="9" s="1"/>
  <c r="DLQ53" i="9" s="1"/>
  <c r="DLR53" i="9" s="1"/>
  <c r="DLS53" i="9" s="1"/>
  <c r="DLT53" i="9" s="1"/>
  <c r="DLU53" i="9" s="1"/>
  <c r="DLV53" i="9" s="1"/>
  <c r="DLW53" i="9" s="1"/>
  <c r="DLX53" i="9" s="1"/>
  <c r="DLY53" i="9" s="1"/>
  <c r="DLZ53" i="9" s="1"/>
  <c r="DMA53" i="9" s="1"/>
  <c r="DMB53" i="9" s="1"/>
  <c r="DMC53" i="9" s="1"/>
  <c r="DMD53" i="9" s="1"/>
  <c r="DME53" i="9" s="1"/>
  <c r="DMF53" i="9" s="1"/>
  <c r="DMG53" i="9" s="1"/>
  <c r="DMH53" i="9" s="1"/>
  <c r="DMI53" i="9" s="1"/>
  <c r="DMJ53" i="9" s="1"/>
  <c r="DMK53" i="9" s="1"/>
  <c r="DML53" i="9" s="1"/>
  <c r="DMM53" i="9" s="1"/>
  <c r="DMN53" i="9" s="1"/>
  <c r="DMO53" i="9" s="1"/>
  <c r="DMP53" i="9" s="1"/>
  <c r="DMQ53" i="9" s="1"/>
  <c r="DMR53" i="9" s="1"/>
  <c r="DMS53" i="9" s="1"/>
  <c r="DMT53" i="9" s="1"/>
  <c r="DMU53" i="9" s="1"/>
  <c r="DMV53" i="9" s="1"/>
  <c r="DMW53" i="9" s="1"/>
  <c r="DMX53" i="9" s="1"/>
  <c r="DMY53" i="9" s="1"/>
  <c r="DMZ53" i="9" s="1"/>
  <c r="DNA53" i="9" s="1"/>
  <c r="DNB53" i="9" s="1"/>
  <c r="DNC53" i="9" s="1"/>
  <c r="DND53" i="9" s="1"/>
  <c r="DNE53" i="9" s="1"/>
  <c r="DNF53" i="9" s="1"/>
  <c r="DNG53" i="9" s="1"/>
  <c r="DNH53" i="9" s="1"/>
  <c r="DNI53" i="9" s="1"/>
  <c r="DNJ53" i="9" s="1"/>
  <c r="DNK53" i="9" s="1"/>
  <c r="DNL53" i="9" s="1"/>
  <c r="DNM53" i="9" s="1"/>
  <c r="DNN53" i="9" s="1"/>
  <c r="DNO53" i="9" s="1"/>
  <c r="DNP53" i="9" s="1"/>
  <c r="DNQ53" i="9" s="1"/>
  <c r="DNR53" i="9" s="1"/>
  <c r="DNS53" i="9" s="1"/>
  <c r="DNT53" i="9" s="1"/>
  <c r="DNU53" i="9" s="1"/>
  <c r="DNV53" i="9" s="1"/>
  <c r="DNW53" i="9" s="1"/>
  <c r="DNX53" i="9" s="1"/>
  <c r="DNY53" i="9" s="1"/>
  <c r="DNZ53" i="9" s="1"/>
  <c r="DOA53" i="9" s="1"/>
  <c r="DOB53" i="9" s="1"/>
  <c r="DOC53" i="9" s="1"/>
  <c r="DOD53" i="9" s="1"/>
  <c r="DOE53" i="9" s="1"/>
  <c r="DOF53" i="9" s="1"/>
  <c r="DOG53" i="9" s="1"/>
  <c r="DOH53" i="9" s="1"/>
  <c r="DOI53" i="9" s="1"/>
  <c r="DOJ53" i="9" s="1"/>
  <c r="DOK53" i="9" s="1"/>
  <c r="DOL53" i="9" s="1"/>
  <c r="DOM53" i="9" s="1"/>
  <c r="DON53" i="9" s="1"/>
  <c r="DOO53" i="9" s="1"/>
  <c r="DOP53" i="9" s="1"/>
  <c r="DOQ53" i="9" s="1"/>
  <c r="DOR53" i="9" s="1"/>
  <c r="DOS53" i="9" s="1"/>
  <c r="DOT53" i="9" s="1"/>
  <c r="DOU53" i="9" s="1"/>
  <c r="DOV53" i="9" s="1"/>
  <c r="DOW53" i="9" s="1"/>
  <c r="DOX53" i="9" s="1"/>
  <c r="DOY53" i="9" s="1"/>
  <c r="DOZ53" i="9" s="1"/>
  <c r="DPA53" i="9" s="1"/>
  <c r="DPB53" i="9" s="1"/>
  <c r="DPC53" i="9" s="1"/>
  <c r="DPD53" i="9" s="1"/>
  <c r="DPE53" i="9" s="1"/>
  <c r="DPF53" i="9" s="1"/>
  <c r="DPG53" i="9" s="1"/>
  <c r="DPH53" i="9" s="1"/>
  <c r="DPI53" i="9" s="1"/>
  <c r="DPJ53" i="9" s="1"/>
  <c r="DPK53" i="9" s="1"/>
  <c r="DPL53" i="9" s="1"/>
  <c r="DPM53" i="9" s="1"/>
  <c r="DPN53" i="9" s="1"/>
  <c r="DPO53" i="9" s="1"/>
  <c r="DPP53" i="9" s="1"/>
  <c r="DPQ53" i="9" s="1"/>
  <c r="DPR53" i="9" s="1"/>
  <c r="DPS53" i="9" s="1"/>
  <c r="DPT53" i="9" s="1"/>
  <c r="DPU53" i="9" s="1"/>
  <c r="DPV53" i="9" s="1"/>
  <c r="DPW53" i="9" s="1"/>
  <c r="DPX53" i="9" s="1"/>
  <c r="DPY53" i="9" s="1"/>
  <c r="DPZ53" i="9" s="1"/>
  <c r="DQA53" i="9" s="1"/>
  <c r="DQB53" i="9" s="1"/>
  <c r="DQC53" i="9" s="1"/>
  <c r="DQD53" i="9" s="1"/>
  <c r="DQE53" i="9" s="1"/>
  <c r="DQF53" i="9" s="1"/>
  <c r="DQG53" i="9" s="1"/>
  <c r="DQH53" i="9" s="1"/>
  <c r="DQI53" i="9" s="1"/>
  <c r="DQJ53" i="9" s="1"/>
  <c r="DQK53" i="9" s="1"/>
  <c r="DQL53" i="9" s="1"/>
  <c r="DQM53" i="9" s="1"/>
  <c r="DQN53" i="9" s="1"/>
  <c r="DQO53" i="9" s="1"/>
  <c r="DQP53" i="9" s="1"/>
  <c r="DQQ53" i="9" s="1"/>
  <c r="DQR53" i="9" s="1"/>
  <c r="DQS53" i="9" s="1"/>
  <c r="DQT53" i="9" s="1"/>
  <c r="DQU53" i="9" s="1"/>
  <c r="DQV53" i="9" s="1"/>
  <c r="DQW53" i="9" s="1"/>
  <c r="DQX53" i="9" s="1"/>
  <c r="DQY53" i="9" s="1"/>
  <c r="DQZ53" i="9" s="1"/>
  <c r="DRA53" i="9" s="1"/>
  <c r="DRB53" i="9" s="1"/>
  <c r="DRC53" i="9" s="1"/>
  <c r="DRD53" i="9" s="1"/>
  <c r="DRE53" i="9" s="1"/>
  <c r="DRF53" i="9" s="1"/>
  <c r="DRG53" i="9" s="1"/>
  <c r="DRH53" i="9" s="1"/>
  <c r="DRI53" i="9" s="1"/>
  <c r="DRJ53" i="9" s="1"/>
  <c r="DRK53" i="9" s="1"/>
  <c r="DRL53" i="9" s="1"/>
  <c r="DRM53" i="9" s="1"/>
  <c r="DRN53" i="9" s="1"/>
  <c r="DRO53" i="9" s="1"/>
  <c r="DRP53" i="9" s="1"/>
  <c r="DRQ53" i="9" s="1"/>
  <c r="DRR53" i="9" s="1"/>
  <c r="DRS53" i="9" s="1"/>
  <c r="DRT53" i="9" s="1"/>
  <c r="DRU53" i="9" s="1"/>
  <c r="DRV53" i="9" s="1"/>
  <c r="DRW53" i="9" s="1"/>
  <c r="DRX53" i="9" s="1"/>
  <c r="DRY53" i="9" s="1"/>
  <c r="DRZ53" i="9" s="1"/>
  <c r="DSA53" i="9" s="1"/>
  <c r="DSB53" i="9" s="1"/>
  <c r="DSC53" i="9" s="1"/>
  <c r="DSD53" i="9" s="1"/>
  <c r="DSE53" i="9" s="1"/>
  <c r="DSF53" i="9" s="1"/>
  <c r="DSG53" i="9" s="1"/>
  <c r="DSH53" i="9" s="1"/>
  <c r="DSI53" i="9" s="1"/>
  <c r="DSJ53" i="9" s="1"/>
  <c r="DSK53" i="9" s="1"/>
  <c r="DSL53" i="9" s="1"/>
  <c r="DSM53" i="9" s="1"/>
  <c r="DSN53" i="9" s="1"/>
  <c r="DSO53" i="9" s="1"/>
  <c r="DSP53" i="9" s="1"/>
  <c r="DSQ53" i="9" s="1"/>
  <c r="DSR53" i="9" s="1"/>
  <c r="DSS53" i="9" s="1"/>
  <c r="DST53" i="9" s="1"/>
  <c r="DSU53" i="9" s="1"/>
  <c r="DSV53" i="9" s="1"/>
  <c r="DSW53" i="9" s="1"/>
  <c r="DSX53" i="9" s="1"/>
  <c r="DSY53" i="9" s="1"/>
  <c r="DSZ53" i="9" s="1"/>
  <c r="DTA53" i="9" s="1"/>
  <c r="DTB53" i="9" s="1"/>
  <c r="DTC53" i="9" s="1"/>
  <c r="DTD53" i="9" s="1"/>
  <c r="DTE53" i="9" s="1"/>
  <c r="DTF53" i="9" s="1"/>
  <c r="DTG53" i="9" s="1"/>
  <c r="DTH53" i="9" s="1"/>
  <c r="DTI53" i="9" s="1"/>
  <c r="DTJ53" i="9" s="1"/>
  <c r="DTK53" i="9" s="1"/>
  <c r="DTL53" i="9" s="1"/>
  <c r="DTM53" i="9" s="1"/>
  <c r="DTN53" i="9" s="1"/>
  <c r="DTO53" i="9" s="1"/>
  <c r="DTP53" i="9" s="1"/>
  <c r="DTQ53" i="9" s="1"/>
  <c r="DTR53" i="9" s="1"/>
  <c r="DTS53" i="9" s="1"/>
  <c r="DTT53" i="9" s="1"/>
  <c r="DTU53" i="9" s="1"/>
  <c r="DTV53" i="9" s="1"/>
  <c r="DTW53" i="9" s="1"/>
  <c r="DTX53" i="9" s="1"/>
  <c r="DTY53" i="9" s="1"/>
  <c r="DTZ53" i="9" s="1"/>
  <c r="DUA53" i="9" s="1"/>
  <c r="DUB53" i="9" s="1"/>
  <c r="DUC53" i="9" s="1"/>
  <c r="DUD53" i="9" s="1"/>
  <c r="DUE53" i="9" s="1"/>
  <c r="DUF53" i="9" s="1"/>
  <c r="DUG53" i="9" s="1"/>
  <c r="DUH53" i="9" s="1"/>
  <c r="DUI53" i="9" s="1"/>
  <c r="DUJ53" i="9" s="1"/>
  <c r="DUK53" i="9" s="1"/>
  <c r="DUL53" i="9" s="1"/>
  <c r="DUM53" i="9" s="1"/>
  <c r="DUN53" i="9" s="1"/>
  <c r="DUO53" i="9" s="1"/>
  <c r="DUP53" i="9" s="1"/>
  <c r="DUQ53" i="9" s="1"/>
  <c r="DUR53" i="9" s="1"/>
  <c r="DUS53" i="9" s="1"/>
  <c r="DUT53" i="9" s="1"/>
  <c r="DUU53" i="9" s="1"/>
  <c r="DUV53" i="9" s="1"/>
  <c r="DUW53" i="9" s="1"/>
  <c r="DUX53" i="9" s="1"/>
  <c r="DUY53" i="9" s="1"/>
  <c r="DUZ53" i="9" s="1"/>
  <c r="DVA53" i="9" s="1"/>
  <c r="DVB53" i="9" s="1"/>
  <c r="DVC53" i="9" s="1"/>
  <c r="DVD53" i="9" s="1"/>
  <c r="DVE53" i="9" s="1"/>
  <c r="DVF53" i="9" s="1"/>
  <c r="DVG53" i="9" s="1"/>
  <c r="DVH53" i="9" s="1"/>
  <c r="DVI53" i="9" s="1"/>
  <c r="DVJ53" i="9" s="1"/>
  <c r="DVK53" i="9" s="1"/>
  <c r="DVL53" i="9" s="1"/>
  <c r="DVM53" i="9" s="1"/>
  <c r="DVN53" i="9" s="1"/>
  <c r="DVO53" i="9" s="1"/>
  <c r="DVP53" i="9" s="1"/>
  <c r="DVQ53" i="9" s="1"/>
  <c r="DVR53" i="9" s="1"/>
  <c r="DVS53" i="9" s="1"/>
  <c r="DVT53" i="9" s="1"/>
  <c r="DVU53" i="9" s="1"/>
  <c r="DVV53" i="9" s="1"/>
  <c r="DVW53" i="9" s="1"/>
  <c r="DVX53" i="9" s="1"/>
  <c r="DVY53" i="9" s="1"/>
  <c r="DVZ53" i="9" s="1"/>
  <c r="DWA53" i="9" s="1"/>
  <c r="DWB53" i="9" s="1"/>
  <c r="DWC53" i="9" s="1"/>
  <c r="DWD53" i="9" s="1"/>
  <c r="DWE53" i="9" s="1"/>
  <c r="DWF53" i="9" s="1"/>
  <c r="DWG53" i="9" s="1"/>
  <c r="DWH53" i="9" s="1"/>
  <c r="DWI53" i="9" s="1"/>
  <c r="DWJ53" i="9" s="1"/>
  <c r="DWK53" i="9" s="1"/>
  <c r="DWL53" i="9" s="1"/>
  <c r="DWM53" i="9" s="1"/>
  <c r="DWN53" i="9" s="1"/>
  <c r="DWO53" i="9" s="1"/>
  <c r="DWP53" i="9" s="1"/>
  <c r="DWQ53" i="9" s="1"/>
  <c r="DWR53" i="9" s="1"/>
  <c r="DWS53" i="9" s="1"/>
  <c r="DWT53" i="9" s="1"/>
  <c r="DWU53" i="9" s="1"/>
  <c r="DWV53" i="9" s="1"/>
  <c r="DWW53" i="9" s="1"/>
  <c r="DWX53" i="9" s="1"/>
  <c r="DWY53" i="9" s="1"/>
  <c r="DWZ53" i="9" s="1"/>
  <c r="DXA53" i="9" s="1"/>
  <c r="DXB53" i="9" s="1"/>
  <c r="DXC53" i="9" s="1"/>
  <c r="DXD53" i="9" s="1"/>
  <c r="DXE53" i="9" s="1"/>
  <c r="DXF53" i="9" s="1"/>
  <c r="DXG53" i="9" s="1"/>
  <c r="DXH53" i="9" s="1"/>
  <c r="DXI53" i="9" s="1"/>
  <c r="DXJ53" i="9" s="1"/>
  <c r="DXK53" i="9" s="1"/>
  <c r="DXL53" i="9" s="1"/>
  <c r="DXM53" i="9" s="1"/>
  <c r="DXN53" i="9" s="1"/>
  <c r="DXO53" i="9" s="1"/>
  <c r="DXP53" i="9" s="1"/>
  <c r="DXQ53" i="9" s="1"/>
  <c r="DXR53" i="9" s="1"/>
  <c r="DXS53" i="9" s="1"/>
  <c r="DXT53" i="9" s="1"/>
  <c r="DXU53" i="9" s="1"/>
  <c r="DXV53" i="9" s="1"/>
  <c r="DXW53" i="9" s="1"/>
  <c r="DXX53" i="9" s="1"/>
  <c r="DXY53" i="9" s="1"/>
  <c r="DXZ53" i="9" s="1"/>
  <c r="DYA53" i="9" s="1"/>
  <c r="DYB53" i="9" s="1"/>
  <c r="DYC53" i="9" s="1"/>
  <c r="DYD53" i="9" s="1"/>
  <c r="DYE53" i="9" s="1"/>
  <c r="DYF53" i="9" s="1"/>
  <c r="DYG53" i="9" s="1"/>
  <c r="DYH53" i="9" s="1"/>
  <c r="DYI53" i="9" s="1"/>
  <c r="DYJ53" i="9" s="1"/>
  <c r="DYK53" i="9" s="1"/>
  <c r="DYL53" i="9" s="1"/>
  <c r="DYM53" i="9" s="1"/>
  <c r="DYN53" i="9" s="1"/>
  <c r="DYO53" i="9" s="1"/>
  <c r="DYP53" i="9" s="1"/>
  <c r="DYQ53" i="9" s="1"/>
  <c r="DYR53" i="9" s="1"/>
  <c r="DYS53" i="9" s="1"/>
  <c r="DYT53" i="9" s="1"/>
  <c r="DYU53" i="9" s="1"/>
  <c r="DYV53" i="9" s="1"/>
  <c r="DYW53" i="9" s="1"/>
  <c r="DYX53" i="9" s="1"/>
  <c r="DYY53" i="9" s="1"/>
  <c r="DYZ53" i="9" s="1"/>
  <c r="DZA53" i="9" s="1"/>
  <c r="DZB53" i="9" s="1"/>
  <c r="DZC53" i="9" s="1"/>
  <c r="DZD53" i="9" s="1"/>
  <c r="DZE53" i="9" s="1"/>
  <c r="DZF53" i="9" s="1"/>
  <c r="DZG53" i="9" s="1"/>
  <c r="DZH53" i="9" s="1"/>
  <c r="DZI53" i="9" s="1"/>
  <c r="DZJ53" i="9" s="1"/>
  <c r="DZK53" i="9" s="1"/>
  <c r="DZL53" i="9" s="1"/>
  <c r="DZM53" i="9" s="1"/>
  <c r="DZN53" i="9" s="1"/>
  <c r="DZO53" i="9" s="1"/>
  <c r="DZP53" i="9" s="1"/>
  <c r="DZQ53" i="9" s="1"/>
  <c r="DZR53" i="9" s="1"/>
  <c r="DZS53" i="9" s="1"/>
  <c r="DZT53" i="9" s="1"/>
  <c r="DZU53" i="9" s="1"/>
  <c r="DZV53" i="9" s="1"/>
  <c r="DZW53" i="9" s="1"/>
  <c r="DZX53" i="9" s="1"/>
  <c r="DZY53" i="9" s="1"/>
  <c r="DZZ53" i="9" s="1"/>
  <c r="EAA53" i="9" s="1"/>
  <c r="EAB53" i="9" s="1"/>
  <c r="EAC53" i="9" s="1"/>
  <c r="EAD53" i="9" s="1"/>
  <c r="EAE53" i="9" s="1"/>
  <c r="EAF53" i="9" s="1"/>
  <c r="EAG53" i="9" s="1"/>
  <c r="EAH53" i="9" s="1"/>
  <c r="EAI53" i="9" s="1"/>
  <c r="EAJ53" i="9" s="1"/>
  <c r="EAK53" i="9" s="1"/>
  <c r="EAL53" i="9" s="1"/>
  <c r="EAM53" i="9" s="1"/>
  <c r="EAN53" i="9" s="1"/>
  <c r="EAO53" i="9" s="1"/>
  <c r="EAP53" i="9" s="1"/>
  <c r="EAQ53" i="9" s="1"/>
  <c r="EAR53" i="9" s="1"/>
  <c r="EAS53" i="9" s="1"/>
  <c r="EAT53" i="9" s="1"/>
  <c r="EAU53" i="9" s="1"/>
  <c r="EAV53" i="9" s="1"/>
  <c r="EAW53" i="9" s="1"/>
  <c r="EAX53" i="9" s="1"/>
  <c r="EAY53" i="9" s="1"/>
  <c r="EAZ53" i="9" s="1"/>
  <c r="EBA53" i="9" s="1"/>
  <c r="EBB53" i="9" s="1"/>
  <c r="EBC53" i="9" s="1"/>
  <c r="EBD53" i="9" s="1"/>
  <c r="EBE53" i="9" s="1"/>
  <c r="EBF53" i="9" s="1"/>
  <c r="EBG53" i="9" s="1"/>
  <c r="EBH53" i="9" s="1"/>
  <c r="EBI53" i="9" s="1"/>
  <c r="EBJ53" i="9" s="1"/>
  <c r="EBK53" i="9" s="1"/>
  <c r="EBL53" i="9" s="1"/>
  <c r="EBM53" i="9" s="1"/>
  <c r="EBN53" i="9" s="1"/>
  <c r="EBO53" i="9" s="1"/>
  <c r="EBP53" i="9" s="1"/>
  <c r="EBQ53" i="9" s="1"/>
  <c r="EBR53" i="9" s="1"/>
  <c r="EBS53" i="9" s="1"/>
  <c r="EBT53" i="9" s="1"/>
  <c r="EBU53" i="9" s="1"/>
  <c r="EBV53" i="9" s="1"/>
  <c r="EBW53" i="9" s="1"/>
  <c r="EBX53" i="9" s="1"/>
  <c r="EBY53" i="9" s="1"/>
  <c r="EBZ53" i="9" s="1"/>
  <c r="ECA53" i="9" s="1"/>
  <c r="ECB53" i="9" s="1"/>
  <c r="ECC53" i="9" s="1"/>
  <c r="ECD53" i="9" s="1"/>
  <c r="ECE53" i="9" s="1"/>
  <c r="ECF53" i="9" s="1"/>
  <c r="ECG53" i="9" s="1"/>
  <c r="ECH53" i="9" s="1"/>
  <c r="ECI53" i="9" s="1"/>
  <c r="ECJ53" i="9" s="1"/>
  <c r="ECK53" i="9" s="1"/>
  <c r="ECL53" i="9" s="1"/>
  <c r="ECM53" i="9" s="1"/>
  <c r="ECN53" i="9" s="1"/>
  <c r="ECO53" i="9" s="1"/>
  <c r="ECP53" i="9" s="1"/>
  <c r="ECQ53" i="9" s="1"/>
  <c r="ECR53" i="9" s="1"/>
  <c r="ECS53" i="9" s="1"/>
  <c r="ECT53" i="9" s="1"/>
  <c r="ECU53" i="9" s="1"/>
  <c r="ECV53" i="9" s="1"/>
  <c r="ECW53" i="9" s="1"/>
  <c r="ECX53" i="9" s="1"/>
  <c r="ECY53" i="9" s="1"/>
  <c r="ECZ53" i="9" s="1"/>
  <c r="EDA53" i="9" s="1"/>
  <c r="EDB53" i="9" s="1"/>
  <c r="EDC53" i="9" s="1"/>
  <c r="EDD53" i="9" s="1"/>
  <c r="EDE53" i="9" s="1"/>
  <c r="EDF53" i="9" s="1"/>
  <c r="EDG53" i="9" s="1"/>
  <c r="EDH53" i="9" s="1"/>
  <c r="EDI53" i="9" s="1"/>
  <c r="EDJ53" i="9" s="1"/>
  <c r="EDK53" i="9" s="1"/>
  <c r="EDL53" i="9" s="1"/>
  <c r="EDM53" i="9" s="1"/>
  <c r="EDN53" i="9" s="1"/>
  <c r="EDO53" i="9" s="1"/>
  <c r="EDP53" i="9" s="1"/>
  <c r="EDQ53" i="9" s="1"/>
  <c r="EDR53" i="9" s="1"/>
  <c r="EDS53" i="9" s="1"/>
  <c r="EDT53" i="9" s="1"/>
  <c r="EDU53" i="9" s="1"/>
  <c r="EDV53" i="9" s="1"/>
  <c r="EDW53" i="9" s="1"/>
  <c r="EDX53" i="9" s="1"/>
  <c r="EDY53" i="9" s="1"/>
  <c r="EDZ53" i="9" s="1"/>
  <c r="EEA53" i="9" s="1"/>
  <c r="EEB53" i="9" s="1"/>
  <c r="EEC53" i="9" s="1"/>
  <c r="EED53" i="9" s="1"/>
  <c r="EEE53" i="9" s="1"/>
  <c r="EEF53" i="9" s="1"/>
  <c r="EEG53" i="9" s="1"/>
  <c r="EEH53" i="9" s="1"/>
  <c r="EEI53" i="9" s="1"/>
  <c r="EEJ53" i="9" s="1"/>
  <c r="EEK53" i="9" s="1"/>
  <c r="EEL53" i="9" s="1"/>
  <c r="EEM53" i="9" s="1"/>
  <c r="EEN53" i="9" s="1"/>
  <c r="EEO53" i="9" s="1"/>
  <c r="EEP53" i="9" s="1"/>
  <c r="EEQ53" i="9" s="1"/>
  <c r="EER53" i="9" s="1"/>
  <c r="EES53" i="9" s="1"/>
  <c r="EET53" i="9" s="1"/>
  <c r="EEU53" i="9" s="1"/>
  <c r="EEV53" i="9" s="1"/>
  <c r="EEW53" i="9" s="1"/>
  <c r="EEX53" i="9" s="1"/>
  <c r="EEY53" i="9" s="1"/>
  <c r="EEZ53" i="9" s="1"/>
  <c r="EFA53" i="9" s="1"/>
  <c r="EFB53" i="9" s="1"/>
  <c r="EFC53" i="9" s="1"/>
  <c r="EFD53" i="9" s="1"/>
  <c r="EFE53" i="9" s="1"/>
  <c r="EFF53" i="9" s="1"/>
  <c r="EFG53" i="9" s="1"/>
  <c r="EFH53" i="9" s="1"/>
  <c r="EFI53" i="9" s="1"/>
  <c r="EFJ53" i="9" s="1"/>
  <c r="EFK53" i="9" s="1"/>
  <c r="EFL53" i="9" s="1"/>
  <c r="EFM53" i="9" s="1"/>
  <c r="EFN53" i="9" s="1"/>
  <c r="EFO53" i="9" s="1"/>
  <c r="EFP53" i="9" s="1"/>
  <c r="EFQ53" i="9" s="1"/>
  <c r="EFR53" i="9" s="1"/>
  <c r="EFS53" i="9" s="1"/>
  <c r="EFT53" i="9" s="1"/>
  <c r="EFU53" i="9" s="1"/>
  <c r="EFV53" i="9" s="1"/>
  <c r="EFW53" i="9" s="1"/>
  <c r="EFX53" i="9" s="1"/>
  <c r="EFY53" i="9" s="1"/>
  <c r="EFZ53" i="9" s="1"/>
  <c r="EGA53" i="9" s="1"/>
  <c r="EGB53" i="9" s="1"/>
  <c r="EGC53" i="9" s="1"/>
  <c r="EGD53" i="9" s="1"/>
  <c r="EGE53" i="9" s="1"/>
  <c r="EGF53" i="9" s="1"/>
  <c r="EGG53" i="9" s="1"/>
  <c r="EGH53" i="9" s="1"/>
  <c r="EGI53" i="9" s="1"/>
  <c r="EGJ53" i="9" s="1"/>
  <c r="EGK53" i="9" s="1"/>
  <c r="EGL53" i="9" s="1"/>
  <c r="EGM53" i="9" s="1"/>
  <c r="EGN53" i="9" s="1"/>
  <c r="EGO53" i="9" s="1"/>
  <c r="EGP53" i="9" s="1"/>
  <c r="EGQ53" i="9" s="1"/>
  <c r="EGR53" i="9" s="1"/>
  <c r="EGS53" i="9" s="1"/>
  <c r="EGT53" i="9" s="1"/>
  <c r="EGU53" i="9" s="1"/>
  <c r="EGV53" i="9" s="1"/>
  <c r="EGW53" i="9" s="1"/>
  <c r="EGX53" i="9" s="1"/>
  <c r="EGY53" i="9" s="1"/>
  <c r="EGZ53" i="9" s="1"/>
  <c r="EHA53" i="9" s="1"/>
  <c r="EHB53" i="9" s="1"/>
  <c r="EHC53" i="9" s="1"/>
  <c r="EHD53" i="9" s="1"/>
  <c r="EHE53" i="9" s="1"/>
  <c r="EHF53" i="9" s="1"/>
  <c r="EHG53" i="9" s="1"/>
  <c r="EHH53" i="9" s="1"/>
  <c r="EHI53" i="9" s="1"/>
  <c r="EHJ53" i="9" s="1"/>
  <c r="EHK53" i="9" s="1"/>
  <c r="EHL53" i="9" s="1"/>
  <c r="EHM53" i="9" s="1"/>
  <c r="EHN53" i="9" s="1"/>
  <c r="EHO53" i="9" s="1"/>
  <c r="EHP53" i="9" s="1"/>
  <c r="EHQ53" i="9" s="1"/>
  <c r="EHR53" i="9" s="1"/>
  <c r="EHS53" i="9" s="1"/>
  <c r="EHT53" i="9" s="1"/>
  <c r="EHU53" i="9" s="1"/>
  <c r="EHV53" i="9" s="1"/>
  <c r="EHW53" i="9" s="1"/>
  <c r="EHX53" i="9" s="1"/>
  <c r="EHY53" i="9" s="1"/>
  <c r="EHZ53" i="9" s="1"/>
  <c r="EIA53" i="9" s="1"/>
  <c r="EIB53" i="9" s="1"/>
  <c r="EIC53" i="9" s="1"/>
  <c r="EID53" i="9" s="1"/>
  <c r="EIE53" i="9" s="1"/>
  <c r="EIF53" i="9" s="1"/>
  <c r="EIG53" i="9" s="1"/>
  <c r="EIH53" i="9" s="1"/>
  <c r="EII53" i="9" s="1"/>
  <c r="EIJ53" i="9" s="1"/>
  <c r="EIK53" i="9" s="1"/>
  <c r="EIL53" i="9" s="1"/>
  <c r="EIM53" i="9" s="1"/>
  <c r="EIN53" i="9" s="1"/>
  <c r="EIO53" i="9" s="1"/>
  <c r="EIP53" i="9" s="1"/>
  <c r="EIQ53" i="9" s="1"/>
  <c r="EIR53" i="9" s="1"/>
  <c r="EIS53" i="9" s="1"/>
  <c r="EIT53" i="9" s="1"/>
  <c r="EIU53" i="9" s="1"/>
  <c r="EIV53" i="9" s="1"/>
  <c r="EIW53" i="9" s="1"/>
  <c r="EIX53" i="9" s="1"/>
  <c r="EIY53" i="9" s="1"/>
  <c r="EIZ53" i="9" s="1"/>
  <c r="EJA53" i="9" s="1"/>
  <c r="EJB53" i="9" s="1"/>
  <c r="EJC53" i="9" s="1"/>
  <c r="EJD53" i="9" s="1"/>
  <c r="EJE53" i="9" s="1"/>
  <c r="EJF53" i="9" s="1"/>
  <c r="EJG53" i="9" s="1"/>
  <c r="EJH53" i="9" s="1"/>
  <c r="EJI53" i="9" s="1"/>
  <c r="EJJ53" i="9" s="1"/>
  <c r="EJK53" i="9" s="1"/>
  <c r="EJL53" i="9" s="1"/>
  <c r="EJM53" i="9" s="1"/>
  <c r="EJN53" i="9" s="1"/>
  <c r="EJO53" i="9" s="1"/>
  <c r="EJP53" i="9" s="1"/>
  <c r="EJQ53" i="9" s="1"/>
  <c r="EJR53" i="9" s="1"/>
  <c r="EJS53" i="9" s="1"/>
  <c r="EJT53" i="9" s="1"/>
  <c r="EJU53" i="9" s="1"/>
  <c r="EJV53" i="9" s="1"/>
  <c r="EJW53" i="9" s="1"/>
  <c r="EJX53" i="9" s="1"/>
  <c r="EJY53" i="9" s="1"/>
  <c r="EJZ53" i="9" s="1"/>
  <c r="EKA53" i="9" s="1"/>
  <c r="EKB53" i="9" s="1"/>
  <c r="EKC53" i="9" s="1"/>
  <c r="EKD53" i="9" s="1"/>
  <c r="EKE53" i="9" s="1"/>
  <c r="EKF53" i="9" s="1"/>
  <c r="EKG53" i="9" s="1"/>
  <c r="EKH53" i="9" s="1"/>
  <c r="EKI53" i="9" s="1"/>
  <c r="EKJ53" i="9" s="1"/>
  <c r="EKK53" i="9" s="1"/>
  <c r="EKL53" i="9" s="1"/>
  <c r="EKM53" i="9" s="1"/>
  <c r="EKN53" i="9" s="1"/>
  <c r="EKO53" i="9" s="1"/>
  <c r="EKP53" i="9" s="1"/>
  <c r="EKQ53" i="9" s="1"/>
  <c r="EKR53" i="9" s="1"/>
  <c r="EKS53" i="9" s="1"/>
  <c r="EKT53" i="9" s="1"/>
  <c r="EKU53" i="9" s="1"/>
  <c r="EKV53" i="9" s="1"/>
  <c r="EKW53" i="9" s="1"/>
  <c r="EKX53" i="9" s="1"/>
  <c r="EKY53" i="9" s="1"/>
  <c r="EKZ53" i="9" s="1"/>
  <c r="ELA53" i="9" s="1"/>
  <c r="ELB53" i="9" s="1"/>
  <c r="ELC53" i="9" s="1"/>
  <c r="ELD53" i="9" s="1"/>
  <c r="ELE53" i="9" s="1"/>
  <c r="ELF53" i="9" s="1"/>
  <c r="ELG53" i="9" s="1"/>
  <c r="ELH53" i="9" s="1"/>
  <c r="ELI53" i="9" s="1"/>
  <c r="ELJ53" i="9" s="1"/>
  <c r="ELK53" i="9" s="1"/>
  <c r="ELL53" i="9" s="1"/>
  <c r="ELM53" i="9" s="1"/>
  <c r="ELN53" i="9" s="1"/>
  <c r="ELO53" i="9" s="1"/>
  <c r="ELP53" i="9" s="1"/>
  <c r="ELQ53" i="9" s="1"/>
  <c r="ELR53" i="9" s="1"/>
  <c r="ELS53" i="9" s="1"/>
  <c r="ELT53" i="9" s="1"/>
  <c r="ELU53" i="9" s="1"/>
  <c r="ELV53" i="9" s="1"/>
  <c r="ELW53" i="9" s="1"/>
  <c r="ELX53" i="9" s="1"/>
  <c r="ELY53" i="9" s="1"/>
  <c r="ELZ53" i="9" s="1"/>
  <c r="EMA53" i="9" s="1"/>
  <c r="EMB53" i="9" s="1"/>
  <c r="EMC53" i="9" s="1"/>
  <c r="EMD53" i="9" s="1"/>
  <c r="EME53" i="9" s="1"/>
  <c r="EMF53" i="9" s="1"/>
  <c r="EMG53" i="9" s="1"/>
  <c r="EMH53" i="9" s="1"/>
  <c r="EMI53" i="9" s="1"/>
  <c r="EMJ53" i="9" s="1"/>
  <c r="EMK53" i="9" s="1"/>
  <c r="EML53" i="9" s="1"/>
  <c r="EMM53" i="9" s="1"/>
  <c r="EMN53" i="9" s="1"/>
  <c r="EMO53" i="9" s="1"/>
  <c r="EMP53" i="9" s="1"/>
  <c r="EMQ53" i="9" s="1"/>
  <c r="EMR53" i="9" s="1"/>
  <c r="EMS53" i="9" s="1"/>
  <c r="EMT53" i="9" s="1"/>
  <c r="EMU53" i="9" s="1"/>
  <c r="EMV53" i="9" s="1"/>
  <c r="EMW53" i="9" s="1"/>
  <c r="EMX53" i="9" s="1"/>
  <c r="EMY53" i="9" s="1"/>
  <c r="EMZ53" i="9" s="1"/>
  <c r="ENA53" i="9" s="1"/>
  <c r="ENB53" i="9" s="1"/>
  <c r="ENC53" i="9" s="1"/>
  <c r="END53" i="9" s="1"/>
  <c r="ENE53" i="9" s="1"/>
  <c r="ENF53" i="9" s="1"/>
  <c r="ENG53" i="9" s="1"/>
  <c r="ENH53" i="9" s="1"/>
  <c r="ENI53" i="9" s="1"/>
  <c r="ENJ53" i="9" s="1"/>
  <c r="ENK53" i="9" s="1"/>
  <c r="ENL53" i="9" s="1"/>
  <c r="ENM53" i="9" s="1"/>
  <c r="ENN53" i="9" s="1"/>
  <c r="ENO53" i="9" s="1"/>
  <c r="ENP53" i="9" s="1"/>
  <c r="ENQ53" i="9" s="1"/>
  <c r="ENR53" i="9" s="1"/>
  <c r="ENS53" i="9" s="1"/>
  <c r="ENT53" i="9" s="1"/>
  <c r="ENU53" i="9" s="1"/>
  <c r="ENV53" i="9" s="1"/>
  <c r="ENW53" i="9" s="1"/>
  <c r="ENX53" i="9" s="1"/>
  <c r="ENY53" i="9" s="1"/>
  <c r="ENZ53" i="9" s="1"/>
  <c r="EOA53" i="9" s="1"/>
  <c r="EOB53" i="9" s="1"/>
  <c r="EOC53" i="9" s="1"/>
  <c r="EOD53" i="9" s="1"/>
  <c r="EOE53" i="9" s="1"/>
  <c r="EOF53" i="9" s="1"/>
  <c r="EOG53" i="9" s="1"/>
  <c r="EOH53" i="9" s="1"/>
  <c r="EOI53" i="9" s="1"/>
  <c r="EOJ53" i="9" s="1"/>
  <c r="EOK53" i="9" s="1"/>
  <c r="EOL53" i="9" s="1"/>
  <c r="EOM53" i="9" s="1"/>
  <c r="EON53" i="9" s="1"/>
  <c r="EOO53" i="9" s="1"/>
  <c r="EOP53" i="9" s="1"/>
  <c r="EOQ53" i="9" s="1"/>
  <c r="EOR53" i="9" s="1"/>
  <c r="EOS53" i="9" s="1"/>
  <c r="EOT53" i="9" s="1"/>
  <c r="EOU53" i="9" s="1"/>
  <c r="EOV53" i="9" s="1"/>
  <c r="EOW53" i="9" s="1"/>
  <c r="EOX53" i="9" s="1"/>
  <c r="EOY53" i="9" s="1"/>
  <c r="EOZ53" i="9" s="1"/>
  <c r="EPA53" i="9" s="1"/>
  <c r="EPB53" i="9" s="1"/>
  <c r="EPC53" i="9" s="1"/>
  <c r="EPD53" i="9" s="1"/>
  <c r="EPE53" i="9" s="1"/>
  <c r="EPF53" i="9" s="1"/>
  <c r="EPG53" i="9" s="1"/>
  <c r="EPH53" i="9" s="1"/>
  <c r="EPI53" i="9" s="1"/>
  <c r="EPJ53" i="9" s="1"/>
  <c r="EPK53" i="9" s="1"/>
  <c r="EPL53" i="9" s="1"/>
  <c r="EPM53" i="9" s="1"/>
  <c r="EPN53" i="9" s="1"/>
  <c r="EPO53" i="9" s="1"/>
  <c r="EPP53" i="9" s="1"/>
  <c r="EPQ53" i="9" s="1"/>
  <c r="EPR53" i="9" s="1"/>
  <c r="EPS53" i="9" s="1"/>
  <c r="EPT53" i="9" s="1"/>
  <c r="EPU53" i="9" s="1"/>
  <c r="EPV53" i="9" s="1"/>
  <c r="EPW53" i="9" s="1"/>
  <c r="EPX53" i="9" s="1"/>
  <c r="EPY53" i="9" s="1"/>
  <c r="EPZ53" i="9" s="1"/>
  <c r="EQA53" i="9" s="1"/>
  <c r="EQB53" i="9" s="1"/>
  <c r="EQC53" i="9" s="1"/>
  <c r="EQD53" i="9" s="1"/>
  <c r="EQE53" i="9" s="1"/>
  <c r="EQF53" i="9" s="1"/>
  <c r="EQG53" i="9" s="1"/>
  <c r="EQH53" i="9" s="1"/>
  <c r="EQI53" i="9" s="1"/>
  <c r="EQJ53" i="9" s="1"/>
  <c r="EQK53" i="9" s="1"/>
  <c r="EQL53" i="9" s="1"/>
  <c r="EQM53" i="9" s="1"/>
  <c r="EQN53" i="9" s="1"/>
  <c r="EQO53" i="9" s="1"/>
  <c r="EQP53" i="9" s="1"/>
  <c r="EQQ53" i="9" s="1"/>
  <c r="EQR53" i="9" s="1"/>
  <c r="EQS53" i="9" s="1"/>
  <c r="EQT53" i="9" s="1"/>
  <c r="EQU53" i="9" s="1"/>
  <c r="EQV53" i="9" s="1"/>
  <c r="EQW53" i="9" s="1"/>
  <c r="EQX53" i="9" s="1"/>
  <c r="EQY53" i="9" s="1"/>
  <c r="EQZ53" i="9" s="1"/>
  <c r="ERA53" i="9" s="1"/>
  <c r="ERB53" i="9" s="1"/>
  <c r="ERC53" i="9" s="1"/>
  <c r="ERD53" i="9" s="1"/>
  <c r="ERE53" i="9" s="1"/>
  <c r="ERF53" i="9" s="1"/>
  <c r="ERG53" i="9" s="1"/>
  <c r="ERH53" i="9" s="1"/>
  <c r="ERI53" i="9" s="1"/>
  <c r="ERJ53" i="9" s="1"/>
  <c r="ERK53" i="9" s="1"/>
  <c r="ERL53" i="9" s="1"/>
  <c r="ERM53" i="9" s="1"/>
  <c r="ERN53" i="9" s="1"/>
  <c r="ERO53" i="9" s="1"/>
  <c r="ERP53" i="9" s="1"/>
  <c r="ERQ53" i="9" s="1"/>
  <c r="ERR53" i="9" s="1"/>
  <c r="ERS53" i="9" s="1"/>
  <c r="ERT53" i="9" s="1"/>
  <c r="ERU53" i="9" s="1"/>
  <c r="ERV53" i="9" s="1"/>
  <c r="ERW53" i="9" s="1"/>
  <c r="ERX53" i="9" s="1"/>
  <c r="ERY53" i="9" s="1"/>
  <c r="ERZ53" i="9" s="1"/>
  <c r="ESA53" i="9" s="1"/>
  <c r="ESB53" i="9" s="1"/>
  <c r="ESC53" i="9" s="1"/>
  <c r="ESD53" i="9" s="1"/>
  <c r="ESE53" i="9" s="1"/>
  <c r="ESF53" i="9" s="1"/>
  <c r="ESG53" i="9" s="1"/>
  <c r="ESH53" i="9" s="1"/>
  <c r="ESI53" i="9" s="1"/>
  <c r="ESJ53" i="9" s="1"/>
  <c r="ESK53" i="9" s="1"/>
  <c r="ESL53" i="9" s="1"/>
  <c r="ESM53" i="9" s="1"/>
  <c r="ESN53" i="9" s="1"/>
  <c r="ESO53" i="9" s="1"/>
  <c r="ESP53" i="9" s="1"/>
  <c r="ESQ53" i="9" s="1"/>
  <c r="ESR53" i="9" s="1"/>
  <c r="ESS53" i="9" s="1"/>
  <c r="EST53" i="9" s="1"/>
  <c r="ESU53" i="9" s="1"/>
  <c r="ESV53" i="9" s="1"/>
  <c r="ESW53" i="9" s="1"/>
  <c r="ESX53" i="9" s="1"/>
  <c r="ESY53" i="9" s="1"/>
  <c r="ESZ53" i="9" s="1"/>
  <c r="ETA53" i="9" s="1"/>
  <c r="ETB53" i="9" s="1"/>
  <c r="ETC53" i="9" s="1"/>
  <c r="ETD53" i="9" s="1"/>
  <c r="ETE53" i="9" s="1"/>
  <c r="ETF53" i="9" s="1"/>
  <c r="ETG53" i="9" s="1"/>
  <c r="ETH53" i="9" s="1"/>
  <c r="ETI53" i="9" s="1"/>
  <c r="ETJ53" i="9" s="1"/>
  <c r="ETK53" i="9" s="1"/>
  <c r="ETL53" i="9" s="1"/>
  <c r="ETM53" i="9" s="1"/>
  <c r="ETN53" i="9" s="1"/>
  <c r="ETO53" i="9" s="1"/>
  <c r="ETP53" i="9" s="1"/>
  <c r="ETQ53" i="9" s="1"/>
  <c r="ETR53" i="9" s="1"/>
  <c r="ETS53" i="9" s="1"/>
  <c r="ETT53" i="9" s="1"/>
  <c r="ETU53" i="9" s="1"/>
  <c r="ETV53" i="9" s="1"/>
  <c r="ETW53" i="9" s="1"/>
  <c r="ETX53" i="9" s="1"/>
  <c r="ETY53" i="9" s="1"/>
  <c r="ETZ53" i="9" s="1"/>
  <c r="EUA53" i="9" s="1"/>
  <c r="EUB53" i="9" s="1"/>
  <c r="EUC53" i="9" s="1"/>
  <c r="EUD53" i="9" s="1"/>
  <c r="EUE53" i="9" s="1"/>
  <c r="EUF53" i="9" s="1"/>
  <c r="EUG53" i="9" s="1"/>
  <c r="EUH53" i="9" s="1"/>
  <c r="EUI53" i="9" s="1"/>
  <c r="EUJ53" i="9" s="1"/>
  <c r="EUK53" i="9" s="1"/>
  <c r="EUL53" i="9" s="1"/>
  <c r="EUM53" i="9" s="1"/>
  <c r="EUN53" i="9" s="1"/>
  <c r="EUO53" i="9" s="1"/>
  <c r="EUP53" i="9" s="1"/>
  <c r="EUQ53" i="9" s="1"/>
  <c r="EUR53" i="9" s="1"/>
  <c r="EUS53" i="9" s="1"/>
  <c r="EUT53" i="9" s="1"/>
  <c r="EUU53" i="9" s="1"/>
  <c r="EUV53" i="9" s="1"/>
  <c r="EUW53" i="9" s="1"/>
  <c r="EUX53" i="9" s="1"/>
  <c r="EUY53" i="9" s="1"/>
  <c r="EUZ53" i="9" s="1"/>
  <c r="EVA53" i="9" s="1"/>
  <c r="EVB53" i="9" s="1"/>
  <c r="EVC53" i="9" s="1"/>
  <c r="EVD53" i="9" s="1"/>
  <c r="EVE53" i="9" s="1"/>
  <c r="EVF53" i="9" s="1"/>
  <c r="EVG53" i="9" s="1"/>
  <c r="EVH53" i="9" s="1"/>
  <c r="EVI53" i="9" s="1"/>
  <c r="EVJ53" i="9" s="1"/>
  <c r="EVK53" i="9" s="1"/>
  <c r="EVL53" i="9" s="1"/>
  <c r="EVM53" i="9" s="1"/>
  <c r="EVN53" i="9" s="1"/>
  <c r="EVO53" i="9" s="1"/>
  <c r="EVP53" i="9" s="1"/>
  <c r="EVQ53" i="9" s="1"/>
  <c r="EVR53" i="9" s="1"/>
  <c r="EVS53" i="9" s="1"/>
  <c r="EVT53" i="9" s="1"/>
  <c r="EVU53" i="9" s="1"/>
  <c r="EVV53" i="9" s="1"/>
  <c r="EVW53" i="9" s="1"/>
  <c r="EVX53" i="9" s="1"/>
  <c r="EVY53" i="9" s="1"/>
  <c r="EVZ53" i="9" s="1"/>
  <c r="EWA53" i="9" s="1"/>
  <c r="EWB53" i="9" s="1"/>
  <c r="EWC53" i="9" s="1"/>
  <c r="EWD53" i="9" s="1"/>
  <c r="EWE53" i="9" s="1"/>
  <c r="EWF53" i="9" s="1"/>
  <c r="EWG53" i="9" s="1"/>
  <c r="EWH53" i="9" s="1"/>
  <c r="EWI53" i="9" s="1"/>
  <c r="EWJ53" i="9" s="1"/>
  <c r="EWK53" i="9" s="1"/>
  <c r="EWL53" i="9" s="1"/>
  <c r="EWM53" i="9" s="1"/>
  <c r="EWN53" i="9" s="1"/>
  <c r="EWO53" i="9" s="1"/>
  <c r="EWP53" i="9" s="1"/>
  <c r="EWQ53" i="9" s="1"/>
  <c r="EWR53" i="9" s="1"/>
  <c r="EWS53" i="9" s="1"/>
  <c r="EWT53" i="9" s="1"/>
  <c r="EWU53" i="9" s="1"/>
  <c r="EWV53" i="9" s="1"/>
  <c r="EWW53" i="9" s="1"/>
  <c r="EWX53" i="9" s="1"/>
  <c r="EWY53" i="9" s="1"/>
  <c r="EWZ53" i="9" s="1"/>
  <c r="EXA53" i="9" s="1"/>
  <c r="EXB53" i="9" s="1"/>
  <c r="EXC53" i="9" s="1"/>
  <c r="EXD53" i="9" s="1"/>
  <c r="EXE53" i="9" s="1"/>
  <c r="EXF53" i="9" s="1"/>
  <c r="EXG53" i="9" s="1"/>
  <c r="EXH53" i="9" s="1"/>
  <c r="EXI53" i="9" s="1"/>
  <c r="EXJ53" i="9" s="1"/>
  <c r="EXK53" i="9" s="1"/>
  <c r="EXL53" i="9" s="1"/>
  <c r="EXM53" i="9" s="1"/>
  <c r="EXN53" i="9" s="1"/>
  <c r="EXO53" i="9" s="1"/>
  <c r="EXP53" i="9" s="1"/>
  <c r="EXQ53" i="9" s="1"/>
  <c r="EXR53" i="9" s="1"/>
  <c r="EXS53" i="9" s="1"/>
  <c r="EXT53" i="9" s="1"/>
  <c r="EXU53" i="9" s="1"/>
  <c r="EXV53" i="9" s="1"/>
  <c r="EXW53" i="9" s="1"/>
  <c r="EXX53" i="9" s="1"/>
  <c r="EXY53" i="9" s="1"/>
  <c r="EXZ53" i="9" s="1"/>
  <c r="EYA53" i="9" s="1"/>
  <c r="EYB53" i="9" s="1"/>
  <c r="EYC53" i="9" s="1"/>
  <c r="EYD53" i="9" s="1"/>
  <c r="EYE53" i="9" s="1"/>
  <c r="EYF53" i="9" s="1"/>
  <c r="EYG53" i="9" s="1"/>
  <c r="EYH53" i="9" s="1"/>
  <c r="EYI53" i="9" s="1"/>
  <c r="EYJ53" i="9" s="1"/>
  <c r="EYK53" i="9" s="1"/>
  <c r="EYL53" i="9" s="1"/>
  <c r="EYM53" i="9" s="1"/>
  <c r="EYN53" i="9" s="1"/>
  <c r="EYO53" i="9" s="1"/>
  <c r="EYP53" i="9" s="1"/>
  <c r="EYQ53" i="9" s="1"/>
  <c r="EYR53" i="9" s="1"/>
  <c r="EYS53" i="9" s="1"/>
  <c r="EYT53" i="9" s="1"/>
  <c r="EYU53" i="9" s="1"/>
  <c r="EYV53" i="9" s="1"/>
  <c r="EYW53" i="9" s="1"/>
  <c r="EYX53" i="9" s="1"/>
  <c r="EYY53" i="9" s="1"/>
  <c r="EYZ53" i="9" s="1"/>
  <c r="EZA53" i="9" s="1"/>
  <c r="EZB53" i="9" s="1"/>
  <c r="EZC53" i="9" s="1"/>
  <c r="EZD53" i="9" s="1"/>
  <c r="EZE53" i="9" s="1"/>
  <c r="EZF53" i="9" s="1"/>
  <c r="EZG53" i="9" s="1"/>
  <c r="EZH53" i="9" s="1"/>
  <c r="EZI53" i="9" s="1"/>
  <c r="EZJ53" i="9" s="1"/>
  <c r="EZK53" i="9" s="1"/>
  <c r="EZL53" i="9" s="1"/>
  <c r="EZM53" i="9" s="1"/>
  <c r="EZN53" i="9" s="1"/>
  <c r="EZO53" i="9" s="1"/>
  <c r="EZP53" i="9" s="1"/>
  <c r="EZQ53" i="9" s="1"/>
  <c r="EZR53" i="9" s="1"/>
  <c r="EZS53" i="9" s="1"/>
  <c r="EZT53" i="9" s="1"/>
  <c r="EZU53" i="9" s="1"/>
  <c r="EZV53" i="9" s="1"/>
  <c r="EZW53" i="9" s="1"/>
  <c r="EZX53" i="9" s="1"/>
  <c r="EZY53" i="9" s="1"/>
  <c r="EZZ53" i="9" s="1"/>
  <c r="FAA53" i="9" s="1"/>
  <c r="FAB53" i="9" s="1"/>
  <c r="FAC53" i="9" s="1"/>
  <c r="FAD53" i="9" s="1"/>
  <c r="FAE53" i="9" s="1"/>
  <c r="FAF53" i="9" s="1"/>
  <c r="FAG53" i="9" s="1"/>
  <c r="FAH53" i="9" s="1"/>
  <c r="FAI53" i="9" s="1"/>
  <c r="FAJ53" i="9" s="1"/>
  <c r="FAK53" i="9" s="1"/>
  <c r="FAL53" i="9" s="1"/>
  <c r="FAM53" i="9" s="1"/>
  <c r="FAN53" i="9" s="1"/>
  <c r="FAO53" i="9" s="1"/>
  <c r="FAP53" i="9" s="1"/>
  <c r="FAQ53" i="9" s="1"/>
  <c r="FAR53" i="9" s="1"/>
  <c r="FAS53" i="9" s="1"/>
  <c r="FAT53" i="9" s="1"/>
  <c r="FAU53" i="9" s="1"/>
  <c r="FAV53" i="9" s="1"/>
  <c r="FAW53" i="9" s="1"/>
  <c r="FAX53" i="9" s="1"/>
  <c r="FAY53" i="9" s="1"/>
  <c r="FAZ53" i="9" s="1"/>
  <c r="FBA53" i="9" s="1"/>
  <c r="FBB53" i="9" s="1"/>
  <c r="FBC53" i="9" s="1"/>
  <c r="FBD53" i="9" s="1"/>
  <c r="FBE53" i="9" s="1"/>
  <c r="FBF53" i="9" s="1"/>
  <c r="FBG53" i="9" s="1"/>
  <c r="FBH53" i="9" s="1"/>
  <c r="FBI53" i="9" s="1"/>
  <c r="FBJ53" i="9" s="1"/>
  <c r="FBK53" i="9" s="1"/>
  <c r="FBL53" i="9" s="1"/>
  <c r="FBM53" i="9" s="1"/>
  <c r="FBN53" i="9" s="1"/>
  <c r="FBO53" i="9" s="1"/>
  <c r="FBP53" i="9" s="1"/>
  <c r="FBQ53" i="9" s="1"/>
  <c r="FBR53" i="9" s="1"/>
  <c r="FBS53" i="9" s="1"/>
  <c r="FBT53" i="9" s="1"/>
  <c r="FBU53" i="9" s="1"/>
  <c r="FBV53" i="9" s="1"/>
  <c r="FBW53" i="9" s="1"/>
  <c r="FBX53" i="9" s="1"/>
  <c r="FBY53" i="9" s="1"/>
  <c r="FBZ53" i="9" s="1"/>
  <c r="FCA53" i="9" s="1"/>
  <c r="FCB53" i="9" s="1"/>
  <c r="FCC53" i="9" s="1"/>
  <c r="FCD53" i="9" s="1"/>
  <c r="FCE53" i="9" s="1"/>
  <c r="FCF53" i="9" s="1"/>
  <c r="FCG53" i="9" s="1"/>
  <c r="FCH53" i="9" s="1"/>
  <c r="FCI53" i="9" s="1"/>
  <c r="FCJ53" i="9" s="1"/>
  <c r="FCK53" i="9" s="1"/>
  <c r="FCL53" i="9" s="1"/>
  <c r="FCM53" i="9" s="1"/>
  <c r="FCN53" i="9" s="1"/>
  <c r="FCO53" i="9" s="1"/>
  <c r="FCP53" i="9" s="1"/>
  <c r="FCQ53" i="9" s="1"/>
  <c r="FCR53" i="9" s="1"/>
  <c r="FCS53" i="9" s="1"/>
  <c r="FCT53" i="9" s="1"/>
  <c r="FCU53" i="9" s="1"/>
  <c r="FCV53" i="9" s="1"/>
  <c r="FCW53" i="9" s="1"/>
  <c r="FCX53" i="9" s="1"/>
  <c r="FCY53" i="9" s="1"/>
  <c r="FCZ53" i="9" s="1"/>
  <c r="FDA53" i="9" s="1"/>
  <c r="FDB53" i="9" s="1"/>
  <c r="FDC53" i="9" s="1"/>
  <c r="FDD53" i="9" s="1"/>
  <c r="FDE53" i="9" s="1"/>
  <c r="FDF53" i="9" s="1"/>
  <c r="FDG53" i="9" s="1"/>
  <c r="FDH53" i="9" s="1"/>
  <c r="FDI53" i="9" s="1"/>
  <c r="FDJ53" i="9" s="1"/>
  <c r="FDK53" i="9" s="1"/>
  <c r="FDL53" i="9" s="1"/>
  <c r="FDM53" i="9" s="1"/>
  <c r="FDN53" i="9" s="1"/>
  <c r="FDO53" i="9" s="1"/>
  <c r="FDP53" i="9" s="1"/>
  <c r="FDQ53" i="9" s="1"/>
  <c r="FDR53" i="9" s="1"/>
  <c r="FDS53" i="9" s="1"/>
  <c r="FDT53" i="9" s="1"/>
  <c r="FDU53" i="9" s="1"/>
  <c r="FDV53" i="9" s="1"/>
  <c r="FDW53" i="9" s="1"/>
  <c r="FDX53" i="9" s="1"/>
  <c r="FDY53" i="9" s="1"/>
  <c r="FDZ53" i="9" s="1"/>
  <c r="FEA53" i="9" s="1"/>
  <c r="FEB53" i="9" s="1"/>
  <c r="FEC53" i="9" s="1"/>
  <c r="FED53" i="9" s="1"/>
  <c r="FEE53" i="9" s="1"/>
  <c r="FEF53" i="9" s="1"/>
  <c r="FEG53" i="9" s="1"/>
  <c r="FEH53" i="9" s="1"/>
  <c r="FEI53" i="9" s="1"/>
  <c r="FEJ53" i="9" s="1"/>
  <c r="FEK53" i="9" s="1"/>
  <c r="FEL53" i="9" s="1"/>
  <c r="FEM53" i="9" s="1"/>
  <c r="FEN53" i="9" s="1"/>
  <c r="FEO53" i="9" s="1"/>
  <c r="FEP53" i="9" s="1"/>
  <c r="FEQ53" i="9" s="1"/>
  <c r="FER53" i="9" s="1"/>
  <c r="FES53" i="9" s="1"/>
  <c r="FET53" i="9" s="1"/>
  <c r="FEU53" i="9" s="1"/>
  <c r="FEV53" i="9" s="1"/>
  <c r="FEW53" i="9" s="1"/>
  <c r="FEX53" i="9" s="1"/>
  <c r="FEY53" i="9" s="1"/>
  <c r="FEZ53" i="9" s="1"/>
  <c r="FFA53" i="9" s="1"/>
  <c r="FFB53" i="9" s="1"/>
  <c r="FFC53" i="9" s="1"/>
  <c r="FFD53" i="9" s="1"/>
  <c r="FFE53" i="9" s="1"/>
  <c r="FFF53" i="9" s="1"/>
  <c r="FFG53" i="9" s="1"/>
  <c r="FFH53" i="9" s="1"/>
  <c r="FFI53" i="9" s="1"/>
  <c r="FFJ53" i="9" s="1"/>
  <c r="FFK53" i="9" s="1"/>
  <c r="FFL53" i="9" s="1"/>
  <c r="FFM53" i="9" s="1"/>
  <c r="FFN53" i="9" s="1"/>
  <c r="FFO53" i="9" s="1"/>
  <c r="FFP53" i="9" s="1"/>
  <c r="FFQ53" i="9" s="1"/>
  <c r="FFR53" i="9" s="1"/>
  <c r="FFS53" i="9" s="1"/>
  <c r="FFT53" i="9" s="1"/>
  <c r="FFU53" i="9" s="1"/>
  <c r="FFV53" i="9" s="1"/>
  <c r="FFW53" i="9" s="1"/>
  <c r="FFX53" i="9" s="1"/>
  <c r="FFY53" i="9" s="1"/>
  <c r="FFZ53" i="9" s="1"/>
  <c r="FGA53" i="9" s="1"/>
  <c r="FGB53" i="9" s="1"/>
  <c r="FGC53" i="9" s="1"/>
  <c r="FGD53" i="9" s="1"/>
  <c r="FGE53" i="9" s="1"/>
  <c r="FGF53" i="9" s="1"/>
  <c r="FGG53" i="9" s="1"/>
  <c r="FGH53" i="9" s="1"/>
  <c r="FGI53" i="9" s="1"/>
  <c r="FGJ53" i="9" s="1"/>
  <c r="FGK53" i="9" s="1"/>
  <c r="FGL53" i="9" s="1"/>
  <c r="FGM53" i="9" s="1"/>
  <c r="FGN53" i="9" s="1"/>
  <c r="FGO53" i="9" s="1"/>
  <c r="FGP53" i="9" s="1"/>
  <c r="FGQ53" i="9" s="1"/>
  <c r="FGR53" i="9" s="1"/>
  <c r="FGS53" i="9" s="1"/>
  <c r="FGT53" i="9" s="1"/>
  <c r="FGU53" i="9" s="1"/>
  <c r="FGV53" i="9" s="1"/>
  <c r="FGW53" i="9" s="1"/>
  <c r="FGX53" i="9" s="1"/>
  <c r="FGY53" i="9" s="1"/>
  <c r="FGZ53" i="9" s="1"/>
  <c r="FHA53" i="9" s="1"/>
  <c r="FHB53" i="9" s="1"/>
  <c r="FHC53" i="9" s="1"/>
  <c r="FHD53" i="9" s="1"/>
  <c r="FHE53" i="9" s="1"/>
  <c r="FHF53" i="9" s="1"/>
  <c r="FHG53" i="9" s="1"/>
  <c r="FHH53" i="9" s="1"/>
  <c r="FHI53" i="9" s="1"/>
  <c r="FHJ53" i="9" s="1"/>
  <c r="FHK53" i="9" s="1"/>
  <c r="FHL53" i="9" s="1"/>
  <c r="FHM53" i="9" s="1"/>
  <c r="FHN53" i="9" s="1"/>
  <c r="FHO53" i="9" s="1"/>
  <c r="FHP53" i="9" s="1"/>
  <c r="FHQ53" i="9" s="1"/>
  <c r="FHR53" i="9" s="1"/>
  <c r="FHS53" i="9" s="1"/>
  <c r="FHT53" i="9" s="1"/>
  <c r="FHU53" i="9" s="1"/>
  <c r="FHV53" i="9" s="1"/>
  <c r="FHW53" i="9" s="1"/>
  <c r="FHX53" i="9" s="1"/>
  <c r="FHY53" i="9" s="1"/>
  <c r="FHZ53" i="9" s="1"/>
  <c r="FIA53" i="9" s="1"/>
  <c r="FIB53" i="9" s="1"/>
  <c r="FIC53" i="9" s="1"/>
  <c r="FID53" i="9" s="1"/>
  <c r="FIE53" i="9" s="1"/>
  <c r="FIF53" i="9" s="1"/>
  <c r="FIG53" i="9" s="1"/>
  <c r="FIH53" i="9" s="1"/>
  <c r="FII53" i="9" s="1"/>
  <c r="FIJ53" i="9" s="1"/>
  <c r="FIK53" i="9" s="1"/>
  <c r="FIL53" i="9" s="1"/>
  <c r="FIM53" i="9" s="1"/>
  <c r="FIN53" i="9" s="1"/>
  <c r="FIO53" i="9" s="1"/>
  <c r="FIP53" i="9" s="1"/>
  <c r="FIQ53" i="9" s="1"/>
  <c r="FIR53" i="9" s="1"/>
  <c r="FIS53" i="9" s="1"/>
  <c r="FIT53" i="9" s="1"/>
  <c r="FIU53" i="9" s="1"/>
  <c r="FIV53" i="9" s="1"/>
  <c r="FIW53" i="9" s="1"/>
  <c r="FIX53" i="9" s="1"/>
  <c r="FIY53" i="9" s="1"/>
  <c r="FIZ53" i="9" s="1"/>
  <c r="FJA53" i="9" s="1"/>
  <c r="FJB53" i="9" s="1"/>
  <c r="FJC53" i="9" s="1"/>
  <c r="FJD53" i="9" s="1"/>
  <c r="FJE53" i="9" s="1"/>
  <c r="FJF53" i="9" s="1"/>
  <c r="FJG53" i="9" s="1"/>
  <c r="FJH53" i="9" s="1"/>
  <c r="FJI53" i="9" s="1"/>
  <c r="FJJ53" i="9" s="1"/>
  <c r="FJK53" i="9" s="1"/>
  <c r="FJL53" i="9" s="1"/>
  <c r="FJM53" i="9" s="1"/>
  <c r="FJN53" i="9" s="1"/>
  <c r="FJO53" i="9" s="1"/>
  <c r="FJP53" i="9" s="1"/>
  <c r="FJQ53" i="9" s="1"/>
  <c r="FJR53" i="9" s="1"/>
  <c r="FJS53" i="9" s="1"/>
  <c r="FJT53" i="9" s="1"/>
  <c r="FJU53" i="9" s="1"/>
  <c r="FJV53" i="9" s="1"/>
  <c r="FJW53" i="9" s="1"/>
  <c r="FJX53" i="9" s="1"/>
  <c r="FJY53" i="9" s="1"/>
  <c r="FJZ53" i="9" s="1"/>
  <c r="FKA53" i="9" s="1"/>
  <c r="FKB53" i="9" s="1"/>
  <c r="FKC53" i="9" s="1"/>
  <c r="FKD53" i="9" s="1"/>
  <c r="FKE53" i="9" s="1"/>
  <c r="FKF53" i="9" s="1"/>
  <c r="FKG53" i="9" s="1"/>
  <c r="FKH53" i="9" s="1"/>
  <c r="FKI53" i="9" s="1"/>
  <c r="FKJ53" i="9" s="1"/>
  <c r="FKK53" i="9" s="1"/>
  <c r="FKL53" i="9" s="1"/>
  <c r="FKM53" i="9" s="1"/>
  <c r="FKN53" i="9" s="1"/>
  <c r="FKO53" i="9" s="1"/>
  <c r="FKP53" i="9" s="1"/>
  <c r="FKQ53" i="9" s="1"/>
  <c r="FKR53" i="9" s="1"/>
  <c r="FKS53" i="9" s="1"/>
  <c r="FKT53" i="9" s="1"/>
  <c r="FKU53" i="9" s="1"/>
  <c r="FKV53" i="9" s="1"/>
  <c r="FKW53" i="9" s="1"/>
  <c r="FKX53" i="9" s="1"/>
  <c r="FKY53" i="9" s="1"/>
  <c r="FKZ53" i="9" s="1"/>
  <c r="FLA53" i="9" s="1"/>
  <c r="FLB53" i="9" s="1"/>
  <c r="FLC53" i="9" s="1"/>
  <c r="FLD53" i="9" s="1"/>
  <c r="FLE53" i="9" s="1"/>
  <c r="FLF53" i="9" s="1"/>
  <c r="FLG53" i="9" s="1"/>
  <c r="FLH53" i="9" s="1"/>
  <c r="FLI53" i="9" s="1"/>
  <c r="FLJ53" i="9" s="1"/>
  <c r="FLK53" i="9" s="1"/>
  <c r="FLL53" i="9" s="1"/>
  <c r="FLM53" i="9" s="1"/>
  <c r="FLN53" i="9" s="1"/>
  <c r="FLO53" i="9" s="1"/>
  <c r="FLP53" i="9" s="1"/>
  <c r="FLQ53" i="9" s="1"/>
  <c r="FLR53" i="9" s="1"/>
  <c r="FLS53" i="9" s="1"/>
  <c r="FLT53" i="9" s="1"/>
  <c r="FLU53" i="9" s="1"/>
  <c r="FLV53" i="9" s="1"/>
  <c r="FLW53" i="9" s="1"/>
  <c r="FLX53" i="9" s="1"/>
  <c r="FLY53" i="9" s="1"/>
  <c r="FLZ53" i="9" s="1"/>
  <c r="FMA53" i="9" s="1"/>
  <c r="FMB53" i="9" s="1"/>
  <c r="FMC53" i="9" s="1"/>
  <c r="FMD53" i="9" s="1"/>
  <c r="FME53" i="9" s="1"/>
  <c r="FMF53" i="9" s="1"/>
  <c r="FMG53" i="9" s="1"/>
  <c r="FMH53" i="9" s="1"/>
  <c r="FMI53" i="9" s="1"/>
  <c r="FMJ53" i="9" s="1"/>
  <c r="FMK53" i="9" s="1"/>
  <c r="FML53" i="9" s="1"/>
  <c r="FMM53" i="9" s="1"/>
  <c r="FMN53" i="9" s="1"/>
  <c r="FMO53" i="9" s="1"/>
  <c r="FMP53" i="9" s="1"/>
  <c r="FMQ53" i="9" s="1"/>
  <c r="FMR53" i="9" s="1"/>
  <c r="FMS53" i="9" s="1"/>
  <c r="FMT53" i="9" s="1"/>
  <c r="FMU53" i="9" s="1"/>
  <c r="FMV53" i="9" s="1"/>
  <c r="FMW53" i="9" s="1"/>
  <c r="FMX53" i="9" s="1"/>
  <c r="FMY53" i="9" s="1"/>
  <c r="FMZ53" i="9" s="1"/>
  <c r="FNA53" i="9" s="1"/>
  <c r="FNB53" i="9" s="1"/>
  <c r="FNC53" i="9" s="1"/>
  <c r="FND53" i="9" s="1"/>
  <c r="FNE53" i="9" s="1"/>
  <c r="FNF53" i="9" s="1"/>
  <c r="FNG53" i="9" s="1"/>
  <c r="FNH53" i="9" s="1"/>
  <c r="FNI53" i="9" s="1"/>
  <c r="FNJ53" i="9" s="1"/>
  <c r="FNK53" i="9" s="1"/>
  <c r="FNL53" i="9" s="1"/>
  <c r="FNM53" i="9" s="1"/>
  <c r="FNN53" i="9" s="1"/>
  <c r="FNO53" i="9" s="1"/>
  <c r="FNP53" i="9" s="1"/>
  <c r="FNQ53" i="9" s="1"/>
  <c r="FNR53" i="9" s="1"/>
  <c r="FNS53" i="9" s="1"/>
  <c r="FNT53" i="9" s="1"/>
  <c r="FNU53" i="9" s="1"/>
  <c r="FNV53" i="9" s="1"/>
  <c r="FNW53" i="9" s="1"/>
  <c r="FNX53" i="9" s="1"/>
  <c r="FNY53" i="9" s="1"/>
  <c r="FNZ53" i="9" s="1"/>
  <c r="FOA53" i="9" s="1"/>
  <c r="FOB53" i="9" s="1"/>
  <c r="FOC53" i="9" s="1"/>
  <c r="FOD53" i="9" s="1"/>
  <c r="FOE53" i="9" s="1"/>
  <c r="FOF53" i="9" s="1"/>
  <c r="FOG53" i="9" s="1"/>
  <c r="FOH53" i="9" s="1"/>
  <c r="FOI53" i="9" s="1"/>
  <c r="FOJ53" i="9" s="1"/>
  <c r="FOK53" i="9" s="1"/>
  <c r="FOL53" i="9" s="1"/>
  <c r="FOM53" i="9" s="1"/>
  <c r="FON53" i="9" s="1"/>
  <c r="FOO53" i="9" s="1"/>
  <c r="FOP53" i="9" s="1"/>
  <c r="FOQ53" i="9" s="1"/>
  <c r="FOR53" i="9" s="1"/>
  <c r="FOS53" i="9" s="1"/>
  <c r="FOT53" i="9" s="1"/>
  <c r="FOU53" i="9" s="1"/>
  <c r="FOV53" i="9" s="1"/>
  <c r="FOW53" i="9" s="1"/>
  <c r="FOX53" i="9" s="1"/>
  <c r="FOY53" i="9" s="1"/>
  <c r="FOZ53" i="9" s="1"/>
  <c r="FPA53" i="9" s="1"/>
  <c r="FPB53" i="9" s="1"/>
  <c r="FPC53" i="9" s="1"/>
  <c r="FPD53" i="9" s="1"/>
  <c r="FPE53" i="9" s="1"/>
  <c r="FPF53" i="9" s="1"/>
  <c r="FPG53" i="9" s="1"/>
  <c r="FPH53" i="9" s="1"/>
  <c r="FPI53" i="9" s="1"/>
  <c r="FPJ53" i="9" s="1"/>
  <c r="FPK53" i="9" s="1"/>
  <c r="FPL53" i="9" s="1"/>
  <c r="FPM53" i="9" s="1"/>
  <c r="FPN53" i="9" s="1"/>
  <c r="FPO53" i="9" s="1"/>
  <c r="FPP53" i="9" s="1"/>
  <c r="FPQ53" i="9" s="1"/>
  <c r="FPR53" i="9" s="1"/>
  <c r="FPS53" i="9" s="1"/>
  <c r="FPT53" i="9" s="1"/>
  <c r="FPU53" i="9" s="1"/>
  <c r="FPV53" i="9" s="1"/>
  <c r="FPW53" i="9" s="1"/>
  <c r="FPX53" i="9" s="1"/>
  <c r="FPY53" i="9" s="1"/>
  <c r="FPZ53" i="9" s="1"/>
  <c r="FQA53" i="9" s="1"/>
  <c r="FQB53" i="9" s="1"/>
  <c r="FQC53" i="9" s="1"/>
  <c r="FQD53" i="9" s="1"/>
  <c r="FQE53" i="9" s="1"/>
  <c r="FQF53" i="9" s="1"/>
  <c r="FQG53" i="9" s="1"/>
  <c r="FQH53" i="9" s="1"/>
  <c r="FQI53" i="9" s="1"/>
  <c r="FQJ53" i="9" s="1"/>
  <c r="FQK53" i="9" s="1"/>
  <c r="FQL53" i="9" s="1"/>
  <c r="FQM53" i="9" s="1"/>
  <c r="FQN53" i="9" s="1"/>
  <c r="FQO53" i="9" s="1"/>
  <c r="FQP53" i="9" s="1"/>
  <c r="FQQ53" i="9" s="1"/>
  <c r="FQR53" i="9" s="1"/>
  <c r="FQS53" i="9" s="1"/>
  <c r="FQT53" i="9" s="1"/>
  <c r="FQU53" i="9" s="1"/>
  <c r="FQV53" i="9" s="1"/>
  <c r="FQW53" i="9" s="1"/>
  <c r="FQX53" i="9" s="1"/>
  <c r="FQY53" i="9" s="1"/>
  <c r="FQZ53" i="9" s="1"/>
  <c r="FRA53" i="9" s="1"/>
  <c r="FRB53" i="9" s="1"/>
  <c r="FRC53" i="9" s="1"/>
  <c r="FRD53" i="9" s="1"/>
  <c r="FRE53" i="9" s="1"/>
  <c r="FRF53" i="9" s="1"/>
  <c r="FRG53" i="9" s="1"/>
  <c r="FRH53" i="9" s="1"/>
  <c r="FRI53" i="9" s="1"/>
  <c r="FRJ53" i="9" s="1"/>
  <c r="FRK53" i="9" s="1"/>
  <c r="FRL53" i="9" s="1"/>
  <c r="FRM53" i="9" s="1"/>
  <c r="FRN53" i="9" s="1"/>
  <c r="FRO53" i="9" s="1"/>
  <c r="FRP53" i="9" s="1"/>
  <c r="FRQ53" i="9" s="1"/>
  <c r="FRR53" i="9" s="1"/>
  <c r="FRS53" i="9" s="1"/>
  <c r="FRT53" i="9" s="1"/>
  <c r="FRU53" i="9" s="1"/>
  <c r="FRV53" i="9" s="1"/>
  <c r="FRW53" i="9" s="1"/>
  <c r="FRX53" i="9" s="1"/>
  <c r="FRY53" i="9" s="1"/>
  <c r="FRZ53" i="9" s="1"/>
  <c r="FSA53" i="9" s="1"/>
  <c r="FSB53" i="9" s="1"/>
  <c r="FSC53" i="9" s="1"/>
  <c r="FSD53" i="9" s="1"/>
  <c r="FSE53" i="9" s="1"/>
  <c r="FSF53" i="9" s="1"/>
  <c r="FSG53" i="9" s="1"/>
  <c r="FSH53" i="9" s="1"/>
  <c r="FSI53" i="9" s="1"/>
  <c r="FSJ53" i="9" s="1"/>
  <c r="FSK53" i="9" s="1"/>
  <c r="FSL53" i="9" s="1"/>
  <c r="FSM53" i="9" s="1"/>
  <c r="FSN53" i="9" s="1"/>
  <c r="FSO53" i="9" s="1"/>
  <c r="FSP53" i="9" s="1"/>
  <c r="FSQ53" i="9" s="1"/>
  <c r="FSR53" i="9" s="1"/>
  <c r="FSS53" i="9" s="1"/>
  <c r="FST53" i="9" s="1"/>
  <c r="FSU53" i="9" s="1"/>
  <c r="FSV53" i="9" s="1"/>
  <c r="FSW53" i="9" s="1"/>
  <c r="FSX53" i="9" s="1"/>
  <c r="FSY53" i="9" s="1"/>
  <c r="FSZ53" i="9" s="1"/>
  <c r="FTA53" i="9" s="1"/>
  <c r="FTB53" i="9" s="1"/>
  <c r="FTC53" i="9" s="1"/>
  <c r="FTD53" i="9" s="1"/>
  <c r="FTE53" i="9" s="1"/>
  <c r="FTF53" i="9" s="1"/>
  <c r="FTG53" i="9" s="1"/>
  <c r="FTH53" i="9" s="1"/>
  <c r="FTI53" i="9" s="1"/>
  <c r="FTJ53" i="9" s="1"/>
  <c r="FTK53" i="9" s="1"/>
  <c r="FTL53" i="9" s="1"/>
  <c r="FTM53" i="9" s="1"/>
  <c r="FTN53" i="9" s="1"/>
  <c r="FTO53" i="9" s="1"/>
  <c r="FTP53" i="9" s="1"/>
  <c r="FTQ53" i="9" s="1"/>
  <c r="FTR53" i="9" s="1"/>
  <c r="FTS53" i="9" s="1"/>
  <c r="FTT53" i="9" s="1"/>
  <c r="FTU53" i="9" s="1"/>
  <c r="FTV53" i="9" s="1"/>
  <c r="FTW53" i="9" s="1"/>
  <c r="FTX53" i="9" s="1"/>
  <c r="FTY53" i="9" s="1"/>
  <c r="FTZ53" i="9" s="1"/>
  <c r="FUA53" i="9" s="1"/>
  <c r="FUB53" i="9" s="1"/>
  <c r="FUC53" i="9" s="1"/>
  <c r="FUD53" i="9" s="1"/>
  <c r="FUE53" i="9" s="1"/>
  <c r="FUF53" i="9" s="1"/>
  <c r="FUG53" i="9" s="1"/>
  <c r="FUH53" i="9" s="1"/>
  <c r="FUI53" i="9" s="1"/>
  <c r="FUJ53" i="9" s="1"/>
  <c r="FUK53" i="9" s="1"/>
  <c r="FUL53" i="9" s="1"/>
  <c r="FUM53" i="9" s="1"/>
  <c r="FUN53" i="9" s="1"/>
  <c r="FUO53" i="9" s="1"/>
  <c r="FUP53" i="9" s="1"/>
  <c r="FUQ53" i="9" s="1"/>
  <c r="FUR53" i="9" s="1"/>
  <c r="FUS53" i="9" s="1"/>
  <c r="FUT53" i="9" s="1"/>
  <c r="FUU53" i="9" s="1"/>
  <c r="FUV53" i="9" s="1"/>
  <c r="FUW53" i="9" s="1"/>
  <c r="FUX53" i="9" s="1"/>
  <c r="FUY53" i="9" s="1"/>
  <c r="FUZ53" i="9" s="1"/>
  <c r="FVA53" i="9" s="1"/>
  <c r="FVB53" i="9" s="1"/>
  <c r="FVC53" i="9" s="1"/>
  <c r="FVD53" i="9" s="1"/>
  <c r="FVE53" i="9" s="1"/>
  <c r="FVF53" i="9" s="1"/>
  <c r="FVG53" i="9" s="1"/>
  <c r="FVH53" i="9" s="1"/>
  <c r="FVI53" i="9" s="1"/>
  <c r="FVJ53" i="9" s="1"/>
  <c r="FVK53" i="9" s="1"/>
  <c r="FVL53" i="9" s="1"/>
  <c r="FVM53" i="9" s="1"/>
  <c r="FVN53" i="9" s="1"/>
  <c r="FVO53" i="9" s="1"/>
  <c r="FVP53" i="9" s="1"/>
  <c r="FVQ53" i="9" s="1"/>
  <c r="FVR53" i="9" s="1"/>
  <c r="FVS53" i="9" s="1"/>
  <c r="FVT53" i="9" s="1"/>
  <c r="FVU53" i="9" s="1"/>
  <c r="FVV53" i="9" s="1"/>
  <c r="FVW53" i="9" s="1"/>
  <c r="FVX53" i="9" s="1"/>
  <c r="FVY53" i="9" s="1"/>
  <c r="FVZ53" i="9" s="1"/>
  <c r="FWA53" i="9" s="1"/>
  <c r="FWB53" i="9" s="1"/>
  <c r="FWC53" i="9" s="1"/>
  <c r="FWD53" i="9" s="1"/>
  <c r="FWE53" i="9" s="1"/>
  <c r="FWF53" i="9" s="1"/>
  <c r="FWG53" i="9" s="1"/>
  <c r="FWH53" i="9" s="1"/>
  <c r="FWI53" i="9" s="1"/>
  <c r="FWJ53" i="9" s="1"/>
  <c r="FWK53" i="9" s="1"/>
  <c r="FWL53" i="9" s="1"/>
  <c r="FWM53" i="9" s="1"/>
  <c r="FWN53" i="9" s="1"/>
  <c r="FWO53" i="9" s="1"/>
  <c r="FWP53" i="9" s="1"/>
  <c r="FWQ53" i="9" s="1"/>
  <c r="FWR53" i="9" s="1"/>
  <c r="FWS53" i="9" s="1"/>
  <c r="FWT53" i="9" s="1"/>
  <c r="FWU53" i="9" s="1"/>
  <c r="FWV53" i="9" s="1"/>
  <c r="FWW53" i="9" s="1"/>
  <c r="FWX53" i="9" s="1"/>
  <c r="FWY53" i="9" s="1"/>
  <c r="FWZ53" i="9" s="1"/>
  <c r="FXA53" i="9" s="1"/>
  <c r="FXB53" i="9" s="1"/>
  <c r="FXC53" i="9" s="1"/>
  <c r="FXD53" i="9" s="1"/>
  <c r="FXE53" i="9" s="1"/>
  <c r="FXF53" i="9" s="1"/>
  <c r="FXG53" i="9" s="1"/>
  <c r="FXH53" i="9" s="1"/>
  <c r="FXI53" i="9" s="1"/>
  <c r="FXJ53" i="9" s="1"/>
  <c r="FXK53" i="9" s="1"/>
  <c r="FXL53" i="9" s="1"/>
  <c r="FXM53" i="9" s="1"/>
  <c r="FXN53" i="9" s="1"/>
  <c r="FXO53" i="9" s="1"/>
  <c r="FXP53" i="9" s="1"/>
  <c r="FXQ53" i="9" s="1"/>
  <c r="FXR53" i="9" s="1"/>
  <c r="FXS53" i="9" s="1"/>
  <c r="FXT53" i="9" s="1"/>
  <c r="FXU53" i="9" s="1"/>
  <c r="FXV53" i="9" s="1"/>
  <c r="FXW53" i="9" s="1"/>
  <c r="FXX53" i="9" s="1"/>
  <c r="FXY53" i="9" s="1"/>
  <c r="FXZ53" i="9" s="1"/>
  <c r="FYA53" i="9" s="1"/>
  <c r="FYB53" i="9" s="1"/>
  <c r="FYC53" i="9" s="1"/>
  <c r="FYD53" i="9" s="1"/>
  <c r="FYE53" i="9" s="1"/>
  <c r="FYF53" i="9" s="1"/>
  <c r="FYG53" i="9" s="1"/>
  <c r="FYH53" i="9" s="1"/>
  <c r="FYI53" i="9" s="1"/>
  <c r="FYJ53" i="9" s="1"/>
  <c r="FYK53" i="9" s="1"/>
  <c r="FYL53" i="9" s="1"/>
  <c r="FYM53" i="9" s="1"/>
  <c r="FYN53" i="9" s="1"/>
  <c r="FYO53" i="9" s="1"/>
  <c r="FYP53" i="9" s="1"/>
  <c r="FYQ53" i="9" s="1"/>
  <c r="FYR53" i="9" s="1"/>
  <c r="FYS53" i="9" s="1"/>
  <c r="FYT53" i="9" s="1"/>
  <c r="FYU53" i="9" s="1"/>
  <c r="FYV53" i="9" s="1"/>
  <c r="FYW53" i="9" s="1"/>
  <c r="FYX53" i="9" s="1"/>
  <c r="FYY53" i="9" s="1"/>
  <c r="FYZ53" i="9" s="1"/>
  <c r="FZA53" i="9" s="1"/>
  <c r="FZB53" i="9" s="1"/>
  <c r="FZC53" i="9" s="1"/>
  <c r="FZD53" i="9" s="1"/>
  <c r="FZE53" i="9" s="1"/>
  <c r="FZF53" i="9" s="1"/>
  <c r="FZG53" i="9" s="1"/>
  <c r="FZH53" i="9" s="1"/>
  <c r="FZI53" i="9" s="1"/>
  <c r="FZJ53" i="9" s="1"/>
  <c r="FZK53" i="9" s="1"/>
  <c r="FZL53" i="9" s="1"/>
  <c r="FZM53" i="9" s="1"/>
  <c r="FZN53" i="9" s="1"/>
  <c r="FZO53" i="9" s="1"/>
  <c r="FZP53" i="9" s="1"/>
  <c r="FZQ53" i="9" s="1"/>
  <c r="FZR53" i="9" s="1"/>
  <c r="FZS53" i="9" s="1"/>
  <c r="FZT53" i="9" s="1"/>
  <c r="FZU53" i="9" s="1"/>
  <c r="FZV53" i="9" s="1"/>
  <c r="FZW53" i="9" s="1"/>
  <c r="FZX53" i="9" s="1"/>
  <c r="FZY53" i="9" s="1"/>
  <c r="FZZ53" i="9" s="1"/>
  <c r="GAA53" i="9" s="1"/>
  <c r="GAB53" i="9" s="1"/>
  <c r="GAC53" i="9" s="1"/>
  <c r="GAD53" i="9" s="1"/>
  <c r="GAE53" i="9" s="1"/>
  <c r="GAF53" i="9" s="1"/>
  <c r="GAG53" i="9" s="1"/>
  <c r="GAH53" i="9" s="1"/>
  <c r="GAI53" i="9" s="1"/>
  <c r="GAJ53" i="9" s="1"/>
  <c r="GAK53" i="9" s="1"/>
  <c r="GAL53" i="9" s="1"/>
  <c r="GAM53" i="9" s="1"/>
  <c r="GAN53" i="9" s="1"/>
  <c r="GAO53" i="9" s="1"/>
  <c r="GAP53" i="9" s="1"/>
  <c r="GAQ53" i="9" s="1"/>
  <c r="GAR53" i="9" s="1"/>
  <c r="GAS53" i="9" s="1"/>
  <c r="GAT53" i="9" s="1"/>
  <c r="GAU53" i="9" s="1"/>
  <c r="GAV53" i="9" s="1"/>
  <c r="GAW53" i="9" s="1"/>
  <c r="GAX53" i="9" s="1"/>
  <c r="GAY53" i="9" s="1"/>
  <c r="GAZ53" i="9" s="1"/>
  <c r="GBA53" i="9" s="1"/>
  <c r="GBB53" i="9" s="1"/>
  <c r="GBC53" i="9" s="1"/>
  <c r="GBD53" i="9" s="1"/>
  <c r="GBE53" i="9" s="1"/>
  <c r="GBF53" i="9" s="1"/>
  <c r="GBG53" i="9" s="1"/>
  <c r="GBH53" i="9" s="1"/>
  <c r="GBI53" i="9" s="1"/>
  <c r="GBJ53" i="9" s="1"/>
  <c r="GBK53" i="9" s="1"/>
  <c r="GBL53" i="9" s="1"/>
  <c r="GBM53" i="9" s="1"/>
  <c r="GBN53" i="9" s="1"/>
  <c r="GBO53" i="9" s="1"/>
  <c r="GBP53" i="9" s="1"/>
  <c r="GBQ53" i="9" s="1"/>
  <c r="GBR53" i="9" s="1"/>
  <c r="GBS53" i="9" s="1"/>
  <c r="GBT53" i="9" s="1"/>
  <c r="GBU53" i="9" s="1"/>
  <c r="GBV53" i="9" s="1"/>
  <c r="GBW53" i="9" s="1"/>
  <c r="GBX53" i="9" s="1"/>
  <c r="GBY53" i="9" s="1"/>
  <c r="GBZ53" i="9" s="1"/>
  <c r="GCA53" i="9" s="1"/>
  <c r="GCB53" i="9" s="1"/>
  <c r="GCC53" i="9" s="1"/>
  <c r="GCD53" i="9" s="1"/>
  <c r="GCE53" i="9" s="1"/>
  <c r="GCF53" i="9" s="1"/>
  <c r="GCG53" i="9" s="1"/>
  <c r="GCH53" i="9" s="1"/>
  <c r="GCI53" i="9" s="1"/>
  <c r="GCJ53" i="9" s="1"/>
  <c r="GCK53" i="9" s="1"/>
  <c r="GCL53" i="9" s="1"/>
  <c r="GCM53" i="9" s="1"/>
  <c r="GCN53" i="9" s="1"/>
  <c r="GCO53" i="9" s="1"/>
  <c r="GCP53" i="9" s="1"/>
  <c r="GCQ53" i="9" s="1"/>
  <c r="GCR53" i="9" s="1"/>
  <c r="GCS53" i="9" s="1"/>
  <c r="GCT53" i="9" s="1"/>
  <c r="GCU53" i="9" s="1"/>
  <c r="GCV53" i="9" s="1"/>
  <c r="GCW53" i="9" s="1"/>
  <c r="GCX53" i="9" s="1"/>
  <c r="GCY53" i="9" s="1"/>
  <c r="GCZ53" i="9" s="1"/>
  <c r="GDA53" i="9" s="1"/>
  <c r="GDB53" i="9" s="1"/>
  <c r="GDC53" i="9" s="1"/>
  <c r="GDD53" i="9" s="1"/>
  <c r="GDE53" i="9" s="1"/>
  <c r="GDF53" i="9" s="1"/>
  <c r="GDG53" i="9" s="1"/>
  <c r="GDH53" i="9" s="1"/>
  <c r="GDI53" i="9" s="1"/>
  <c r="GDJ53" i="9" s="1"/>
  <c r="GDK53" i="9" s="1"/>
  <c r="GDL53" i="9" s="1"/>
  <c r="GDM53" i="9" s="1"/>
  <c r="GDN53" i="9" s="1"/>
  <c r="GDO53" i="9" s="1"/>
  <c r="GDP53" i="9" s="1"/>
  <c r="GDQ53" i="9" s="1"/>
  <c r="GDR53" i="9" s="1"/>
  <c r="GDS53" i="9" s="1"/>
  <c r="GDT53" i="9" s="1"/>
  <c r="GDU53" i="9" s="1"/>
  <c r="GDV53" i="9" s="1"/>
  <c r="GDW53" i="9" s="1"/>
  <c r="GDX53" i="9" s="1"/>
  <c r="GDY53" i="9" s="1"/>
  <c r="GDZ53" i="9" s="1"/>
  <c r="GEA53" i="9" s="1"/>
  <c r="GEB53" i="9" s="1"/>
  <c r="GEC53" i="9" s="1"/>
  <c r="GED53" i="9" s="1"/>
  <c r="GEE53" i="9" s="1"/>
  <c r="GEF53" i="9" s="1"/>
  <c r="GEG53" i="9" s="1"/>
  <c r="GEH53" i="9" s="1"/>
  <c r="GEI53" i="9" s="1"/>
  <c r="GEJ53" i="9" s="1"/>
  <c r="GEK53" i="9" s="1"/>
  <c r="GEL53" i="9" s="1"/>
  <c r="GEM53" i="9" s="1"/>
  <c r="GEN53" i="9" s="1"/>
  <c r="GEO53" i="9" s="1"/>
  <c r="GEP53" i="9" s="1"/>
  <c r="GEQ53" i="9" s="1"/>
  <c r="GER53" i="9" s="1"/>
  <c r="GES53" i="9" s="1"/>
  <c r="GET53" i="9" s="1"/>
  <c r="GEU53" i="9" s="1"/>
  <c r="GEV53" i="9" s="1"/>
  <c r="GEW53" i="9" s="1"/>
  <c r="GEX53" i="9" s="1"/>
  <c r="GEY53" i="9" s="1"/>
  <c r="GEZ53" i="9" s="1"/>
  <c r="GFA53" i="9" s="1"/>
  <c r="GFB53" i="9" s="1"/>
  <c r="GFC53" i="9" s="1"/>
  <c r="GFD53" i="9" s="1"/>
  <c r="GFE53" i="9" s="1"/>
  <c r="GFF53" i="9" s="1"/>
  <c r="GFG53" i="9" s="1"/>
  <c r="GFH53" i="9" s="1"/>
  <c r="GFI53" i="9" s="1"/>
  <c r="GFJ53" i="9" s="1"/>
  <c r="GFK53" i="9" s="1"/>
  <c r="GFL53" i="9" s="1"/>
  <c r="GFM53" i="9" s="1"/>
  <c r="GFN53" i="9" s="1"/>
  <c r="GFO53" i="9" s="1"/>
  <c r="GFP53" i="9" s="1"/>
  <c r="GFQ53" i="9" s="1"/>
  <c r="GFR53" i="9" s="1"/>
  <c r="GFS53" i="9" s="1"/>
  <c r="GFT53" i="9" s="1"/>
  <c r="GFU53" i="9" s="1"/>
  <c r="GFV53" i="9" s="1"/>
  <c r="GFW53" i="9" s="1"/>
  <c r="GFX53" i="9" s="1"/>
  <c r="GFY53" i="9" s="1"/>
  <c r="GFZ53" i="9" s="1"/>
  <c r="GGA53" i="9" s="1"/>
  <c r="GGB53" i="9" s="1"/>
  <c r="GGC53" i="9" s="1"/>
  <c r="GGD53" i="9" s="1"/>
  <c r="GGE53" i="9" s="1"/>
  <c r="GGF53" i="9" s="1"/>
  <c r="GGG53" i="9" s="1"/>
  <c r="GGH53" i="9" s="1"/>
  <c r="GGI53" i="9" s="1"/>
  <c r="GGJ53" i="9" s="1"/>
  <c r="GGK53" i="9" s="1"/>
  <c r="GGL53" i="9" s="1"/>
  <c r="GGM53" i="9" s="1"/>
  <c r="GGN53" i="9" s="1"/>
  <c r="GGO53" i="9" s="1"/>
  <c r="GGP53" i="9" s="1"/>
  <c r="GGQ53" i="9" s="1"/>
  <c r="GGR53" i="9" s="1"/>
  <c r="GGS53" i="9" s="1"/>
  <c r="GGT53" i="9" s="1"/>
  <c r="GGU53" i="9" s="1"/>
  <c r="GGV53" i="9" s="1"/>
  <c r="GGW53" i="9" s="1"/>
  <c r="GGX53" i="9" s="1"/>
  <c r="GGY53" i="9" s="1"/>
  <c r="GGZ53" i="9" s="1"/>
  <c r="GHA53" i="9" s="1"/>
  <c r="GHB53" i="9" s="1"/>
  <c r="GHC53" i="9" s="1"/>
  <c r="GHD53" i="9" s="1"/>
  <c r="GHE53" i="9" s="1"/>
  <c r="GHF53" i="9" s="1"/>
  <c r="GHG53" i="9" s="1"/>
  <c r="GHH53" i="9" s="1"/>
  <c r="GHI53" i="9" s="1"/>
  <c r="GHJ53" i="9" s="1"/>
  <c r="GHK53" i="9" s="1"/>
  <c r="GHL53" i="9" s="1"/>
  <c r="GHM53" i="9" s="1"/>
  <c r="GHN53" i="9" s="1"/>
  <c r="GHO53" i="9" s="1"/>
  <c r="GHP53" i="9" s="1"/>
  <c r="GHQ53" i="9" s="1"/>
  <c r="GHR53" i="9" s="1"/>
  <c r="GHS53" i="9" s="1"/>
  <c r="GHT53" i="9" s="1"/>
  <c r="GHU53" i="9" s="1"/>
  <c r="GHV53" i="9" s="1"/>
  <c r="GHW53" i="9" s="1"/>
  <c r="GHX53" i="9" s="1"/>
  <c r="GHY53" i="9" s="1"/>
  <c r="GHZ53" i="9" s="1"/>
  <c r="GIA53" i="9" s="1"/>
  <c r="GIB53" i="9" s="1"/>
  <c r="GIC53" i="9" s="1"/>
  <c r="GID53" i="9" s="1"/>
  <c r="GIE53" i="9" s="1"/>
  <c r="GIF53" i="9" s="1"/>
  <c r="GIG53" i="9" s="1"/>
  <c r="GIH53" i="9" s="1"/>
  <c r="GII53" i="9" s="1"/>
  <c r="GIJ53" i="9" s="1"/>
  <c r="GIK53" i="9" s="1"/>
  <c r="GIL53" i="9" s="1"/>
  <c r="GIM53" i="9" s="1"/>
  <c r="GIN53" i="9" s="1"/>
  <c r="GIO53" i="9" s="1"/>
  <c r="GIP53" i="9" s="1"/>
  <c r="GIQ53" i="9" s="1"/>
  <c r="GIR53" i="9" s="1"/>
  <c r="GIS53" i="9" s="1"/>
  <c r="GIT53" i="9" s="1"/>
  <c r="GIU53" i="9" s="1"/>
  <c r="GIV53" i="9" s="1"/>
  <c r="GIW53" i="9" s="1"/>
  <c r="GIX53" i="9" s="1"/>
  <c r="GIY53" i="9" s="1"/>
  <c r="GIZ53" i="9" s="1"/>
  <c r="GJA53" i="9" s="1"/>
  <c r="GJB53" i="9" s="1"/>
  <c r="GJC53" i="9" s="1"/>
  <c r="GJD53" i="9" s="1"/>
  <c r="GJE53" i="9" s="1"/>
  <c r="GJF53" i="9" s="1"/>
  <c r="GJG53" i="9" s="1"/>
  <c r="GJH53" i="9" s="1"/>
  <c r="GJI53" i="9" s="1"/>
  <c r="GJJ53" i="9" s="1"/>
  <c r="GJK53" i="9" s="1"/>
  <c r="GJL53" i="9" s="1"/>
  <c r="GJM53" i="9" s="1"/>
  <c r="GJN53" i="9" s="1"/>
  <c r="GJO53" i="9" s="1"/>
  <c r="GJP53" i="9" s="1"/>
  <c r="GJQ53" i="9" s="1"/>
  <c r="GJR53" i="9" s="1"/>
  <c r="GJS53" i="9" s="1"/>
  <c r="GJT53" i="9" s="1"/>
  <c r="GJU53" i="9" s="1"/>
  <c r="GJV53" i="9" s="1"/>
  <c r="GJW53" i="9" s="1"/>
  <c r="GJX53" i="9" s="1"/>
  <c r="GJY53" i="9" s="1"/>
  <c r="GJZ53" i="9" s="1"/>
  <c r="GKA53" i="9" s="1"/>
  <c r="GKB53" i="9" s="1"/>
  <c r="GKC53" i="9" s="1"/>
  <c r="GKD53" i="9" s="1"/>
  <c r="GKE53" i="9" s="1"/>
  <c r="GKF53" i="9" s="1"/>
  <c r="GKG53" i="9" s="1"/>
  <c r="GKH53" i="9" s="1"/>
  <c r="GKI53" i="9" s="1"/>
  <c r="GKJ53" i="9" s="1"/>
  <c r="GKK53" i="9" s="1"/>
  <c r="GKL53" i="9" s="1"/>
  <c r="GKM53" i="9" s="1"/>
  <c r="GKN53" i="9" s="1"/>
  <c r="GKO53" i="9" s="1"/>
  <c r="GKP53" i="9" s="1"/>
  <c r="GKQ53" i="9" s="1"/>
  <c r="GKR53" i="9" s="1"/>
  <c r="GKS53" i="9" s="1"/>
  <c r="GKT53" i="9" s="1"/>
  <c r="GKU53" i="9" s="1"/>
  <c r="GKV53" i="9" s="1"/>
  <c r="GKW53" i="9" s="1"/>
  <c r="GKX53" i="9" s="1"/>
  <c r="GKY53" i="9" s="1"/>
  <c r="GKZ53" i="9" s="1"/>
  <c r="GLA53" i="9" s="1"/>
  <c r="GLB53" i="9" s="1"/>
  <c r="GLC53" i="9" s="1"/>
  <c r="GLD53" i="9" s="1"/>
  <c r="GLE53" i="9" s="1"/>
  <c r="GLF53" i="9" s="1"/>
  <c r="GLG53" i="9" s="1"/>
  <c r="GLH53" i="9" s="1"/>
  <c r="GLI53" i="9" s="1"/>
  <c r="GLJ53" i="9" s="1"/>
  <c r="GLK53" i="9" s="1"/>
  <c r="GLL53" i="9" s="1"/>
  <c r="GLM53" i="9" s="1"/>
  <c r="GLN53" i="9" s="1"/>
  <c r="GLO53" i="9" s="1"/>
  <c r="GLP53" i="9" s="1"/>
  <c r="GLQ53" i="9" s="1"/>
  <c r="GLR53" i="9" s="1"/>
  <c r="GLS53" i="9" s="1"/>
  <c r="GLT53" i="9" s="1"/>
  <c r="GLU53" i="9" s="1"/>
  <c r="GLV53" i="9" s="1"/>
  <c r="GLW53" i="9" s="1"/>
  <c r="GLX53" i="9" s="1"/>
  <c r="GLY53" i="9" s="1"/>
  <c r="GLZ53" i="9" s="1"/>
  <c r="GMA53" i="9" s="1"/>
  <c r="GMB53" i="9" s="1"/>
  <c r="GMC53" i="9" s="1"/>
  <c r="GMD53" i="9" s="1"/>
  <c r="GME53" i="9" s="1"/>
  <c r="GMF53" i="9" s="1"/>
  <c r="GMG53" i="9" s="1"/>
  <c r="GMH53" i="9" s="1"/>
  <c r="GMI53" i="9" s="1"/>
  <c r="GMJ53" i="9" s="1"/>
  <c r="GMK53" i="9" s="1"/>
  <c r="GML53" i="9" s="1"/>
  <c r="GMM53" i="9" s="1"/>
  <c r="GMN53" i="9" s="1"/>
  <c r="GMO53" i="9" s="1"/>
  <c r="GMP53" i="9" s="1"/>
  <c r="GMQ53" i="9" s="1"/>
  <c r="GMR53" i="9" s="1"/>
  <c r="GMS53" i="9" s="1"/>
  <c r="GMT53" i="9" s="1"/>
  <c r="GMU53" i="9" s="1"/>
  <c r="GMV53" i="9" s="1"/>
  <c r="GMW53" i="9" s="1"/>
  <c r="GMX53" i="9" s="1"/>
  <c r="GMY53" i="9" s="1"/>
  <c r="GMZ53" i="9" s="1"/>
  <c r="GNA53" i="9" s="1"/>
  <c r="GNB53" i="9" s="1"/>
  <c r="GNC53" i="9" s="1"/>
  <c r="GND53" i="9" s="1"/>
  <c r="GNE53" i="9" s="1"/>
  <c r="GNF53" i="9" s="1"/>
  <c r="GNG53" i="9" s="1"/>
  <c r="GNH53" i="9" s="1"/>
  <c r="GNI53" i="9" s="1"/>
  <c r="GNJ53" i="9" s="1"/>
  <c r="GNK53" i="9" s="1"/>
  <c r="GNL53" i="9" s="1"/>
  <c r="GNM53" i="9" s="1"/>
  <c r="GNN53" i="9" s="1"/>
  <c r="GNO53" i="9" s="1"/>
  <c r="GNP53" i="9" s="1"/>
  <c r="GNQ53" i="9" s="1"/>
  <c r="GNR53" i="9" s="1"/>
  <c r="GNS53" i="9" s="1"/>
  <c r="GNT53" i="9" s="1"/>
  <c r="GNU53" i="9" s="1"/>
  <c r="GNV53" i="9" s="1"/>
  <c r="GNW53" i="9" s="1"/>
  <c r="GNX53" i="9" s="1"/>
  <c r="GNY53" i="9" s="1"/>
  <c r="GNZ53" i="9" s="1"/>
  <c r="GOA53" i="9" s="1"/>
  <c r="GOB53" i="9" s="1"/>
  <c r="GOC53" i="9" s="1"/>
  <c r="GOD53" i="9" s="1"/>
  <c r="GOE53" i="9" s="1"/>
  <c r="GOF53" i="9" s="1"/>
  <c r="GOG53" i="9" s="1"/>
  <c r="GOH53" i="9" s="1"/>
  <c r="GOI53" i="9" s="1"/>
  <c r="GOJ53" i="9" s="1"/>
  <c r="GOK53" i="9" s="1"/>
  <c r="GOL53" i="9" s="1"/>
  <c r="GOM53" i="9" s="1"/>
  <c r="GON53" i="9" s="1"/>
  <c r="GOO53" i="9" s="1"/>
  <c r="GOP53" i="9" s="1"/>
  <c r="GOQ53" i="9" s="1"/>
  <c r="GOR53" i="9" s="1"/>
  <c r="GOS53" i="9" s="1"/>
  <c r="GOT53" i="9" s="1"/>
  <c r="GOU53" i="9" s="1"/>
  <c r="GOV53" i="9" s="1"/>
  <c r="GOW53" i="9" s="1"/>
  <c r="GOX53" i="9" s="1"/>
  <c r="GOY53" i="9" s="1"/>
  <c r="GOZ53" i="9" s="1"/>
  <c r="GPA53" i="9" s="1"/>
  <c r="GPB53" i="9" s="1"/>
  <c r="GPC53" i="9" s="1"/>
  <c r="GPD53" i="9" s="1"/>
  <c r="GPE53" i="9" s="1"/>
  <c r="GPF53" i="9" s="1"/>
  <c r="GPG53" i="9" s="1"/>
  <c r="GPH53" i="9" s="1"/>
  <c r="GPI53" i="9" s="1"/>
  <c r="GPJ53" i="9" s="1"/>
  <c r="GPK53" i="9" s="1"/>
  <c r="GPL53" i="9" s="1"/>
  <c r="GPM53" i="9" s="1"/>
  <c r="GPN53" i="9" s="1"/>
  <c r="GPO53" i="9" s="1"/>
  <c r="GPP53" i="9" s="1"/>
  <c r="GPQ53" i="9" s="1"/>
  <c r="GPR53" i="9" s="1"/>
  <c r="GPS53" i="9" s="1"/>
  <c r="GPT53" i="9" s="1"/>
  <c r="GPU53" i="9" s="1"/>
  <c r="GPV53" i="9" s="1"/>
  <c r="GPW53" i="9" s="1"/>
  <c r="GPX53" i="9" s="1"/>
  <c r="GPY53" i="9" s="1"/>
  <c r="GPZ53" i="9" s="1"/>
  <c r="GQA53" i="9" s="1"/>
  <c r="GQB53" i="9" s="1"/>
  <c r="GQC53" i="9" s="1"/>
  <c r="GQD53" i="9" s="1"/>
  <c r="GQE53" i="9" s="1"/>
  <c r="GQF53" i="9" s="1"/>
  <c r="GQG53" i="9" s="1"/>
  <c r="GQH53" i="9" s="1"/>
  <c r="GQI53" i="9" s="1"/>
  <c r="GQJ53" i="9" s="1"/>
  <c r="GQK53" i="9" s="1"/>
  <c r="GQL53" i="9" s="1"/>
  <c r="GQM53" i="9" s="1"/>
  <c r="GQN53" i="9" s="1"/>
  <c r="GQO53" i="9" s="1"/>
  <c r="GQP53" i="9" s="1"/>
  <c r="GQQ53" i="9" s="1"/>
  <c r="GQR53" i="9" s="1"/>
  <c r="GQS53" i="9" s="1"/>
  <c r="GQT53" i="9" s="1"/>
  <c r="GQU53" i="9" s="1"/>
  <c r="GQV53" i="9" s="1"/>
  <c r="GQW53" i="9" s="1"/>
  <c r="GQX53" i="9" s="1"/>
  <c r="GQY53" i="9" s="1"/>
  <c r="GQZ53" i="9" s="1"/>
  <c r="GRA53" i="9" s="1"/>
  <c r="GRB53" i="9" s="1"/>
  <c r="GRC53" i="9" s="1"/>
  <c r="GRD53" i="9" s="1"/>
  <c r="GRE53" i="9" s="1"/>
  <c r="GRF53" i="9" s="1"/>
  <c r="GRG53" i="9" s="1"/>
  <c r="GRH53" i="9" s="1"/>
  <c r="GRI53" i="9" s="1"/>
  <c r="GRJ53" i="9" s="1"/>
  <c r="GRK53" i="9" s="1"/>
  <c r="GRL53" i="9" s="1"/>
  <c r="GRM53" i="9" s="1"/>
  <c r="GRN53" i="9" s="1"/>
  <c r="GRO53" i="9" s="1"/>
  <c r="GRP53" i="9" s="1"/>
  <c r="GRQ53" i="9" s="1"/>
  <c r="GRR53" i="9" s="1"/>
  <c r="GRS53" i="9" s="1"/>
  <c r="GRT53" i="9" s="1"/>
  <c r="GRU53" i="9" s="1"/>
  <c r="GRV53" i="9" s="1"/>
  <c r="GRW53" i="9" s="1"/>
  <c r="GRX53" i="9" s="1"/>
  <c r="GRY53" i="9" s="1"/>
  <c r="GRZ53" i="9" s="1"/>
  <c r="GSA53" i="9" s="1"/>
  <c r="GSB53" i="9" s="1"/>
  <c r="GSC53" i="9" s="1"/>
  <c r="GSD53" i="9" s="1"/>
  <c r="GSE53" i="9" s="1"/>
  <c r="GSF53" i="9" s="1"/>
  <c r="GSG53" i="9" s="1"/>
  <c r="GSH53" i="9" s="1"/>
  <c r="GSI53" i="9" s="1"/>
  <c r="GSJ53" i="9" s="1"/>
  <c r="GSK53" i="9" s="1"/>
  <c r="GSL53" i="9" s="1"/>
  <c r="GSM53" i="9" s="1"/>
  <c r="GSN53" i="9" s="1"/>
  <c r="GSO53" i="9" s="1"/>
  <c r="GSP53" i="9" s="1"/>
  <c r="GSQ53" i="9" s="1"/>
  <c r="GSR53" i="9" s="1"/>
  <c r="GSS53" i="9" s="1"/>
  <c r="GST53" i="9" s="1"/>
  <c r="GSU53" i="9" s="1"/>
  <c r="GSV53" i="9" s="1"/>
  <c r="GSW53" i="9" s="1"/>
  <c r="GSX53" i="9" s="1"/>
  <c r="GSY53" i="9" s="1"/>
  <c r="GSZ53" i="9" s="1"/>
  <c r="GTA53" i="9" s="1"/>
  <c r="GTB53" i="9" s="1"/>
  <c r="GTC53" i="9" s="1"/>
  <c r="GTD53" i="9" s="1"/>
  <c r="GTE53" i="9" s="1"/>
  <c r="GTF53" i="9" s="1"/>
  <c r="GTG53" i="9" s="1"/>
  <c r="GTH53" i="9" s="1"/>
  <c r="GTI53" i="9" s="1"/>
  <c r="GTJ53" i="9" s="1"/>
  <c r="GTK53" i="9" s="1"/>
  <c r="GTL53" i="9" s="1"/>
  <c r="GTM53" i="9" s="1"/>
  <c r="GTN53" i="9" s="1"/>
  <c r="GTO53" i="9" s="1"/>
  <c r="GTP53" i="9" s="1"/>
  <c r="GTQ53" i="9" s="1"/>
  <c r="GTR53" i="9" s="1"/>
  <c r="GTS53" i="9" s="1"/>
  <c r="GTT53" i="9" s="1"/>
  <c r="GTU53" i="9" s="1"/>
  <c r="GTV53" i="9" s="1"/>
  <c r="GTW53" i="9" s="1"/>
  <c r="GTX53" i="9" s="1"/>
  <c r="GTY53" i="9" s="1"/>
  <c r="GTZ53" i="9" s="1"/>
  <c r="GUA53" i="9" s="1"/>
  <c r="GUB53" i="9" s="1"/>
  <c r="GUC53" i="9" s="1"/>
  <c r="GUD53" i="9" s="1"/>
  <c r="GUE53" i="9" s="1"/>
  <c r="GUF53" i="9" s="1"/>
  <c r="GUG53" i="9" s="1"/>
  <c r="GUH53" i="9" s="1"/>
  <c r="GUI53" i="9" s="1"/>
  <c r="GUJ53" i="9" s="1"/>
  <c r="GUK53" i="9" s="1"/>
  <c r="GUL53" i="9" s="1"/>
  <c r="GUM53" i="9" s="1"/>
  <c r="GUN53" i="9" s="1"/>
  <c r="GUO53" i="9" s="1"/>
  <c r="GUP53" i="9" s="1"/>
  <c r="GUQ53" i="9" s="1"/>
  <c r="GUR53" i="9" s="1"/>
  <c r="GUS53" i="9" s="1"/>
  <c r="GUT53" i="9" s="1"/>
  <c r="GUU53" i="9" s="1"/>
  <c r="GUV53" i="9" s="1"/>
  <c r="GUW53" i="9" s="1"/>
  <c r="GUX53" i="9" s="1"/>
  <c r="GUY53" i="9" s="1"/>
  <c r="GUZ53" i="9" s="1"/>
  <c r="GVA53" i="9" s="1"/>
  <c r="GVB53" i="9" s="1"/>
  <c r="GVC53" i="9" s="1"/>
  <c r="GVD53" i="9" s="1"/>
  <c r="GVE53" i="9" s="1"/>
  <c r="GVF53" i="9" s="1"/>
  <c r="GVG53" i="9" s="1"/>
  <c r="GVH53" i="9" s="1"/>
  <c r="GVI53" i="9" s="1"/>
  <c r="GVJ53" i="9" s="1"/>
  <c r="GVK53" i="9" s="1"/>
  <c r="GVL53" i="9" s="1"/>
  <c r="GVM53" i="9" s="1"/>
  <c r="GVN53" i="9" s="1"/>
  <c r="GVO53" i="9" s="1"/>
  <c r="GVP53" i="9" s="1"/>
  <c r="GVQ53" i="9" s="1"/>
  <c r="GVR53" i="9" s="1"/>
  <c r="GVS53" i="9" s="1"/>
  <c r="GVT53" i="9" s="1"/>
  <c r="GVU53" i="9" s="1"/>
  <c r="GVV53" i="9" s="1"/>
  <c r="GVW53" i="9" s="1"/>
  <c r="GVX53" i="9" s="1"/>
  <c r="GVY53" i="9" s="1"/>
  <c r="GVZ53" i="9" s="1"/>
  <c r="GWA53" i="9" s="1"/>
  <c r="GWB53" i="9" s="1"/>
  <c r="GWC53" i="9" s="1"/>
  <c r="GWD53" i="9" s="1"/>
  <c r="GWE53" i="9" s="1"/>
  <c r="GWF53" i="9" s="1"/>
  <c r="GWG53" i="9" s="1"/>
  <c r="GWH53" i="9" s="1"/>
  <c r="GWI53" i="9" s="1"/>
  <c r="GWJ53" i="9" s="1"/>
  <c r="GWK53" i="9" s="1"/>
  <c r="GWL53" i="9" s="1"/>
  <c r="GWM53" i="9" s="1"/>
  <c r="GWN53" i="9" s="1"/>
  <c r="GWO53" i="9" s="1"/>
  <c r="GWP53" i="9" s="1"/>
  <c r="GWQ53" i="9" s="1"/>
  <c r="GWR53" i="9" s="1"/>
  <c r="GWS53" i="9" s="1"/>
  <c r="GWT53" i="9" s="1"/>
  <c r="GWU53" i="9" s="1"/>
  <c r="GWV53" i="9" s="1"/>
  <c r="GWW53" i="9" s="1"/>
  <c r="GWX53" i="9" s="1"/>
  <c r="GWY53" i="9" s="1"/>
  <c r="GWZ53" i="9" s="1"/>
  <c r="GXA53" i="9" s="1"/>
  <c r="GXB53" i="9" s="1"/>
  <c r="GXC53" i="9" s="1"/>
  <c r="GXD53" i="9" s="1"/>
  <c r="GXE53" i="9" s="1"/>
  <c r="GXF53" i="9" s="1"/>
  <c r="GXG53" i="9" s="1"/>
  <c r="GXH53" i="9" s="1"/>
  <c r="GXI53" i="9" s="1"/>
  <c r="GXJ53" i="9" s="1"/>
  <c r="GXK53" i="9" s="1"/>
  <c r="GXL53" i="9" s="1"/>
  <c r="GXM53" i="9" s="1"/>
  <c r="GXN53" i="9" s="1"/>
  <c r="GXO53" i="9" s="1"/>
  <c r="GXP53" i="9" s="1"/>
  <c r="GXQ53" i="9" s="1"/>
  <c r="GXR53" i="9" s="1"/>
  <c r="GXS53" i="9" s="1"/>
  <c r="GXT53" i="9" s="1"/>
  <c r="GXU53" i="9" s="1"/>
  <c r="GXV53" i="9" s="1"/>
  <c r="GXW53" i="9" s="1"/>
  <c r="GXX53" i="9" s="1"/>
  <c r="GXY53" i="9" s="1"/>
  <c r="GXZ53" i="9" s="1"/>
  <c r="GYA53" i="9" s="1"/>
  <c r="GYB53" i="9" s="1"/>
  <c r="GYC53" i="9" s="1"/>
  <c r="GYD53" i="9" s="1"/>
  <c r="GYE53" i="9" s="1"/>
  <c r="GYF53" i="9" s="1"/>
  <c r="GYG53" i="9" s="1"/>
  <c r="GYH53" i="9" s="1"/>
  <c r="GYI53" i="9" s="1"/>
  <c r="GYJ53" i="9" s="1"/>
  <c r="GYK53" i="9" s="1"/>
  <c r="GYL53" i="9" s="1"/>
  <c r="GYM53" i="9" s="1"/>
  <c r="GYN53" i="9" s="1"/>
  <c r="GYO53" i="9" s="1"/>
  <c r="GYP53" i="9" s="1"/>
  <c r="GYQ53" i="9" s="1"/>
  <c r="GYR53" i="9" s="1"/>
  <c r="GYS53" i="9" s="1"/>
  <c r="GYT53" i="9" s="1"/>
  <c r="GYU53" i="9" s="1"/>
  <c r="GYV53" i="9" s="1"/>
  <c r="GYW53" i="9" s="1"/>
  <c r="GYX53" i="9" s="1"/>
  <c r="GYY53" i="9" s="1"/>
  <c r="GYZ53" i="9" s="1"/>
  <c r="GZA53" i="9" s="1"/>
  <c r="GZB53" i="9" s="1"/>
  <c r="GZC53" i="9" s="1"/>
  <c r="GZD53" i="9" s="1"/>
  <c r="GZE53" i="9" s="1"/>
  <c r="GZF53" i="9" s="1"/>
  <c r="GZG53" i="9" s="1"/>
  <c r="GZH53" i="9" s="1"/>
  <c r="GZI53" i="9" s="1"/>
  <c r="GZJ53" i="9" s="1"/>
  <c r="GZK53" i="9" s="1"/>
  <c r="GZL53" i="9" s="1"/>
  <c r="GZM53" i="9" s="1"/>
  <c r="GZN53" i="9" s="1"/>
  <c r="GZO53" i="9" s="1"/>
  <c r="GZP53" i="9" s="1"/>
  <c r="GZQ53" i="9" s="1"/>
  <c r="GZR53" i="9" s="1"/>
  <c r="GZS53" i="9" s="1"/>
  <c r="GZT53" i="9" s="1"/>
  <c r="GZU53" i="9" s="1"/>
  <c r="GZV53" i="9" s="1"/>
  <c r="GZW53" i="9" s="1"/>
  <c r="GZX53" i="9" s="1"/>
  <c r="GZY53" i="9" s="1"/>
  <c r="GZZ53" i="9" s="1"/>
  <c r="HAA53" i="9" s="1"/>
  <c r="HAB53" i="9" s="1"/>
  <c r="HAC53" i="9" s="1"/>
  <c r="HAD53" i="9" s="1"/>
  <c r="HAE53" i="9" s="1"/>
  <c r="HAF53" i="9" s="1"/>
  <c r="HAG53" i="9" s="1"/>
  <c r="HAH53" i="9" s="1"/>
  <c r="HAI53" i="9" s="1"/>
  <c r="HAJ53" i="9" s="1"/>
  <c r="HAK53" i="9" s="1"/>
  <c r="HAL53" i="9" s="1"/>
  <c r="HAM53" i="9" s="1"/>
  <c r="HAN53" i="9" s="1"/>
  <c r="HAO53" i="9" s="1"/>
  <c r="HAP53" i="9" s="1"/>
  <c r="HAQ53" i="9" s="1"/>
  <c r="HAR53" i="9" s="1"/>
  <c r="HAS53" i="9" s="1"/>
  <c r="HAT53" i="9" s="1"/>
  <c r="HAU53" i="9" s="1"/>
  <c r="HAV53" i="9" s="1"/>
  <c r="HAW53" i="9" s="1"/>
  <c r="HAX53" i="9" s="1"/>
  <c r="HAY53" i="9" s="1"/>
  <c r="HAZ53" i="9" s="1"/>
  <c r="HBA53" i="9" s="1"/>
  <c r="HBB53" i="9" s="1"/>
  <c r="HBC53" i="9" s="1"/>
  <c r="HBD53" i="9" s="1"/>
  <c r="HBE53" i="9" s="1"/>
  <c r="HBF53" i="9" s="1"/>
  <c r="HBG53" i="9" s="1"/>
  <c r="HBH53" i="9" s="1"/>
  <c r="HBI53" i="9" s="1"/>
  <c r="HBJ53" i="9" s="1"/>
  <c r="HBK53" i="9" s="1"/>
  <c r="HBL53" i="9" s="1"/>
  <c r="HBM53" i="9" s="1"/>
  <c r="HBN53" i="9" s="1"/>
  <c r="HBO53" i="9" s="1"/>
  <c r="HBP53" i="9" s="1"/>
  <c r="HBQ53" i="9" s="1"/>
  <c r="HBR53" i="9" s="1"/>
  <c r="HBS53" i="9" s="1"/>
  <c r="HBT53" i="9" s="1"/>
  <c r="HBU53" i="9" s="1"/>
  <c r="HBV53" i="9" s="1"/>
  <c r="HBW53" i="9" s="1"/>
  <c r="HBX53" i="9" s="1"/>
  <c r="HBY53" i="9" s="1"/>
  <c r="HBZ53" i="9" s="1"/>
  <c r="HCA53" i="9" s="1"/>
  <c r="HCB53" i="9" s="1"/>
  <c r="HCC53" i="9" s="1"/>
  <c r="HCD53" i="9" s="1"/>
  <c r="HCE53" i="9" s="1"/>
  <c r="HCF53" i="9" s="1"/>
  <c r="HCG53" i="9" s="1"/>
  <c r="HCH53" i="9" s="1"/>
  <c r="HCI53" i="9" s="1"/>
  <c r="HCJ53" i="9" s="1"/>
  <c r="HCK53" i="9" s="1"/>
  <c r="HCL53" i="9" s="1"/>
  <c r="HCM53" i="9" s="1"/>
  <c r="HCN53" i="9" s="1"/>
  <c r="HCO53" i="9" s="1"/>
  <c r="HCP53" i="9" s="1"/>
  <c r="HCQ53" i="9" s="1"/>
  <c r="HCR53" i="9" s="1"/>
  <c r="HCS53" i="9" s="1"/>
  <c r="HCT53" i="9" s="1"/>
  <c r="HCU53" i="9" s="1"/>
  <c r="HCV53" i="9" s="1"/>
  <c r="HCW53" i="9" s="1"/>
  <c r="HCX53" i="9" s="1"/>
  <c r="HCY53" i="9" s="1"/>
  <c r="HCZ53" i="9" s="1"/>
  <c r="HDA53" i="9" s="1"/>
  <c r="HDB53" i="9" s="1"/>
  <c r="HDC53" i="9" s="1"/>
  <c r="HDD53" i="9" s="1"/>
  <c r="HDE53" i="9" s="1"/>
  <c r="HDF53" i="9" s="1"/>
  <c r="HDG53" i="9" s="1"/>
  <c r="HDH53" i="9" s="1"/>
  <c r="HDI53" i="9" s="1"/>
  <c r="HDJ53" i="9" s="1"/>
  <c r="HDK53" i="9" s="1"/>
  <c r="HDL53" i="9" s="1"/>
  <c r="HDM53" i="9" s="1"/>
  <c r="HDN53" i="9" s="1"/>
  <c r="HDO53" i="9" s="1"/>
  <c r="HDP53" i="9" s="1"/>
  <c r="HDQ53" i="9" s="1"/>
  <c r="HDR53" i="9" s="1"/>
  <c r="HDS53" i="9" s="1"/>
  <c r="HDT53" i="9" s="1"/>
  <c r="HDU53" i="9" s="1"/>
  <c r="HDV53" i="9" s="1"/>
  <c r="HDW53" i="9" s="1"/>
  <c r="HDX53" i="9" s="1"/>
  <c r="HDY53" i="9" s="1"/>
  <c r="HDZ53" i="9" s="1"/>
  <c r="HEA53" i="9" s="1"/>
  <c r="HEB53" i="9" s="1"/>
  <c r="HEC53" i="9" s="1"/>
  <c r="HED53" i="9" s="1"/>
  <c r="HEE53" i="9" s="1"/>
  <c r="HEF53" i="9" s="1"/>
  <c r="HEG53" i="9" s="1"/>
  <c r="HEH53" i="9" s="1"/>
  <c r="HEI53" i="9" s="1"/>
  <c r="HEJ53" i="9" s="1"/>
  <c r="HEK53" i="9" s="1"/>
  <c r="HEL53" i="9" s="1"/>
  <c r="HEM53" i="9" s="1"/>
  <c r="HEN53" i="9" s="1"/>
  <c r="HEO53" i="9" s="1"/>
  <c r="HEP53" i="9" s="1"/>
  <c r="HEQ53" i="9" s="1"/>
  <c r="HER53" i="9" s="1"/>
  <c r="HES53" i="9" s="1"/>
  <c r="HET53" i="9" s="1"/>
  <c r="HEU53" i="9" s="1"/>
  <c r="HEV53" i="9" s="1"/>
  <c r="HEW53" i="9" s="1"/>
  <c r="HEX53" i="9" s="1"/>
  <c r="HEY53" i="9" s="1"/>
  <c r="HEZ53" i="9" s="1"/>
  <c r="HFA53" i="9" s="1"/>
  <c r="HFB53" i="9" s="1"/>
  <c r="HFC53" i="9" s="1"/>
  <c r="HFD53" i="9" s="1"/>
  <c r="HFE53" i="9" s="1"/>
  <c r="HFF53" i="9" s="1"/>
  <c r="HFG53" i="9" s="1"/>
  <c r="HFH53" i="9" s="1"/>
  <c r="HFI53" i="9" s="1"/>
  <c r="HFJ53" i="9" s="1"/>
  <c r="HFK53" i="9" s="1"/>
  <c r="HFL53" i="9" s="1"/>
  <c r="HFM53" i="9" s="1"/>
  <c r="HFN53" i="9" s="1"/>
  <c r="HFO53" i="9" s="1"/>
  <c r="HFP53" i="9" s="1"/>
  <c r="HFQ53" i="9" s="1"/>
  <c r="HFR53" i="9" s="1"/>
  <c r="HFS53" i="9" s="1"/>
  <c r="HFT53" i="9" s="1"/>
  <c r="HFU53" i="9" s="1"/>
  <c r="HFV53" i="9" s="1"/>
  <c r="HFW53" i="9" s="1"/>
  <c r="HFX53" i="9" s="1"/>
  <c r="HFY53" i="9" s="1"/>
  <c r="HFZ53" i="9" s="1"/>
  <c r="HGA53" i="9" s="1"/>
  <c r="HGB53" i="9" s="1"/>
  <c r="HGC53" i="9" s="1"/>
  <c r="HGD53" i="9" s="1"/>
  <c r="HGE53" i="9" s="1"/>
  <c r="HGF53" i="9" s="1"/>
  <c r="HGG53" i="9" s="1"/>
  <c r="HGH53" i="9" s="1"/>
  <c r="HGI53" i="9" s="1"/>
  <c r="HGJ53" i="9" s="1"/>
  <c r="HGK53" i="9" s="1"/>
  <c r="HGL53" i="9" s="1"/>
  <c r="HGM53" i="9" s="1"/>
  <c r="HGN53" i="9" s="1"/>
  <c r="HGO53" i="9" s="1"/>
  <c r="HGP53" i="9" s="1"/>
  <c r="HGQ53" i="9" s="1"/>
  <c r="HGR53" i="9" s="1"/>
  <c r="HGS53" i="9" s="1"/>
  <c r="HGT53" i="9" s="1"/>
  <c r="HGU53" i="9" s="1"/>
  <c r="HGV53" i="9" s="1"/>
  <c r="HGW53" i="9" s="1"/>
  <c r="HGX53" i="9" s="1"/>
  <c r="HGY53" i="9" s="1"/>
  <c r="HGZ53" i="9" s="1"/>
  <c r="HHA53" i="9" s="1"/>
  <c r="HHB53" i="9" s="1"/>
  <c r="HHC53" i="9" s="1"/>
  <c r="HHD53" i="9" s="1"/>
  <c r="HHE53" i="9" s="1"/>
  <c r="HHF53" i="9" s="1"/>
  <c r="HHG53" i="9" s="1"/>
  <c r="HHH53" i="9" s="1"/>
  <c r="HHI53" i="9" s="1"/>
  <c r="HHJ53" i="9" s="1"/>
  <c r="HHK53" i="9" s="1"/>
  <c r="HHL53" i="9" s="1"/>
  <c r="HHM53" i="9" s="1"/>
  <c r="HHN53" i="9" s="1"/>
  <c r="HHO53" i="9" s="1"/>
  <c r="HHP53" i="9" s="1"/>
  <c r="HHQ53" i="9" s="1"/>
  <c r="HHR53" i="9" s="1"/>
  <c r="HHS53" i="9" s="1"/>
  <c r="HHT53" i="9" s="1"/>
  <c r="HHU53" i="9" s="1"/>
  <c r="HHV53" i="9" s="1"/>
  <c r="HHW53" i="9" s="1"/>
  <c r="HHX53" i="9" s="1"/>
  <c r="HHY53" i="9" s="1"/>
  <c r="HHZ53" i="9" s="1"/>
  <c r="HIA53" i="9" s="1"/>
  <c r="HIB53" i="9" s="1"/>
  <c r="HIC53" i="9" s="1"/>
  <c r="HID53" i="9" s="1"/>
  <c r="HIE53" i="9" s="1"/>
  <c r="HIF53" i="9" s="1"/>
  <c r="HIG53" i="9" s="1"/>
  <c r="HIH53" i="9" s="1"/>
  <c r="HII53" i="9" s="1"/>
  <c r="HIJ53" i="9" s="1"/>
  <c r="HIK53" i="9" s="1"/>
  <c r="HIL53" i="9" s="1"/>
  <c r="HIM53" i="9" s="1"/>
  <c r="HIN53" i="9" s="1"/>
  <c r="HIO53" i="9" s="1"/>
  <c r="HIP53" i="9" s="1"/>
  <c r="HIQ53" i="9" s="1"/>
  <c r="HIR53" i="9" s="1"/>
  <c r="HIS53" i="9" s="1"/>
  <c r="HIT53" i="9" s="1"/>
  <c r="HIU53" i="9" s="1"/>
  <c r="HIV53" i="9" s="1"/>
  <c r="HIW53" i="9" s="1"/>
  <c r="HIX53" i="9" s="1"/>
  <c r="HIY53" i="9" s="1"/>
  <c r="HIZ53" i="9" s="1"/>
  <c r="HJA53" i="9" s="1"/>
  <c r="HJB53" i="9" s="1"/>
  <c r="HJC53" i="9" s="1"/>
  <c r="HJD53" i="9" s="1"/>
  <c r="HJE53" i="9" s="1"/>
  <c r="HJF53" i="9" s="1"/>
  <c r="HJG53" i="9" s="1"/>
  <c r="HJH53" i="9" s="1"/>
  <c r="HJI53" i="9" s="1"/>
  <c r="HJJ53" i="9" s="1"/>
  <c r="HJK53" i="9" s="1"/>
  <c r="HJL53" i="9" s="1"/>
  <c r="HJM53" i="9" s="1"/>
  <c r="HJN53" i="9" s="1"/>
  <c r="HJO53" i="9" s="1"/>
  <c r="HJP53" i="9" s="1"/>
  <c r="HJQ53" i="9" s="1"/>
  <c r="HJR53" i="9" s="1"/>
  <c r="HJS53" i="9" s="1"/>
  <c r="HJT53" i="9" s="1"/>
  <c r="HJU53" i="9" s="1"/>
  <c r="HJV53" i="9" s="1"/>
  <c r="HJW53" i="9" s="1"/>
  <c r="HJX53" i="9" s="1"/>
  <c r="HJY53" i="9" s="1"/>
  <c r="HJZ53" i="9" s="1"/>
  <c r="HKA53" i="9" s="1"/>
  <c r="HKB53" i="9" s="1"/>
  <c r="HKC53" i="9" s="1"/>
  <c r="HKD53" i="9" s="1"/>
  <c r="HKE53" i="9" s="1"/>
  <c r="HKF53" i="9" s="1"/>
  <c r="HKG53" i="9" s="1"/>
  <c r="HKH53" i="9" s="1"/>
  <c r="HKI53" i="9" s="1"/>
  <c r="HKJ53" i="9" s="1"/>
  <c r="HKK53" i="9" s="1"/>
  <c r="HKL53" i="9" s="1"/>
  <c r="HKM53" i="9" s="1"/>
  <c r="HKN53" i="9" s="1"/>
  <c r="HKO53" i="9" s="1"/>
  <c r="HKP53" i="9" s="1"/>
  <c r="HKQ53" i="9" s="1"/>
  <c r="HKR53" i="9" s="1"/>
  <c r="HKS53" i="9" s="1"/>
  <c r="HKT53" i="9" s="1"/>
  <c r="HKU53" i="9" s="1"/>
  <c r="HKV53" i="9" s="1"/>
  <c r="HKW53" i="9" s="1"/>
  <c r="HKX53" i="9" s="1"/>
  <c r="HKY53" i="9" s="1"/>
  <c r="HKZ53" i="9" s="1"/>
  <c r="HLA53" i="9" s="1"/>
  <c r="HLB53" i="9" s="1"/>
  <c r="HLC53" i="9" s="1"/>
  <c r="HLD53" i="9" s="1"/>
  <c r="HLE53" i="9" s="1"/>
  <c r="HLF53" i="9" s="1"/>
  <c r="HLG53" i="9" s="1"/>
  <c r="HLH53" i="9" s="1"/>
  <c r="HLI53" i="9" s="1"/>
  <c r="HLJ53" i="9" s="1"/>
  <c r="HLK53" i="9" s="1"/>
  <c r="HLL53" i="9" s="1"/>
  <c r="HLM53" i="9" s="1"/>
  <c r="HLN53" i="9" s="1"/>
  <c r="HLO53" i="9" s="1"/>
  <c r="HLP53" i="9" s="1"/>
  <c r="HLQ53" i="9" s="1"/>
  <c r="HLR53" i="9" s="1"/>
  <c r="HLS53" i="9" s="1"/>
  <c r="HLT53" i="9" s="1"/>
  <c r="HLU53" i="9" s="1"/>
  <c r="HLV53" i="9" s="1"/>
  <c r="HLW53" i="9" s="1"/>
  <c r="HLX53" i="9" s="1"/>
  <c r="HLY53" i="9" s="1"/>
  <c r="HLZ53" i="9" s="1"/>
  <c r="HMA53" i="9" s="1"/>
  <c r="HMB53" i="9" s="1"/>
  <c r="HMC53" i="9" s="1"/>
  <c r="HMD53" i="9" s="1"/>
  <c r="HME53" i="9" s="1"/>
  <c r="HMF53" i="9" s="1"/>
  <c r="HMG53" i="9" s="1"/>
  <c r="HMH53" i="9" s="1"/>
  <c r="HMI53" i="9" s="1"/>
  <c r="HMJ53" i="9" s="1"/>
  <c r="HMK53" i="9" s="1"/>
  <c r="HML53" i="9" s="1"/>
  <c r="HMM53" i="9" s="1"/>
  <c r="HMN53" i="9" s="1"/>
  <c r="HMO53" i="9" s="1"/>
  <c r="HMP53" i="9" s="1"/>
  <c r="HMQ53" i="9" s="1"/>
  <c r="HMR53" i="9" s="1"/>
  <c r="HMS53" i="9" s="1"/>
  <c r="HMT53" i="9" s="1"/>
  <c r="HMU53" i="9" s="1"/>
  <c r="HMV53" i="9" s="1"/>
  <c r="HMW53" i="9" s="1"/>
  <c r="HMX53" i="9" s="1"/>
  <c r="HMY53" i="9" s="1"/>
  <c r="HMZ53" i="9" s="1"/>
  <c r="HNA53" i="9" s="1"/>
  <c r="HNB53" i="9" s="1"/>
  <c r="HNC53" i="9" s="1"/>
  <c r="HND53" i="9" s="1"/>
  <c r="HNE53" i="9" s="1"/>
  <c r="HNF53" i="9" s="1"/>
  <c r="HNG53" i="9" s="1"/>
  <c r="HNH53" i="9" s="1"/>
  <c r="HNI53" i="9" s="1"/>
  <c r="HNJ53" i="9" s="1"/>
  <c r="HNK53" i="9" s="1"/>
  <c r="HNL53" i="9" s="1"/>
  <c r="HNM53" i="9" s="1"/>
  <c r="HNN53" i="9" s="1"/>
  <c r="HNO53" i="9" s="1"/>
  <c r="HNP53" i="9" s="1"/>
  <c r="HNQ53" i="9" s="1"/>
  <c r="HNR53" i="9" s="1"/>
  <c r="HNS53" i="9" s="1"/>
  <c r="HNT53" i="9" s="1"/>
  <c r="HNU53" i="9" s="1"/>
  <c r="HNV53" i="9" s="1"/>
  <c r="HNW53" i="9" s="1"/>
  <c r="HNX53" i="9" s="1"/>
  <c r="HNY53" i="9" s="1"/>
  <c r="HNZ53" i="9" s="1"/>
  <c r="HOA53" i="9" s="1"/>
  <c r="HOB53" i="9" s="1"/>
  <c r="HOC53" i="9" s="1"/>
  <c r="HOD53" i="9" s="1"/>
  <c r="HOE53" i="9" s="1"/>
  <c r="HOF53" i="9" s="1"/>
  <c r="HOG53" i="9" s="1"/>
  <c r="HOH53" i="9" s="1"/>
  <c r="HOI53" i="9" s="1"/>
  <c r="HOJ53" i="9" s="1"/>
  <c r="HOK53" i="9" s="1"/>
  <c r="HOL53" i="9" s="1"/>
  <c r="HOM53" i="9" s="1"/>
  <c r="HON53" i="9" s="1"/>
  <c r="HOO53" i="9" s="1"/>
  <c r="HOP53" i="9" s="1"/>
  <c r="HOQ53" i="9" s="1"/>
  <c r="HOR53" i="9" s="1"/>
  <c r="HOS53" i="9" s="1"/>
  <c r="HOT53" i="9" s="1"/>
  <c r="HOU53" i="9" s="1"/>
  <c r="HOV53" i="9" s="1"/>
  <c r="HOW53" i="9" s="1"/>
  <c r="HOX53" i="9" s="1"/>
  <c r="HOY53" i="9" s="1"/>
  <c r="HOZ53" i="9" s="1"/>
  <c r="HPA53" i="9" s="1"/>
  <c r="HPB53" i="9" s="1"/>
  <c r="HPC53" i="9" s="1"/>
  <c r="HPD53" i="9" s="1"/>
  <c r="HPE53" i="9" s="1"/>
  <c r="HPF53" i="9" s="1"/>
  <c r="HPG53" i="9" s="1"/>
  <c r="HPH53" i="9" s="1"/>
  <c r="HPI53" i="9" s="1"/>
  <c r="HPJ53" i="9" s="1"/>
  <c r="HPK53" i="9" s="1"/>
  <c r="HPL53" i="9" s="1"/>
  <c r="HPM53" i="9" s="1"/>
  <c r="HPN53" i="9" s="1"/>
  <c r="HPO53" i="9" s="1"/>
  <c r="HPP53" i="9" s="1"/>
  <c r="HPQ53" i="9" s="1"/>
  <c r="HPR53" i="9" s="1"/>
  <c r="HPS53" i="9" s="1"/>
  <c r="HPT53" i="9" s="1"/>
  <c r="HPU53" i="9" s="1"/>
  <c r="HPV53" i="9" s="1"/>
  <c r="HPW53" i="9" s="1"/>
  <c r="HPX53" i="9" s="1"/>
  <c r="HPY53" i="9" s="1"/>
  <c r="HPZ53" i="9" s="1"/>
  <c r="HQA53" i="9" s="1"/>
  <c r="HQB53" i="9" s="1"/>
  <c r="HQC53" i="9" s="1"/>
  <c r="HQD53" i="9" s="1"/>
  <c r="HQE53" i="9" s="1"/>
  <c r="HQF53" i="9" s="1"/>
  <c r="HQG53" i="9" s="1"/>
  <c r="HQH53" i="9" s="1"/>
  <c r="HQI53" i="9" s="1"/>
  <c r="HQJ53" i="9" s="1"/>
  <c r="HQK53" i="9" s="1"/>
  <c r="HQL53" i="9" s="1"/>
  <c r="HQM53" i="9" s="1"/>
  <c r="HQN53" i="9" s="1"/>
  <c r="HQO53" i="9" s="1"/>
  <c r="HQP53" i="9" s="1"/>
  <c r="HQQ53" i="9" s="1"/>
  <c r="HQR53" i="9" s="1"/>
  <c r="HQS53" i="9" s="1"/>
  <c r="HQT53" i="9" s="1"/>
  <c r="HQU53" i="9" s="1"/>
  <c r="HQV53" i="9" s="1"/>
  <c r="HQW53" i="9" s="1"/>
  <c r="HQX53" i="9" s="1"/>
  <c r="HQY53" i="9" s="1"/>
  <c r="HQZ53" i="9" s="1"/>
  <c r="HRA53" i="9" s="1"/>
  <c r="HRB53" i="9" s="1"/>
  <c r="HRC53" i="9" s="1"/>
  <c r="HRD53" i="9" s="1"/>
  <c r="HRE53" i="9" s="1"/>
  <c r="HRF53" i="9" s="1"/>
  <c r="HRG53" i="9" s="1"/>
  <c r="HRH53" i="9" s="1"/>
  <c r="HRI53" i="9" s="1"/>
  <c r="HRJ53" i="9" s="1"/>
  <c r="HRK53" i="9" s="1"/>
  <c r="HRL53" i="9" s="1"/>
  <c r="HRM53" i="9" s="1"/>
  <c r="HRN53" i="9" s="1"/>
  <c r="HRO53" i="9" s="1"/>
  <c r="HRP53" i="9" s="1"/>
  <c r="HRQ53" i="9" s="1"/>
  <c r="HRR53" i="9" s="1"/>
  <c r="HRS53" i="9" s="1"/>
  <c r="HRT53" i="9" s="1"/>
  <c r="HRU53" i="9" s="1"/>
  <c r="HRV53" i="9" s="1"/>
  <c r="HRW53" i="9" s="1"/>
  <c r="HRX53" i="9" s="1"/>
  <c r="HRY53" i="9" s="1"/>
  <c r="HRZ53" i="9" s="1"/>
  <c r="HSA53" i="9" s="1"/>
  <c r="HSB53" i="9" s="1"/>
  <c r="HSC53" i="9" s="1"/>
  <c r="HSD53" i="9" s="1"/>
  <c r="HSE53" i="9" s="1"/>
  <c r="HSF53" i="9" s="1"/>
  <c r="HSG53" i="9" s="1"/>
  <c r="HSH53" i="9" s="1"/>
  <c r="HSI53" i="9" s="1"/>
  <c r="HSJ53" i="9" s="1"/>
  <c r="HSK53" i="9" s="1"/>
  <c r="HSL53" i="9" s="1"/>
  <c r="HSM53" i="9" s="1"/>
  <c r="HSN53" i="9" s="1"/>
  <c r="HSO53" i="9" s="1"/>
  <c r="HSP53" i="9" s="1"/>
  <c r="HSQ53" i="9" s="1"/>
  <c r="HSR53" i="9" s="1"/>
  <c r="HSS53" i="9" s="1"/>
  <c r="HST53" i="9" s="1"/>
  <c r="HSU53" i="9" s="1"/>
  <c r="HSV53" i="9" s="1"/>
  <c r="HSW53" i="9" s="1"/>
  <c r="HSX53" i="9" s="1"/>
  <c r="HSY53" i="9" s="1"/>
  <c r="HSZ53" i="9" s="1"/>
  <c r="HTA53" i="9" s="1"/>
  <c r="HTB53" i="9" s="1"/>
  <c r="HTC53" i="9" s="1"/>
  <c r="HTD53" i="9" s="1"/>
  <c r="HTE53" i="9" s="1"/>
  <c r="HTF53" i="9" s="1"/>
  <c r="HTG53" i="9" s="1"/>
  <c r="HTH53" i="9" s="1"/>
  <c r="HTI53" i="9" s="1"/>
  <c r="HTJ53" i="9" s="1"/>
  <c r="HTK53" i="9" s="1"/>
  <c r="HTL53" i="9" s="1"/>
  <c r="HTM53" i="9" s="1"/>
  <c r="HTN53" i="9" s="1"/>
  <c r="HTO53" i="9" s="1"/>
  <c r="HTP53" i="9" s="1"/>
  <c r="HTQ53" i="9" s="1"/>
  <c r="HTR53" i="9" s="1"/>
  <c r="HTS53" i="9" s="1"/>
  <c r="HTT53" i="9" s="1"/>
  <c r="HTU53" i="9" s="1"/>
  <c r="HTV53" i="9" s="1"/>
  <c r="HTW53" i="9" s="1"/>
  <c r="HTX53" i="9" s="1"/>
  <c r="HTY53" i="9" s="1"/>
  <c r="HTZ53" i="9" s="1"/>
  <c r="HUA53" i="9" s="1"/>
  <c r="HUB53" i="9" s="1"/>
  <c r="HUC53" i="9" s="1"/>
  <c r="HUD53" i="9" s="1"/>
  <c r="HUE53" i="9" s="1"/>
  <c r="HUF53" i="9" s="1"/>
  <c r="HUG53" i="9" s="1"/>
  <c r="HUH53" i="9" s="1"/>
  <c r="HUI53" i="9" s="1"/>
  <c r="HUJ53" i="9" s="1"/>
  <c r="HUK53" i="9" s="1"/>
  <c r="HUL53" i="9" s="1"/>
  <c r="HUM53" i="9" s="1"/>
  <c r="HUN53" i="9" s="1"/>
  <c r="HUO53" i="9" s="1"/>
  <c r="HUP53" i="9" s="1"/>
  <c r="HUQ53" i="9" s="1"/>
  <c r="HUR53" i="9" s="1"/>
  <c r="HUS53" i="9" s="1"/>
  <c r="HUT53" i="9" s="1"/>
  <c r="HUU53" i="9" s="1"/>
  <c r="HUV53" i="9" s="1"/>
  <c r="HUW53" i="9" s="1"/>
  <c r="HUX53" i="9" s="1"/>
  <c r="HUY53" i="9" s="1"/>
  <c r="HUZ53" i="9" s="1"/>
  <c r="HVA53" i="9" s="1"/>
  <c r="HVB53" i="9" s="1"/>
  <c r="HVC53" i="9" s="1"/>
  <c r="HVD53" i="9" s="1"/>
  <c r="HVE53" i="9" s="1"/>
  <c r="HVF53" i="9" s="1"/>
  <c r="HVG53" i="9" s="1"/>
  <c r="HVH53" i="9" s="1"/>
  <c r="HVI53" i="9" s="1"/>
  <c r="HVJ53" i="9" s="1"/>
  <c r="HVK53" i="9" s="1"/>
  <c r="HVL53" i="9" s="1"/>
  <c r="HVM53" i="9" s="1"/>
  <c r="HVN53" i="9" s="1"/>
  <c r="HVO53" i="9" s="1"/>
  <c r="HVP53" i="9" s="1"/>
  <c r="HVQ53" i="9" s="1"/>
  <c r="HVR53" i="9" s="1"/>
  <c r="HVS53" i="9" s="1"/>
  <c r="HVT53" i="9" s="1"/>
  <c r="HVU53" i="9" s="1"/>
  <c r="HVV53" i="9" s="1"/>
  <c r="HVW53" i="9" s="1"/>
  <c r="HVX53" i="9" s="1"/>
  <c r="HVY53" i="9" s="1"/>
  <c r="HVZ53" i="9" s="1"/>
  <c r="HWA53" i="9" s="1"/>
  <c r="HWB53" i="9" s="1"/>
  <c r="HWC53" i="9" s="1"/>
  <c r="HWD53" i="9" s="1"/>
  <c r="HWE53" i="9" s="1"/>
  <c r="HWF53" i="9" s="1"/>
  <c r="HWG53" i="9" s="1"/>
  <c r="HWH53" i="9" s="1"/>
  <c r="HWI53" i="9" s="1"/>
  <c r="HWJ53" i="9" s="1"/>
  <c r="HWK53" i="9" s="1"/>
  <c r="HWL53" i="9" s="1"/>
  <c r="HWM53" i="9" s="1"/>
  <c r="HWN53" i="9" s="1"/>
  <c r="HWO53" i="9" s="1"/>
  <c r="HWP53" i="9" s="1"/>
  <c r="HWQ53" i="9" s="1"/>
  <c r="HWR53" i="9" s="1"/>
  <c r="HWS53" i="9" s="1"/>
  <c r="HWT53" i="9" s="1"/>
  <c r="HWU53" i="9" s="1"/>
  <c r="HWV53" i="9" s="1"/>
  <c r="HWW53" i="9" s="1"/>
  <c r="HWX53" i="9" s="1"/>
  <c r="HWY53" i="9" s="1"/>
  <c r="HWZ53" i="9" s="1"/>
  <c r="HXA53" i="9" s="1"/>
  <c r="HXB53" i="9" s="1"/>
  <c r="HXC53" i="9" s="1"/>
  <c r="HXD53" i="9" s="1"/>
  <c r="HXE53" i="9" s="1"/>
  <c r="HXF53" i="9" s="1"/>
  <c r="HXG53" i="9" s="1"/>
  <c r="HXH53" i="9" s="1"/>
  <c r="HXI53" i="9" s="1"/>
  <c r="HXJ53" i="9" s="1"/>
  <c r="HXK53" i="9" s="1"/>
  <c r="HXL53" i="9" s="1"/>
  <c r="HXM53" i="9" s="1"/>
  <c r="HXN53" i="9" s="1"/>
  <c r="HXO53" i="9" s="1"/>
  <c r="HXP53" i="9" s="1"/>
  <c r="HXQ53" i="9" s="1"/>
  <c r="HXR53" i="9" s="1"/>
  <c r="HXS53" i="9" s="1"/>
  <c r="HXT53" i="9" s="1"/>
  <c r="HXU53" i="9" s="1"/>
  <c r="HXV53" i="9" s="1"/>
  <c r="HXW53" i="9" s="1"/>
  <c r="HXX53" i="9" s="1"/>
  <c r="HXY53" i="9" s="1"/>
  <c r="HXZ53" i="9" s="1"/>
  <c r="HYA53" i="9" s="1"/>
  <c r="HYB53" i="9" s="1"/>
  <c r="HYC53" i="9" s="1"/>
  <c r="HYD53" i="9" s="1"/>
  <c r="HYE53" i="9" s="1"/>
  <c r="HYF53" i="9" s="1"/>
  <c r="HYG53" i="9" s="1"/>
  <c r="HYH53" i="9" s="1"/>
  <c r="HYI53" i="9" s="1"/>
  <c r="HYJ53" i="9" s="1"/>
  <c r="HYK53" i="9" s="1"/>
  <c r="HYL53" i="9" s="1"/>
  <c r="HYM53" i="9" s="1"/>
  <c r="HYN53" i="9" s="1"/>
  <c r="HYO53" i="9" s="1"/>
  <c r="HYP53" i="9" s="1"/>
  <c r="HYQ53" i="9" s="1"/>
  <c r="HYR53" i="9" s="1"/>
  <c r="HYS53" i="9" s="1"/>
  <c r="HYT53" i="9" s="1"/>
  <c r="HYU53" i="9" s="1"/>
  <c r="HYV53" i="9" s="1"/>
  <c r="HYW53" i="9" s="1"/>
  <c r="HYX53" i="9" s="1"/>
  <c r="HYY53" i="9" s="1"/>
  <c r="HYZ53" i="9" s="1"/>
  <c r="HZA53" i="9" s="1"/>
  <c r="HZB53" i="9" s="1"/>
  <c r="HZC53" i="9" s="1"/>
  <c r="HZD53" i="9" s="1"/>
  <c r="HZE53" i="9" s="1"/>
  <c r="HZF53" i="9" s="1"/>
  <c r="HZG53" i="9" s="1"/>
  <c r="HZH53" i="9" s="1"/>
  <c r="HZI53" i="9" s="1"/>
  <c r="HZJ53" i="9" s="1"/>
  <c r="HZK53" i="9" s="1"/>
  <c r="HZL53" i="9" s="1"/>
  <c r="HZM53" i="9" s="1"/>
  <c r="HZN53" i="9" s="1"/>
  <c r="HZO53" i="9" s="1"/>
  <c r="HZP53" i="9" s="1"/>
  <c r="HZQ53" i="9" s="1"/>
  <c r="HZR53" i="9" s="1"/>
  <c r="HZS53" i="9" s="1"/>
  <c r="HZT53" i="9" s="1"/>
  <c r="HZU53" i="9" s="1"/>
  <c r="HZV53" i="9" s="1"/>
  <c r="HZW53" i="9" s="1"/>
  <c r="HZX53" i="9" s="1"/>
  <c r="HZY53" i="9" s="1"/>
  <c r="HZZ53" i="9" s="1"/>
  <c r="IAA53" i="9" s="1"/>
  <c r="IAB53" i="9" s="1"/>
  <c r="IAC53" i="9" s="1"/>
  <c r="IAD53" i="9" s="1"/>
  <c r="IAE53" i="9" s="1"/>
  <c r="IAF53" i="9" s="1"/>
  <c r="IAG53" i="9" s="1"/>
  <c r="IAH53" i="9" s="1"/>
  <c r="IAI53" i="9" s="1"/>
  <c r="IAJ53" i="9" s="1"/>
  <c r="IAK53" i="9" s="1"/>
  <c r="IAL53" i="9" s="1"/>
  <c r="IAM53" i="9" s="1"/>
  <c r="IAN53" i="9" s="1"/>
  <c r="IAO53" i="9" s="1"/>
  <c r="IAP53" i="9" s="1"/>
  <c r="IAQ53" i="9" s="1"/>
  <c r="IAR53" i="9" s="1"/>
  <c r="IAS53" i="9" s="1"/>
  <c r="IAT53" i="9" s="1"/>
  <c r="IAU53" i="9" s="1"/>
  <c r="IAV53" i="9" s="1"/>
  <c r="IAW53" i="9" s="1"/>
  <c r="IAX53" i="9" s="1"/>
  <c r="IAY53" i="9" s="1"/>
  <c r="IAZ53" i="9" s="1"/>
  <c r="IBA53" i="9" s="1"/>
  <c r="IBB53" i="9" s="1"/>
  <c r="IBC53" i="9" s="1"/>
  <c r="IBD53" i="9" s="1"/>
  <c r="IBE53" i="9" s="1"/>
  <c r="IBF53" i="9" s="1"/>
  <c r="IBG53" i="9" s="1"/>
  <c r="IBH53" i="9" s="1"/>
  <c r="IBI53" i="9" s="1"/>
  <c r="IBJ53" i="9" s="1"/>
  <c r="IBK53" i="9" s="1"/>
  <c r="IBL53" i="9" s="1"/>
  <c r="IBM53" i="9" s="1"/>
  <c r="IBN53" i="9" s="1"/>
  <c r="IBO53" i="9" s="1"/>
  <c r="IBP53" i="9" s="1"/>
  <c r="IBQ53" i="9" s="1"/>
  <c r="IBR53" i="9" s="1"/>
  <c r="IBS53" i="9" s="1"/>
  <c r="IBT53" i="9" s="1"/>
  <c r="IBU53" i="9" s="1"/>
  <c r="IBV53" i="9" s="1"/>
  <c r="IBW53" i="9" s="1"/>
  <c r="IBX53" i="9" s="1"/>
  <c r="IBY53" i="9" s="1"/>
  <c r="IBZ53" i="9" s="1"/>
  <c r="ICA53" i="9" s="1"/>
  <c r="ICB53" i="9" s="1"/>
  <c r="ICC53" i="9" s="1"/>
  <c r="ICD53" i="9" s="1"/>
  <c r="ICE53" i="9" s="1"/>
  <c r="ICF53" i="9" s="1"/>
  <c r="ICG53" i="9" s="1"/>
  <c r="ICH53" i="9" s="1"/>
  <c r="ICI53" i="9" s="1"/>
  <c r="ICJ53" i="9" s="1"/>
  <c r="ICK53" i="9" s="1"/>
  <c r="ICL53" i="9" s="1"/>
  <c r="ICM53" i="9" s="1"/>
  <c r="ICN53" i="9" s="1"/>
  <c r="ICO53" i="9" s="1"/>
  <c r="ICP53" i="9" s="1"/>
  <c r="ICQ53" i="9" s="1"/>
  <c r="ICR53" i="9" s="1"/>
  <c r="ICS53" i="9" s="1"/>
  <c r="ICT53" i="9" s="1"/>
  <c r="ICU53" i="9" s="1"/>
  <c r="ICV53" i="9" s="1"/>
  <c r="ICW53" i="9" s="1"/>
  <c r="ICX53" i="9" s="1"/>
  <c r="ICY53" i="9" s="1"/>
  <c r="ICZ53" i="9" s="1"/>
  <c r="IDA53" i="9" s="1"/>
  <c r="IDB53" i="9" s="1"/>
  <c r="IDC53" i="9" s="1"/>
  <c r="IDD53" i="9" s="1"/>
  <c r="IDE53" i="9" s="1"/>
  <c r="IDF53" i="9" s="1"/>
  <c r="IDG53" i="9" s="1"/>
  <c r="IDH53" i="9" s="1"/>
  <c r="IDI53" i="9" s="1"/>
  <c r="IDJ53" i="9" s="1"/>
  <c r="IDK53" i="9" s="1"/>
  <c r="IDL53" i="9" s="1"/>
  <c r="IDM53" i="9" s="1"/>
  <c r="IDN53" i="9" s="1"/>
  <c r="IDO53" i="9" s="1"/>
  <c r="IDP53" i="9" s="1"/>
  <c r="IDQ53" i="9" s="1"/>
  <c r="IDR53" i="9" s="1"/>
  <c r="IDS53" i="9" s="1"/>
  <c r="IDT53" i="9" s="1"/>
  <c r="IDU53" i="9" s="1"/>
  <c r="IDV53" i="9" s="1"/>
  <c r="IDW53" i="9" s="1"/>
  <c r="IDX53" i="9" s="1"/>
  <c r="IDY53" i="9" s="1"/>
  <c r="IDZ53" i="9" s="1"/>
  <c r="IEA53" i="9" s="1"/>
  <c r="IEB53" i="9" s="1"/>
  <c r="IEC53" i="9" s="1"/>
  <c r="IED53" i="9" s="1"/>
  <c r="IEE53" i="9" s="1"/>
  <c r="IEF53" i="9" s="1"/>
  <c r="IEG53" i="9" s="1"/>
  <c r="IEH53" i="9" s="1"/>
  <c r="IEI53" i="9" s="1"/>
  <c r="IEJ53" i="9" s="1"/>
  <c r="IEK53" i="9" s="1"/>
  <c r="IEL53" i="9" s="1"/>
  <c r="IEM53" i="9" s="1"/>
  <c r="IEN53" i="9" s="1"/>
  <c r="IEO53" i="9" s="1"/>
  <c r="IEP53" i="9" s="1"/>
  <c r="IEQ53" i="9" s="1"/>
  <c r="IER53" i="9" s="1"/>
  <c r="IES53" i="9" s="1"/>
  <c r="IET53" i="9" s="1"/>
  <c r="IEU53" i="9" s="1"/>
  <c r="IEV53" i="9" s="1"/>
  <c r="IEW53" i="9" s="1"/>
  <c r="IEX53" i="9" s="1"/>
  <c r="IEY53" i="9" s="1"/>
  <c r="IEZ53" i="9" s="1"/>
  <c r="IFA53" i="9" s="1"/>
  <c r="IFB53" i="9" s="1"/>
  <c r="IFC53" i="9" s="1"/>
  <c r="IFD53" i="9" s="1"/>
  <c r="IFE53" i="9" s="1"/>
  <c r="IFF53" i="9" s="1"/>
  <c r="IFG53" i="9" s="1"/>
  <c r="IFH53" i="9" s="1"/>
  <c r="IFI53" i="9" s="1"/>
  <c r="IFJ53" i="9" s="1"/>
  <c r="IFK53" i="9" s="1"/>
  <c r="IFL53" i="9" s="1"/>
  <c r="IFM53" i="9" s="1"/>
  <c r="IFN53" i="9" s="1"/>
  <c r="IFO53" i="9" s="1"/>
  <c r="IFP53" i="9" s="1"/>
  <c r="IFQ53" i="9" s="1"/>
  <c r="IFR53" i="9" s="1"/>
  <c r="IFS53" i="9" s="1"/>
  <c r="IFT53" i="9" s="1"/>
  <c r="IFU53" i="9" s="1"/>
  <c r="IFV53" i="9" s="1"/>
  <c r="IFW53" i="9" s="1"/>
  <c r="IFX53" i="9" s="1"/>
  <c r="IFY53" i="9" s="1"/>
  <c r="IFZ53" i="9" s="1"/>
  <c r="IGA53" i="9" s="1"/>
  <c r="IGB53" i="9" s="1"/>
  <c r="IGC53" i="9" s="1"/>
  <c r="IGD53" i="9" s="1"/>
  <c r="IGE53" i="9" s="1"/>
  <c r="IGF53" i="9" s="1"/>
  <c r="IGG53" i="9" s="1"/>
  <c r="IGH53" i="9" s="1"/>
  <c r="IGI53" i="9" s="1"/>
  <c r="IGJ53" i="9" s="1"/>
  <c r="IGK53" i="9" s="1"/>
  <c r="IGL53" i="9" s="1"/>
  <c r="IGM53" i="9" s="1"/>
  <c r="IGN53" i="9" s="1"/>
  <c r="IGO53" i="9" s="1"/>
  <c r="IGP53" i="9" s="1"/>
  <c r="IGQ53" i="9" s="1"/>
  <c r="IGR53" i="9" s="1"/>
  <c r="IGS53" i="9" s="1"/>
  <c r="IGT53" i="9" s="1"/>
  <c r="IGU53" i="9" s="1"/>
  <c r="IGV53" i="9" s="1"/>
  <c r="IGW53" i="9" s="1"/>
  <c r="IGX53" i="9" s="1"/>
  <c r="IGY53" i="9" s="1"/>
  <c r="IGZ53" i="9" s="1"/>
  <c r="IHA53" i="9" s="1"/>
  <c r="IHB53" i="9" s="1"/>
  <c r="IHC53" i="9" s="1"/>
  <c r="IHD53" i="9" s="1"/>
  <c r="IHE53" i="9" s="1"/>
  <c r="IHF53" i="9" s="1"/>
  <c r="IHG53" i="9" s="1"/>
  <c r="IHH53" i="9" s="1"/>
  <c r="IHI53" i="9" s="1"/>
  <c r="IHJ53" i="9" s="1"/>
  <c r="IHK53" i="9" s="1"/>
  <c r="IHL53" i="9" s="1"/>
  <c r="IHM53" i="9" s="1"/>
  <c r="IHN53" i="9" s="1"/>
  <c r="IHO53" i="9" s="1"/>
  <c r="IHP53" i="9" s="1"/>
  <c r="IHQ53" i="9" s="1"/>
  <c r="IHR53" i="9" s="1"/>
  <c r="IHS53" i="9" s="1"/>
  <c r="IHT53" i="9" s="1"/>
  <c r="IHU53" i="9" s="1"/>
  <c r="IHV53" i="9" s="1"/>
  <c r="IHW53" i="9" s="1"/>
  <c r="IHX53" i="9" s="1"/>
  <c r="IHY53" i="9" s="1"/>
  <c r="IHZ53" i="9" s="1"/>
  <c r="IIA53" i="9" s="1"/>
  <c r="IIB53" i="9" s="1"/>
  <c r="IIC53" i="9" s="1"/>
  <c r="IID53" i="9" s="1"/>
  <c r="IIE53" i="9" s="1"/>
  <c r="IIF53" i="9" s="1"/>
  <c r="IIG53" i="9" s="1"/>
  <c r="IIH53" i="9" s="1"/>
  <c r="III53" i="9" s="1"/>
  <c r="IIJ53" i="9" s="1"/>
  <c r="IIK53" i="9" s="1"/>
  <c r="IIL53" i="9" s="1"/>
  <c r="IIM53" i="9" s="1"/>
  <c r="IIN53" i="9" s="1"/>
  <c r="IIO53" i="9" s="1"/>
  <c r="IIP53" i="9" s="1"/>
  <c r="IIQ53" i="9" s="1"/>
  <c r="IIR53" i="9" s="1"/>
  <c r="IIS53" i="9" s="1"/>
  <c r="IIT53" i="9" s="1"/>
  <c r="IIU53" i="9" s="1"/>
  <c r="IIV53" i="9" s="1"/>
  <c r="IIW53" i="9" s="1"/>
  <c r="IIX53" i="9" s="1"/>
  <c r="IIY53" i="9" s="1"/>
  <c r="IIZ53" i="9" s="1"/>
  <c r="IJA53" i="9" s="1"/>
  <c r="IJB53" i="9" s="1"/>
  <c r="IJC53" i="9" s="1"/>
  <c r="IJD53" i="9" s="1"/>
  <c r="IJE53" i="9" s="1"/>
  <c r="IJF53" i="9" s="1"/>
  <c r="IJG53" i="9" s="1"/>
  <c r="IJH53" i="9" s="1"/>
  <c r="IJI53" i="9" s="1"/>
  <c r="IJJ53" i="9" s="1"/>
  <c r="IJK53" i="9" s="1"/>
  <c r="IJL53" i="9" s="1"/>
  <c r="IJM53" i="9" s="1"/>
  <c r="IJN53" i="9" s="1"/>
  <c r="IJO53" i="9" s="1"/>
  <c r="IJP53" i="9" s="1"/>
  <c r="IJQ53" i="9" s="1"/>
  <c r="IJR53" i="9" s="1"/>
  <c r="IJS53" i="9" s="1"/>
  <c r="IJT53" i="9" s="1"/>
  <c r="IJU53" i="9" s="1"/>
  <c r="IJV53" i="9" s="1"/>
  <c r="IJW53" i="9" s="1"/>
  <c r="IJX53" i="9" s="1"/>
  <c r="IJY53" i="9" s="1"/>
  <c r="IJZ53" i="9" s="1"/>
  <c r="IKA53" i="9" s="1"/>
  <c r="IKB53" i="9" s="1"/>
  <c r="IKC53" i="9" s="1"/>
  <c r="IKD53" i="9" s="1"/>
  <c r="IKE53" i="9" s="1"/>
  <c r="IKF53" i="9" s="1"/>
  <c r="IKG53" i="9" s="1"/>
  <c r="IKH53" i="9" s="1"/>
  <c r="IKI53" i="9" s="1"/>
  <c r="IKJ53" i="9" s="1"/>
  <c r="IKK53" i="9" s="1"/>
  <c r="IKL53" i="9" s="1"/>
  <c r="IKM53" i="9" s="1"/>
  <c r="IKN53" i="9" s="1"/>
  <c r="IKO53" i="9" s="1"/>
  <c r="IKP53" i="9" s="1"/>
  <c r="IKQ53" i="9" s="1"/>
  <c r="IKR53" i="9" s="1"/>
  <c r="IKS53" i="9" s="1"/>
  <c r="IKT53" i="9" s="1"/>
  <c r="IKU53" i="9" s="1"/>
  <c r="IKV53" i="9" s="1"/>
  <c r="IKW53" i="9" s="1"/>
  <c r="IKX53" i="9" s="1"/>
  <c r="IKY53" i="9" s="1"/>
  <c r="IKZ53" i="9" s="1"/>
  <c r="ILA53" i="9" s="1"/>
  <c r="ILB53" i="9" s="1"/>
  <c r="ILC53" i="9" s="1"/>
  <c r="ILD53" i="9" s="1"/>
  <c r="ILE53" i="9" s="1"/>
  <c r="ILF53" i="9" s="1"/>
  <c r="ILG53" i="9" s="1"/>
  <c r="ILH53" i="9" s="1"/>
  <c r="ILI53" i="9" s="1"/>
  <c r="ILJ53" i="9" s="1"/>
  <c r="ILK53" i="9" s="1"/>
  <c r="ILL53" i="9" s="1"/>
  <c r="ILM53" i="9" s="1"/>
  <c r="ILN53" i="9" s="1"/>
  <c r="ILO53" i="9" s="1"/>
  <c r="ILP53" i="9" s="1"/>
  <c r="ILQ53" i="9" s="1"/>
  <c r="ILR53" i="9" s="1"/>
  <c r="ILS53" i="9" s="1"/>
  <c r="ILT53" i="9" s="1"/>
  <c r="ILU53" i="9" s="1"/>
  <c r="ILV53" i="9" s="1"/>
  <c r="ILW53" i="9" s="1"/>
  <c r="ILX53" i="9" s="1"/>
  <c r="ILY53" i="9" s="1"/>
  <c r="ILZ53" i="9" s="1"/>
  <c r="IMA53" i="9" s="1"/>
  <c r="IMB53" i="9" s="1"/>
  <c r="IMC53" i="9" s="1"/>
  <c r="IMD53" i="9" s="1"/>
  <c r="IME53" i="9" s="1"/>
  <c r="IMF53" i="9" s="1"/>
  <c r="IMG53" i="9" s="1"/>
  <c r="IMH53" i="9" s="1"/>
  <c r="IMI53" i="9" s="1"/>
  <c r="IMJ53" i="9" s="1"/>
  <c r="IMK53" i="9" s="1"/>
  <c r="IML53" i="9" s="1"/>
  <c r="IMM53" i="9" s="1"/>
  <c r="IMN53" i="9" s="1"/>
  <c r="IMO53" i="9" s="1"/>
  <c r="IMP53" i="9" s="1"/>
  <c r="IMQ53" i="9" s="1"/>
  <c r="IMR53" i="9" s="1"/>
  <c r="IMS53" i="9" s="1"/>
  <c r="IMT53" i="9" s="1"/>
  <c r="IMU53" i="9" s="1"/>
  <c r="IMV53" i="9" s="1"/>
  <c r="IMW53" i="9" s="1"/>
  <c r="IMX53" i="9" s="1"/>
  <c r="IMY53" i="9" s="1"/>
  <c r="IMZ53" i="9" s="1"/>
  <c r="INA53" i="9" s="1"/>
  <c r="INB53" i="9" s="1"/>
  <c r="INC53" i="9" s="1"/>
  <c r="IND53" i="9" s="1"/>
  <c r="INE53" i="9" s="1"/>
  <c r="INF53" i="9" s="1"/>
  <c r="ING53" i="9" s="1"/>
  <c r="INH53" i="9" s="1"/>
  <c r="INI53" i="9" s="1"/>
  <c r="INJ53" i="9" s="1"/>
  <c r="INK53" i="9" s="1"/>
  <c r="INL53" i="9" s="1"/>
  <c r="INM53" i="9" s="1"/>
  <c r="INN53" i="9" s="1"/>
  <c r="INO53" i="9" s="1"/>
  <c r="INP53" i="9" s="1"/>
  <c r="INQ53" i="9" s="1"/>
  <c r="INR53" i="9" s="1"/>
  <c r="INS53" i="9" s="1"/>
  <c r="INT53" i="9" s="1"/>
  <c r="INU53" i="9" s="1"/>
  <c r="INV53" i="9" s="1"/>
  <c r="INW53" i="9" s="1"/>
  <c r="INX53" i="9" s="1"/>
  <c r="INY53" i="9" s="1"/>
  <c r="INZ53" i="9" s="1"/>
  <c r="IOA53" i="9" s="1"/>
  <c r="IOB53" i="9" s="1"/>
  <c r="IOC53" i="9" s="1"/>
  <c r="IOD53" i="9" s="1"/>
  <c r="IOE53" i="9" s="1"/>
  <c r="IOF53" i="9" s="1"/>
  <c r="IOG53" i="9" s="1"/>
  <c r="IOH53" i="9" s="1"/>
  <c r="IOI53" i="9" s="1"/>
  <c r="IOJ53" i="9" s="1"/>
  <c r="IOK53" i="9" s="1"/>
  <c r="IOL53" i="9" s="1"/>
  <c r="IOM53" i="9" s="1"/>
  <c r="ION53" i="9" s="1"/>
  <c r="IOO53" i="9" s="1"/>
  <c r="IOP53" i="9" s="1"/>
  <c r="IOQ53" i="9" s="1"/>
  <c r="IOR53" i="9" s="1"/>
  <c r="IOS53" i="9" s="1"/>
  <c r="IOT53" i="9" s="1"/>
  <c r="IOU53" i="9" s="1"/>
  <c r="IOV53" i="9" s="1"/>
  <c r="IOW53" i="9" s="1"/>
  <c r="IOX53" i="9" s="1"/>
  <c r="IOY53" i="9" s="1"/>
  <c r="IOZ53" i="9" s="1"/>
  <c r="IPA53" i="9" s="1"/>
  <c r="IPB53" i="9" s="1"/>
  <c r="IPC53" i="9" s="1"/>
  <c r="IPD53" i="9" s="1"/>
  <c r="IPE53" i="9" s="1"/>
  <c r="IPF53" i="9" s="1"/>
  <c r="IPG53" i="9" s="1"/>
  <c r="IPH53" i="9" s="1"/>
  <c r="IPI53" i="9" s="1"/>
  <c r="IPJ53" i="9" s="1"/>
  <c r="IPK53" i="9" s="1"/>
  <c r="IPL53" i="9" s="1"/>
  <c r="IPM53" i="9" s="1"/>
  <c r="IPN53" i="9" s="1"/>
  <c r="IPO53" i="9" s="1"/>
  <c r="IPP53" i="9" s="1"/>
  <c r="IPQ53" i="9" s="1"/>
  <c r="IPR53" i="9" s="1"/>
  <c r="IPS53" i="9" s="1"/>
  <c r="IPT53" i="9" s="1"/>
  <c r="IPU53" i="9" s="1"/>
  <c r="IPV53" i="9" s="1"/>
  <c r="IPW53" i="9" s="1"/>
  <c r="IPX53" i="9" s="1"/>
  <c r="IPY53" i="9" s="1"/>
  <c r="IPZ53" i="9" s="1"/>
  <c r="IQA53" i="9" s="1"/>
  <c r="IQB53" i="9" s="1"/>
  <c r="IQC53" i="9" s="1"/>
  <c r="IQD53" i="9" s="1"/>
  <c r="IQE53" i="9" s="1"/>
  <c r="IQF53" i="9" s="1"/>
  <c r="IQG53" i="9" s="1"/>
  <c r="IQH53" i="9" s="1"/>
  <c r="IQI53" i="9" s="1"/>
  <c r="IQJ53" i="9" s="1"/>
  <c r="IQK53" i="9" s="1"/>
  <c r="IQL53" i="9" s="1"/>
  <c r="IQM53" i="9" s="1"/>
  <c r="IQN53" i="9" s="1"/>
  <c r="IQO53" i="9" s="1"/>
  <c r="IQP53" i="9" s="1"/>
  <c r="IQQ53" i="9" s="1"/>
  <c r="IQR53" i="9" s="1"/>
  <c r="IQS53" i="9" s="1"/>
  <c r="IQT53" i="9" s="1"/>
  <c r="IQU53" i="9" s="1"/>
  <c r="IQV53" i="9" s="1"/>
  <c r="IQW53" i="9" s="1"/>
  <c r="IQX53" i="9" s="1"/>
  <c r="IQY53" i="9" s="1"/>
  <c r="IQZ53" i="9" s="1"/>
  <c r="IRA53" i="9" s="1"/>
  <c r="IRB53" i="9" s="1"/>
  <c r="IRC53" i="9" s="1"/>
  <c r="IRD53" i="9" s="1"/>
  <c r="IRE53" i="9" s="1"/>
  <c r="IRF53" i="9" s="1"/>
  <c r="IRG53" i="9" s="1"/>
  <c r="IRH53" i="9" s="1"/>
  <c r="IRI53" i="9" s="1"/>
  <c r="IRJ53" i="9" s="1"/>
  <c r="IRK53" i="9" s="1"/>
  <c r="IRL53" i="9" s="1"/>
  <c r="IRM53" i="9" s="1"/>
  <c r="IRN53" i="9" s="1"/>
  <c r="IRO53" i="9" s="1"/>
  <c r="IRP53" i="9" s="1"/>
  <c r="IRQ53" i="9" s="1"/>
  <c r="IRR53" i="9" s="1"/>
  <c r="IRS53" i="9" s="1"/>
  <c r="IRT53" i="9" s="1"/>
  <c r="IRU53" i="9" s="1"/>
  <c r="IRV53" i="9" s="1"/>
  <c r="IRW53" i="9" s="1"/>
  <c r="IRX53" i="9" s="1"/>
  <c r="IRY53" i="9" s="1"/>
  <c r="IRZ53" i="9" s="1"/>
  <c r="ISA53" i="9" s="1"/>
  <c r="ISB53" i="9" s="1"/>
  <c r="ISC53" i="9" s="1"/>
  <c r="ISD53" i="9" s="1"/>
  <c r="ISE53" i="9" s="1"/>
  <c r="ISF53" i="9" s="1"/>
  <c r="ISG53" i="9" s="1"/>
  <c r="ISH53" i="9" s="1"/>
  <c r="ISI53" i="9" s="1"/>
  <c r="ISJ53" i="9" s="1"/>
  <c r="ISK53" i="9" s="1"/>
  <c r="ISL53" i="9" s="1"/>
  <c r="ISM53" i="9" s="1"/>
  <c r="ISN53" i="9" s="1"/>
  <c r="ISO53" i="9" s="1"/>
  <c r="ISP53" i="9" s="1"/>
  <c r="ISQ53" i="9" s="1"/>
  <c r="ISR53" i="9" s="1"/>
  <c r="ISS53" i="9" s="1"/>
  <c r="IST53" i="9" s="1"/>
  <c r="ISU53" i="9" s="1"/>
  <c r="ISV53" i="9" s="1"/>
  <c r="ISW53" i="9" s="1"/>
  <c r="ISX53" i="9" s="1"/>
  <c r="ISY53" i="9" s="1"/>
  <c r="ISZ53" i="9" s="1"/>
  <c r="ITA53" i="9" s="1"/>
  <c r="ITB53" i="9" s="1"/>
  <c r="ITC53" i="9" s="1"/>
  <c r="ITD53" i="9" s="1"/>
  <c r="ITE53" i="9" s="1"/>
  <c r="ITF53" i="9" s="1"/>
  <c r="ITG53" i="9" s="1"/>
  <c r="ITH53" i="9" s="1"/>
  <c r="ITI53" i="9" s="1"/>
  <c r="ITJ53" i="9" s="1"/>
  <c r="ITK53" i="9" s="1"/>
  <c r="ITL53" i="9" s="1"/>
  <c r="ITM53" i="9" s="1"/>
  <c r="ITN53" i="9" s="1"/>
  <c r="ITO53" i="9" s="1"/>
  <c r="ITP53" i="9" s="1"/>
  <c r="ITQ53" i="9" s="1"/>
  <c r="ITR53" i="9" s="1"/>
  <c r="ITS53" i="9" s="1"/>
  <c r="ITT53" i="9" s="1"/>
  <c r="ITU53" i="9" s="1"/>
  <c r="ITV53" i="9" s="1"/>
  <c r="ITW53" i="9" s="1"/>
  <c r="ITX53" i="9" s="1"/>
  <c r="ITY53" i="9" s="1"/>
  <c r="ITZ53" i="9" s="1"/>
  <c r="IUA53" i="9" s="1"/>
  <c r="IUB53" i="9" s="1"/>
  <c r="IUC53" i="9" s="1"/>
  <c r="IUD53" i="9" s="1"/>
  <c r="IUE53" i="9" s="1"/>
  <c r="IUF53" i="9" s="1"/>
  <c r="IUG53" i="9" s="1"/>
  <c r="IUH53" i="9" s="1"/>
  <c r="IUI53" i="9" s="1"/>
  <c r="IUJ53" i="9" s="1"/>
  <c r="IUK53" i="9" s="1"/>
  <c r="IUL53" i="9" s="1"/>
  <c r="IUM53" i="9" s="1"/>
  <c r="IUN53" i="9" s="1"/>
  <c r="IUO53" i="9" s="1"/>
  <c r="IUP53" i="9" s="1"/>
  <c r="IUQ53" i="9" s="1"/>
  <c r="IUR53" i="9" s="1"/>
  <c r="IUS53" i="9" s="1"/>
  <c r="IUT53" i="9" s="1"/>
  <c r="IUU53" i="9" s="1"/>
  <c r="IUV53" i="9" s="1"/>
  <c r="IUW53" i="9" s="1"/>
  <c r="IUX53" i="9" s="1"/>
  <c r="IUY53" i="9" s="1"/>
  <c r="IUZ53" i="9" s="1"/>
  <c r="IVA53" i="9" s="1"/>
  <c r="IVB53" i="9" s="1"/>
  <c r="IVC53" i="9" s="1"/>
  <c r="IVD53" i="9" s="1"/>
  <c r="IVE53" i="9" s="1"/>
  <c r="IVF53" i="9" s="1"/>
  <c r="IVG53" i="9" s="1"/>
  <c r="IVH53" i="9" s="1"/>
  <c r="IVI53" i="9" s="1"/>
  <c r="IVJ53" i="9" s="1"/>
  <c r="IVK53" i="9" s="1"/>
  <c r="IVL53" i="9" s="1"/>
  <c r="IVM53" i="9" s="1"/>
  <c r="IVN53" i="9" s="1"/>
  <c r="IVO53" i="9" s="1"/>
  <c r="IVP53" i="9" s="1"/>
  <c r="IVQ53" i="9" s="1"/>
  <c r="IVR53" i="9" s="1"/>
  <c r="IVS53" i="9" s="1"/>
  <c r="IVT53" i="9" s="1"/>
  <c r="IVU53" i="9" s="1"/>
  <c r="IVV53" i="9" s="1"/>
  <c r="IVW53" i="9" s="1"/>
  <c r="IVX53" i="9" s="1"/>
  <c r="IVY53" i="9" s="1"/>
  <c r="IVZ53" i="9" s="1"/>
  <c r="IWA53" i="9" s="1"/>
  <c r="IWB53" i="9" s="1"/>
  <c r="IWC53" i="9" s="1"/>
  <c r="IWD53" i="9" s="1"/>
  <c r="IWE53" i="9" s="1"/>
  <c r="IWF53" i="9" s="1"/>
  <c r="IWG53" i="9" s="1"/>
  <c r="IWH53" i="9" s="1"/>
  <c r="IWI53" i="9" s="1"/>
  <c r="IWJ53" i="9" s="1"/>
  <c r="IWK53" i="9" s="1"/>
  <c r="IWL53" i="9" s="1"/>
  <c r="IWM53" i="9" s="1"/>
  <c r="IWN53" i="9" s="1"/>
  <c r="IWO53" i="9" s="1"/>
  <c r="IWP53" i="9" s="1"/>
  <c r="IWQ53" i="9" s="1"/>
  <c r="IWR53" i="9" s="1"/>
  <c r="IWS53" i="9" s="1"/>
  <c r="IWT53" i="9" s="1"/>
  <c r="IWU53" i="9" s="1"/>
  <c r="IWV53" i="9" s="1"/>
  <c r="IWW53" i="9" s="1"/>
  <c r="IWX53" i="9" s="1"/>
  <c r="IWY53" i="9" s="1"/>
  <c r="IWZ53" i="9" s="1"/>
  <c r="IXA53" i="9" s="1"/>
  <c r="IXB53" i="9" s="1"/>
  <c r="IXC53" i="9" s="1"/>
  <c r="IXD53" i="9" s="1"/>
  <c r="IXE53" i="9" s="1"/>
  <c r="IXF53" i="9" s="1"/>
  <c r="IXG53" i="9" s="1"/>
  <c r="IXH53" i="9" s="1"/>
  <c r="IXI53" i="9" s="1"/>
  <c r="IXJ53" i="9" s="1"/>
  <c r="IXK53" i="9" s="1"/>
  <c r="IXL53" i="9" s="1"/>
  <c r="IXM53" i="9" s="1"/>
  <c r="IXN53" i="9" s="1"/>
  <c r="IXO53" i="9" s="1"/>
  <c r="IXP53" i="9" s="1"/>
  <c r="IXQ53" i="9" s="1"/>
  <c r="IXR53" i="9" s="1"/>
  <c r="IXS53" i="9" s="1"/>
  <c r="IXT53" i="9" s="1"/>
  <c r="IXU53" i="9" s="1"/>
  <c r="IXV53" i="9" s="1"/>
  <c r="IXW53" i="9" s="1"/>
  <c r="IXX53" i="9" s="1"/>
  <c r="IXY53" i="9" s="1"/>
  <c r="IXZ53" i="9" s="1"/>
  <c r="IYA53" i="9" s="1"/>
  <c r="IYB53" i="9" s="1"/>
  <c r="IYC53" i="9" s="1"/>
  <c r="IYD53" i="9" s="1"/>
  <c r="IYE53" i="9" s="1"/>
  <c r="IYF53" i="9" s="1"/>
  <c r="IYG53" i="9" s="1"/>
  <c r="IYH53" i="9" s="1"/>
  <c r="IYI53" i="9" s="1"/>
  <c r="IYJ53" i="9" s="1"/>
  <c r="IYK53" i="9" s="1"/>
  <c r="IYL53" i="9" s="1"/>
  <c r="IYM53" i="9" s="1"/>
  <c r="IYN53" i="9" s="1"/>
  <c r="IYO53" i="9" s="1"/>
  <c r="IYP53" i="9" s="1"/>
  <c r="IYQ53" i="9" s="1"/>
  <c r="IYR53" i="9" s="1"/>
  <c r="IYS53" i="9" s="1"/>
  <c r="IYT53" i="9" s="1"/>
  <c r="IYU53" i="9" s="1"/>
  <c r="IYV53" i="9" s="1"/>
  <c r="IYW53" i="9" s="1"/>
  <c r="IYX53" i="9" s="1"/>
  <c r="IYY53" i="9" s="1"/>
  <c r="IYZ53" i="9" s="1"/>
  <c r="IZA53" i="9" s="1"/>
  <c r="IZB53" i="9" s="1"/>
  <c r="IZC53" i="9" s="1"/>
  <c r="IZD53" i="9" s="1"/>
  <c r="IZE53" i="9" s="1"/>
  <c r="IZF53" i="9" s="1"/>
  <c r="IZG53" i="9" s="1"/>
  <c r="IZH53" i="9" s="1"/>
  <c r="IZI53" i="9" s="1"/>
  <c r="IZJ53" i="9" s="1"/>
  <c r="IZK53" i="9" s="1"/>
  <c r="IZL53" i="9" s="1"/>
  <c r="IZM53" i="9" s="1"/>
  <c r="IZN53" i="9" s="1"/>
  <c r="IZO53" i="9" s="1"/>
  <c r="IZP53" i="9" s="1"/>
  <c r="IZQ53" i="9" s="1"/>
  <c r="IZR53" i="9" s="1"/>
  <c r="IZS53" i="9" s="1"/>
  <c r="IZT53" i="9" s="1"/>
  <c r="IZU53" i="9" s="1"/>
  <c r="IZV53" i="9" s="1"/>
  <c r="IZW53" i="9" s="1"/>
  <c r="IZX53" i="9" s="1"/>
  <c r="IZY53" i="9" s="1"/>
  <c r="IZZ53" i="9" s="1"/>
  <c r="JAA53" i="9" s="1"/>
  <c r="JAB53" i="9" s="1"/>
  <c r="JAC53" i="9" s="1"/>
  <c r="JAD53" i="9" s="1"/>
  <c r="JAE53" i="9" s="1"/>
  <c r="JAF53" i="9" s="1"/>
  <c r="JAG53" i="9" s="1"/>
  <c r="JAH53" i="9" s="1"/>
  <c r="JAI53" i="9" s="1"/>
  <c r="JAJ53" i="9" s="1"/>
  <c r="JAK53" i="9" s="1"/>
  <c r="JAL53" i="9" s="1"/>
  <c r="JAM53" i="9" s="1"/>
  <c r="JAN53" i="9" s="1"/>
  <c r="JAO53" i="9" s="1"/>
  <c r="JAP53" i="9" s="1"/>
  <c r="JAQ53" i="9" s="1"/>
  <c r="JAR53" i="9" s="1"/>
  <c r="JAS53" i="9" s="1"/>
  <c r="JAT53" i="9" s="1"/>
  <c r="JAU53" i="9" s="1"/>
  <c r="JAV53" i="9" s="1"/>
  <c r="JAW53" i="9" s="1"/>
  <c r="JAX53" i="9" s="1"/>
  <c r="JAY53" i="9" s="1"/>
  <c r="JAZ53" i="9" s="1"/>
  <c r="JBA53" i="9" s="1"/>
  <c r="JBB53" i="9" s="1"/>
  <c r="JBC53" i="9" s="1"/>
  <c r="JBD53" i="9" s="1"/>
  <c r="JBE53" i="9" s="1"/>
  <c r="JBF53" i="9" s="1"/>
  <c r="JBG53" i="9" s="1"/>
  <c r="JBH53" i="9" s="1"/>
  <c r="JBI53" i="9" s="1"/>
  <c r="JBJ53" i="9" s="1"/>
  <c r="JBK53" i="9" s="1"/>
  <c r="JBL53" i="9" s="1"/>
  <c r="JBM53" i="9" s="1"/>
  <c r="JBN53" i="9" s="1"/>
  <c r="JBO53" i="9" s="1"/>
  <c r="JBP53" i="9" s="1"/>
  <c r="JBQ53" i="9" s="1"/>
  <c r="JBR53" i="9" s="1"/>
  <c r="JBS53" i="9" s="1"/>
  <c r="JBT53" i="9" s="1"/>
  <c r="JBU53" i="9" s="1"/>
  <c r="JBV53" i="9" s="1"/>
  <c r="JBW53" i="9" s="1"/>
  <c r="JBX53" i="9" s="1"/>
  <c r="JBY53" i="9" s="1"/>
  <c r="JBZ53" i="9" s="1"/>
  <c r="JCA53" i="9" s="1"/>
  <c r="JCB53" i="9" s="1"/>
  <c r="JCC53" i="9" s="1"/>
  <c r="JCD53" i="9" s="1"/>
  <c r="JCE53" i="9" s="1"/>
  <c r="JCF53" i="9" s="1"/>
  <c r="JCG53" i="9" s="1"/>
  <c r="JCH53" i="9" s="1"/>
  <c r="JCI53" i="9" s="1"/>
  <c r="JCJ53" i="9" s="1"/>
  <c r="JCK53" i="9" s="1"/>
  <c r="JCL53" i="9" s="1"/>
  <c r="JCM53" i="9" s="1"/>
  <c r="JCN53" i="9" s="1"/>
  <c r="JCO53" i="9" s="1"/>
  <c r="JCP53" i="9" s="1"/>
  <c r="JCQ53" i="9" s="1"/>
  <c r="JCR53" i="9" s="1"/>
  <c r="JCS53" i="9" s="1"/>
  <c r="JCT53" i="9" s="1"/>
  <c r="JCU53" i="9" s="1"/>
  <c r="JCV53" i="9" s="1"/>
  <c r="JCW53" i="9" s="1"/>
  <c r="JCX53" i="9" s="1"/>
  <c r="JCY53" i="9" s="1"/>
  <c r="JCZ53" i="9" s="1"/>
  <c r="JDA53" i="9" s="1"/>
  <c r="JDB53" i="9" s="1"/>
  <c r="JDC53" i="9" s="1"/>
  <c r="JDD53" i="9" s="1"/>
  <c r="JDE53" i="9" s="1"/>
  <c r="JDF53" i="9" s="1"/>
  <c r="JDG53" i="9" s="1"/>
  <c r="JDH53" i="9" s="1"/>
  <c r="JDI53" i="9" s="1"/>
  <c r="JDJ53" i="9" s="1"/>
  <c r="JDK53" i="9" s="1"/>
  <c r="JDL53" i="9" s="1"/>
  <c r="JDM53" i="9" s="1"/>
  <c r="JDN53" i="9" s="1"/>
  <c r="JDO53" i="9" s="1"/>
  <c r="JDP53" i="9" s="1"/>
  <c r="JDQ53" i="9" s="1"/>
  <c r="JDR53" i="9" s="1"/>
  <c r="JDS53" i="9" s="1"/>
  <c r="JDT53" i="9" s="1"/>
  <c r="JDU53" i="9" s="1"/>
  <c r="JDV53" i="9" s="1"/>
  <c r="JDW53" i="9" s="1"/>
  <c r="JDX53" i="9" s="1"/>
  <c r="JDY53" i="9" s="1"/>
  <c r="JDZ53" i="9" s="1"/>
  <c r="JEA53" i="9" s="1"/>
  <c r="JEB53" i="9" s="1"/>
  <c r="JEC53" i="9" s="1"/>
  <c r="JED53" i="9" s="1"/>
  <c r="JEE53" i="9" s="1"/>
  <c r="JEF53" i="9" s="1"/>
  <c r="JEG53" i="9" s="1"/>
  <c r="JEH53" i="9" s="1"/>
  <c r="JEI53" i="9" s="1"/>
  <c r="JEJ53" i="9" s="1"/>
  <c r="JEK53" i="9" s="1"/>
  <c r="JEL53" i="9" s="1"/>
  <c r="JEM53" i="9" s="1"/>
  <c r="JEN53" i="9" s="1"/>
  <c r="JEO53" i="9" s="1"/>
  <c r="JEP53" i="9" s="1"/>
  <c r="JEQ53" i="9" s="1"/>
  <c r="JER53" i="9" s="1"/>
  <c r="JES53" i="9" s="1"/>
  <c r="JET53" i="9" s="1"/>
  <c r="JEU53" i="9" s="1"/>
  <c r="JEV53" i="9" s="1"/>
  <c r="JEW53" i="9" s="1"/>
  <c r="JEX53" i="9" s="1"/>
  <c r="JEY53" i="9" s="1"/>
  <c r="JEZ53" i="9" s="1"/>
  <c r="JFA53" i="9" s="1"/>
  <c r="JFB53" i="9" s="1"/>
  <c r="JFC53" i="9" s="1"/>
  <c r="JFD53" i="9" s="1"/>
  <c r="JFE53" i="9" s="1"/>
  <c r="JFF53" i="9" s="1"/>
  <c r="JFG53" i="9" s="1"/>
  <c r="JFH53" i="9" s="1"/>
  <c r="JFI53" i="9" s="1"/>
  <c r="JFJ53" i="9" s="1"/>
  <c r="JFK53" i="9" s="1"/>
  <c r="JFL53" i="9" s="1"/>
  <c r="JFM53" i="9" s="1"/>
  <c r="JFN53" i="9" s="1"/>
  <c r="JFO53" i="9" s="1"/>
  <c r="JFP53" i="9" s="1"/>
  <c r="JFQ53" i="9" s="1"/>
  <c r="JFR53" i="9" s="1"/>
  <c r="JFS53" i="9" s="1"/>
  <c r="JFT53" i="9" s="1"/>
  <c r="JFU53" i="9" s="1"/>
  <c r="JFV53" i="9" s="1"/>
  <c r="JFW53" i="9" s="1"/>
  <c r="JFX53" i="9" s="1"/>
  <c r="JFY53" i="9" s="1"/>
  <c r="JFZ53" i="9" s="1"/>
  <c r="JGA53" i="9" s="1"/>
  <c r="JGB53" i="9" s="1"/>
  <c r="JGC53" i="9" s="1"/>
  <c r="JGD53" i="9" s="1"/>
  <c r="JGE53" i="9" s="1"/>
  <c r="JGF53" i="9" s="1"/>
  <c r="JGG53" i="9" s="1"/>
  <c r="JGH53" i="9" s="1"/>
  <c r="JGI53" i="9" s="1"/>
  <c r="JGJ53" i="9" s="1"/>
  <c r="JGK53" i="9" s="1"/>
  <c r="JGL53" i="9" s="1"/>
  <c r="JGM53" i="9" s="1"/>
  <c r="JGN53" i="9" s="1"/>
  <c r="JGO53" i="9" s="1"/>
  <c r="JGP53" i="9" s="1"/>
  <c r="JGQ53" i="9" s="1"/>
  <c r="JGR53" i="9" s="1"/>
  <c r="JGS53" i="9" s="1"/>
  <c r="JGT53" i="9" s="1"/>
  <c r="JGU53" i="9" s="1"/>
  <c r="JGV53" i="9" s="1"/>
  <c r="JGW53" i="9" s="1"/>
  <c r="JGX53" i="9" s="1"/>
  <c r="JGY53" i="9" s="1"/>
  <c r="JGZ53" i="9" s="1"/>
  <c r="JHA53" i="9" s="1"/>
  <c r="JHB53" i="9" s="1"/>
  <c r="JHC53" i="9" s="1"/>
  <c r="JHD53" i="9" s="1"/>
  <c r="JHE53" i="9" s="1"/>
  <c r="JHF53" i="9" s="1"/>
  <c r="JHG53" i="9" s="1"/>
  <c r="JHH53" i="9" s="1"/>
  <c r="JHI53" i="9" s="1"/>
  <c r="JHJ53" i="9" s="1"/>
  <c r="JHK53" i="9" s="1"/>
  <c r="JHL53" i="9" s="1"/>
  <c r="JHM53" i="9" s="1"/>
  <c r="JHN53" i="9" s="1"/>
  <c r="JHO53" i="9" s="1"/>
  <c r="JHP53" i="9" s="1"/>
  <c r="JHQ53" i="9" s="1"/>
  <c r="JHR53" i="9" s="1"/>
  <c r="JHS53" i="9" s="1"/>
  <c r="JHT53" i="9" s="1"/>
  <c r="JHU53" i="9" s="1"/>
  <c r="JHV53" i="9" s="1"/>
  <c r="JHW53" i="9" s="1"/>
  <c r="JHX53" i="9" s="1"/>
  <c r="JHY53" i="9" s="1"/>
  <c r="JHZ53" i="9" s="1"/>
  <c r="JIA53" i="9" s="1"/>
  <c r="JIB53" i="9" s="1"/>
  <c r="JIC53" i="9" s="1"/>
  <c r="JID53" i="9" s="1"/>
  <c r="JIE53" i="9" s="1"/>
  <c r="JIF53" i="9" s="1"/>
  <c r="JIG53" i="9" s="1"/>
  <c r="JIH53" i="9" s="1"/>
  <c r="JII53" i="9" s="1"/>
  <c r="JIJ53" i="9" s="1"/>
  <c r="JIK53" i="9" s="1"/>
  <c r="JIL53" i="9" s="1"/>
  <c r="JIM53" i="9" s="1"/>
  <c r="JIN53" i="9" s="1"/>
  <c r="JIO53" i="9" s="1"/>
  <c r="JIP53" i="9" s="1"/>
  <c r="JIQ53" i="9" s="1"/>
  <c r="JIR53" i="9" s="1"/>
  <c r="JIS53" i="9" s="1"/>
  <c r="JIT53" i="9" s="1"/>
  <c r="JIU53" i="9" s="1"/>
  <c r="JIV53" i="9" s="1"/>
  <c r="JIW53" i="9" s="1"/>
  <c r="JIX53" i="9" s="1"/>
  <c r="JIY53" i="9" s="1"/>
  <c r="JIZ53" i="9" s="1"/>
  <c r="JJA53" i="9" s="1"/>
  <c r="JJB53" i="9" s="1"/>
  <c r="JJC53" i="9" s="1"/>
  <c r="JJD53" i="9" s="1"/>
  <c r="JJE53" i="9" s="1"/>
  <c r="JJF53" i="9" s="1"/>
  <c r="JJG53" i="9" s="1"/>
  <c r="JJH53" i="9" s="1"/>
  <c r="JJI53" i="9" s="1"/>
  <c r="JJJ53" i="9" s="1"/>
  <c r="JJK53" i="9" s="1"/>
  <c r="JJL53" i="9" s="1"/>
  <c r="JJM53" i="9" s="1"/>
  <c r="JJN53" i="9" s="1"/>
  <c r="JJO53" i="9" s="1"/>
  <c r="JJP53" i="9" s="1"/>
  <c r="JJQ53" i="9" s="1"/>
  <c r="JJR53" i="9" s="1"/>
  <c r="JJS53" i="9" s="1"/>
  <c r="JJT53" i="9" s="1"/>
  <c r="JJU53" i="9" s="1"/>
  <c r="JJV53" i="9" s="1"/>
  <c r="JJW53" i="9" s="1"/>
  <c r="JJX53" i="9" s="1"/>
  <c r="JJY53" i="9" s="1"/>
  <c r="JJZ53" i="9" s="1"/>
  <c r="JKA53" i="9" s="1"/>
  <c r="JKB53" i="9" s="1"/>
  <c r="JKC53" i="9" s="1"/>
  <c r="JKD53" i="9" s="1"/>
  <c r="JKE53" i="9" s="1"/>
  <c r="JKF53" i="9" s="1"/>
  <c r="JKG53" i="9" s="1"/>
  <c r="JKH53" i="9" s="1"/>
  <c r="JKI53" i="9" s="1"/>
  <c r="JKJ53" i="9" s="1"/>
  <c r="JKK53" i="9" s="1"/>
  <c r="JKL53" i="9" s="1"/>
  <c r="JKM53" i="9" s="1"/>
  <c r="JKN53" i="9" s="1"/>
  <c r="JKO53" i="9" s="1"/>
  <c r="JKP53" i="9" s="1"/>
  <c r="JKQ53" i="9" s="1"/>
  <c r="JKR53" i="9" s="1"/>
  <c r="JKS53" i="9" s="1"/>
  <c r="JKT53" i="9" s="1"/>
  <c r="JKU53" i="9" s="1"/>
  <c r="JKV53" i="9" s="1"/>
  <c r="JKW53" i="9" s="1"/>
  <c r="JKX53" i="9" s="1"/>
  <c r="JKY53" i="9" s="1"/>
  <c r="JKZ53" i="9" s="1"/>
  <c r="JLA53" i="9" s="1"/>
  <c r="JLB53" i="9" s="1"/>
  <c r="JLC53" i="9" s="1"/>
  <c r="JLD53" i="9" s="1"/>
  <c r="JLE53" i="9" s="1"/>
  <c r="JLF53" i="9" s="1"/>
  <c r="JLG53" i="9" s="1"/>
  <c r="JLH53" i="9" s="1"/>
  <c r="JLI53" i="9" s="1"/>
  <c r="JLJ53" i="9" s="1"/>
  <c r="JLK53" i="9" s="1"/>
  <c r="JLL53" i="9" s="1"/>
  <c r="JLM53" i="9" s="1"/>
  <c r="JLN53" i="9" s="1"/>
  <c r="JLO53" i="9" s="1"/>
  <c r="JLP53" i="9" s="1"/>
  <c r="JLQ53" i="9" s="1"/>
  <c r="JLR53" i="9" s="1"/>
  <c r="JLS53" i="9" s="1"/>
  <c r="JLT53" i="9" s="1"/>
  <c r="JLU53" i="9" s="1"/>
  <c r="JLV53" i="9" s="1"/>
  <c r="JLW53" i="9" s="1"/>
  <c r="JLX53" i="9" s="1"/>
  <c r="JLY53" i="9" s="1"/>
  <c r="JLZ53" i="9" s="1"/>
  <c r="JMA53" i="9" s="1"/>
  <c r="JMB53" i="9" s="1"/>
  <c r="JMC53" i="9" s="1"/>
  <c r="JMD53" i="9" s="1"/>
  <c r="JME53" i="9" s="1"/>
  <c r="JMF53" i="9" s="1"/>
  <c r="JMG53" i="9" s="1"/>
  <c r="JMH53" i="9" s="1"/>
  <c r="JMI53" i="9" s="1"/>
  <c r="JMJ53" i="9" s="1"/>
  <c r="JMK53" i="9" s="1"/>
  <c r="JML53" i="9" s="1"/>
  <c r="JMM53" i="9" s="1"/>
  <c r="JMN53" i="9" s="1"/>
  <c r="JMO53" i="9" s="1"/>
  <c r="JMP53" i="9" s="1"/>
  <c r="JMQ53" i="9" s="1"/>
  <c r="JMR53" i="9" s="1"/>
  <c r="JMS53" i="9" s="1"/>
  <c r="JMT53" i="9" s="1"/>
  <c r="JMU53" i="9" s="1"/>
  <c r="JMV53" i="9" s="1"/>
  <c r="JMW53" i="9" s="1"/>
  <c r="JMX53" i="9" s="1"/>
  <c r="JMY53" i="9" s="1"/>
  <c r="JMZ53" i="9" s="1"/>
  <c r="JNA53" i="9" s="1"/>
  <c r="JNB53" i="9" s="1"/>
  <c r="JNC53" i="9" s="1"/>
  <c r="JND53" i="9" s="1"/>
  <c r="JNE53" i="9" s="1"/>
  <c r="JNF53" i="9" s="1"/>
  <c r="JNG53" i="9" s="1"/>
  <c r="JNH53" i="9" s="1"/>
  <c r="JNI53" i="9" s="1"/>
  <c r="JNJ53" i="9" s="1"/>
  <c r="JNK53" i="9" s="1"/>
  <c r="JNL53" i="9" s="1"/>
  <c r="JNM53" i="9" s="1"/>
  <c r="JNN53" i="9" s="1"/>
  <c r="JNO53" i="9" s="1"/>
  <c r="JNP53" i="9" s="1"/>
  <c r="JNQ53" i="9" s="1"/>
  <c r="JNR53" i="9" s="1"/>
  <c r="JNS53" i="9" s="1"/>
  <c r="JNT53" i="9" s="1"/>
  <c r="JNU53" i="9" s="1"/>
  <c r="JNV53" i="9" s="1"/>
  <c r="JNW53" i="9" s="1"/>
  <c r="JNX53" i="9" s="1"/>
  <c r="JNY53" i="9" s="1"/>
  <c r="JNZ53" i="9" s="1"/>
  <c r="JOA53" i="9" s="1"/>
  <c r="JOB53" i="9" s="1"/>
  <c r="JOC53" i="9" s="1"/>
  <c r="JOD53" i="9" s="1"/>
  <c r="JOE53" i="9" s="1"/>
  <c r="JOF53" i="9" s="1"/>
  <c r="JOG53" i="9" s="1"/>
  <c r="JOH53" i="9" s="1"/>
  <c r="JOI53" i="9" s="1"/>
  <c r="JOJ53" i="9" s="1"/>
  <c r="JOK53" i="9" s="1"/>
  <c r="JOL53" i="9" s="1"/>
  <c r="JOM53" i="9" s="1"/>
  <c r="JON53" i="9" s="1"/>
  <c r="JOO53" i="9" s="1"/>
  <c r="JOP53" i="9" s="1"/>
  <c r="JOQ53" i="9" s="1"/>
  <c r="JOR53" i="9" s="1"/>
  <c r="JOS53" i="9" s="1"/>
  <c r="JOT53" i="9" s="1"/>
  <c r="JOU53" i="9" s="1"/>
  <c r="JOV53" i="9" s="1"/>
  <c r="JOW53" i="9" s="1"/>
  <c r="JOX53" i="9" s="1"/>
  <c r="JOY53" i="9" s="1"/>
  <c r="JOZ53" i="9" s="1"/>
  <c r="JPA53" i="9" s="1"/>
  <c r="JPB53" i="9" s="1"/>
  <c r="JPC53" i="9" s="1"/>
  <c r="JPD53" i="9" s="1"/>
  <c r="JPE53" i="9" s="1"/>
  <c r="JPF53" i="9" s="1"/>
  <c r="JPG53" i="9" s="1"/>
  <c r="JPH53" i="9" s="1"/>
  <c r="JPI53" i="9" s="1"/>
  <c r="JPJ53" i="9" s="1"/>
  <c r="JPK53" i="9" s="1"/>
  <c r="JPL53" i="9" s="1"/>
  <c r="JPM53" i="9" s="1"/>
  <c r="JPN53" i="9" s="1"/>
  <c r="JPO53" i="9" s="1"/>
  <c r="JPP53" i="9" s="1"/>
  <c r="JPQ53" i="9" s="1"/>
  <c r="JPR53" i="9" s="1"/>
  <c r="JPS53" i="9" s="1"/>
  <c r="JPT53" i="9" s="1"/>
  <c r="JPU53" i="9" s="1"/>
  <c r="JPV53" i="9" s="1"/>
  <c r="JPW53" i="9" s="1"/>
  <c r="JPX53" i="9" s="1"/>
  <c r="JPY53" i="9" s="1"/>
  <c r="JPZ53" i="9" s="1"/>
  <c r="JQA53" i="9" s="1"/>
  <c r="JQB53" i="9" s="1"/>
  <c r="JQC53" i="9" s="1"/>
  <c r="JQD53" i="9" s="1"/>
  <c r="JQE53" i="9" s="1"/>
  <c r="JQF53" i="9" s="1"/>
  <c r="JQG53" i="9" s="1"/>
  <c r="JQH53" i="9" s="1"/>
  <c r="JQI53" i="9" s="1"/>
  <c r="JQJ53" i="9" s="1"/>
  <c r="JQK53" i="9" s="1"/>
  <c r="JQL53" i="9" s="1"/>
  <c r="JQM53" i="9" s="1"/>
  <c r="JQN53" i="9" s="1"/>
  <c r="JQO53" i="9" s="1"/>
  <c r="JQP53" i="9" s="1"/>
  <c r="JQQ53" i="9" s="1"/>
  <c r="JQR53" i="9" s="1"/>
  <c r="JQS53" i="9" s="1"/>
  <c r="JQT53" i="9" s="1"/>
  <c r="JQU53" i="9" s="1"/>
  <c r="JQV53" i="9" s="1"/>
  <c r="JQW53" i="9" s="1"/>
  <c r="JQX53" i="9" s="1"/>
  <c r="JQY53" i="9" s="1"/>
  <c r="JQZ53" i="9" s="1"/>
  <c r="JRA53" i="9" s="1"/>
  <c r="JRB53" i="9" s="1"/>
  <c r="JRC53" i="9" s="1"/>
  <c r="JRD53" i="9" s="1"/>
  <c r="JRE53" i="9" s="1"/>
  <c r="JRF53" i="9" s="1"/>
  <c r="JRG53" i="9" s="1"/>
  <c r="JRH53" i="9" s="1"/>
  <c r="JRI53" i="9" s="1"/>
  <c r="JRJ53" i="9" s="1"/>
  <c r="JRK53" i="9" s="1"/>
  <c r="JRL53" i="9" s="1"/>
  <c r="JRM53" i="9" s="1"/>
  <c r="JRN53" i="9" s="1"/>
  <c r="JRO53" i="9" s="1"/>
  <c r="JRP53" i="9" s="1"/>
  <c r="JRQ53" i="9" s="1"/>
  <c r="JRR53" i="9" s="1"/>
  <c r="JRS53" i="9" s="1"/>
  <c r="JRT53" i="9" s="1"/>
  <c r="JRU53" i="9" s="1"/>
  <c r="JRV53" i="9" s="1"/>
  <c r="JRW53" i="9" s="1"/>
  <c r="JRX53" i="9" s="1"/>
  <c r="JRY53" i="9" s="1"/>
  <c r="JRZ53" i="9" s="1"/>
  <c r="JSA53" i="9" s="1"/>
  <c r="JSB53" i="9" s="1"/>
  <c r="JSC53" i="9" s="1"/>
  <c r="JSD53" i="9" s="1"/>
  <c r="JSE53" i="9" s="1"/>
  <c r="JSF53" i="9" s="1"/>
  <c r="JSG53" i="9" s="1"/>
  <c r="JSH53" i="9" s="1"/>
  <c r="JSI53" i="9" s="1"/>
  <c r="JSJ53" i="9" s="1"/>
  <c r="JSK53" i="9" s="1"/>
  <c r="JSL53" i="9" s="1"/>
  <c r="JSM53" i="9" s="1"/>
  <c r="JSN53" i="9" s="1"/>
  <c r="JSO53" i="9" s="1"/>
  <c r="JSP53" i="9" s="1"/>
  <c r="JSQ53" i="9" s="1"/>
  <c r="JSR53" i="9" s="1"/>
  <c r="JSS53" i="9" s="1"/>
  <c r="JST53" i="9" s="1"/>
  <c r="JSU53" i="9" s="1"/>
  <c r="JSV53" i="9" s="1"/>
  <c r="JSW53" i="9" s="1"/>
  <c r="JSX53" i="9" s="1"/>
  <c r="JSY53" i="9" s="1"/>
  <c r="JSZ53" i="9" s="1"/>
  <c r="JTA53" i="9" s="1"/>
  <c r="JTB53" i="9" s="1"/>
  <c r="JTC53" i="9" s="1"/>
  <c r="JTD53" i="9" s="1"/>
  <c r="JTE53" i="9" s="1"/>
  <c r="JTF53" i="9" s="1"/>
  <c r="JTG53" i="9" s="1"/>
  <c r="JTH53" i="9" s="1"/>
  <c r="JTI53" i="9" s="1"/>
  <c r="JTJ53" i="9" s="1"/>
  <c r="JTK53" i="9" s="1"/>
  <c r="JTL53" i="9" s="1"/>
  <c r="JTM53" i="9" s="1"/>
  <c r="JTN53" i="9" s="1"/>
  <c r="JTO53" i="9" s="1"/>
  <c r="JTP53" i="9" s="1"/>
  <c r="JTQ53" i="9" s="1"/>
  <c r="JTR53" i="9" s="1"/>
  <c r="JTS53" i="9" s="1"/>
  <c r="JTT53" i="9" s="1"/>
  <c r="JTU53" i="9" s="1"/>
  <c r="JTV53" i="9" s="1"/>
  <c r="JTW53" i="9" s="1"/>
  <c r="JTX53" i="9" s="1"/>
  <c r="JTY53" i="9" s="1"/>
  <c r="JTZ53" i="9" s="1"/>
  <c r="JUA53" i="9" s="1"/>
  <c r="JUB53" i="9" s="1"/>
  <c r="JUC53" i="9" s="1"/>
  <c r="JUD53" i="9" s="1"/>
  <c r="JUE53" i="9" s="1"/>
  <c r="JUF53" i="9" s="1"/>
  <c r="JUG53" i="9" s="1"/>
  <c r="JUH53" i="9" s="1"/>
  <c r="JUI53" i="9" s="1"/>
  <c r="JUJ53" i="9" s="1"/>
  <c r="JUK53" i="9" s="1"/>
  <c r="JUL53" i="9" s="1"/>
  <c r="JUM53" i="9" s="1"/>
  <c r="JUN53" i="9" s="1"/>
  <c r="JUO53" i="9" s="1"/>
  <c r="JUP53" i="9" s="1"/>
  <c r="JUQ53" i="9" s="1"/>
  <c r="JUR53" i="9" s="1"/>
  <c r="JUS53" i="9" s="1"/>
  <c r="JUT53" i="9" s="1"/>
  <c r="JUU53" i="9" s="1"/>
  <c r="JUV53" i="9" s="1"/>
  <c r="JUW53" i="9" s="1"/>
  <c r="JUX53" i="9" s="1"/>
  <c r="JUY53" i="9" s="1"/>
  <c r="JUZ53" i="9" s="1"/>
  <c r="JVA53" i="9" s="1"/>
  <c r="JVB53" i="9" s="1"/>
  <c r="JVC53" i="9" s="1"/>
  <c r="JVD53" i="9" s="1"/>
  <c r="JVE53" i="9" s="1"/>
  <c r="JVF53" i="9" s="1"/>
  <c r="JVG53" i="9" s="1"/>
  <c r="JVH53" i="9" s="1"/>
  <c r="JVI53" i="9" s="1"/>
  <c r="JVJ53" i="9" s="1"/>
  <c r="JVK53" i="9" s="1"/>
  <c r="JVL53" i="9" s="1"/>
  <c r="JVM53" i="9" s="1"/>
  <c r="JVN53" i="9" s="1"/>
  <c r="JVO53" i="9" s="1"/>
  <c r="JVP53" i="9" s="1"/>
  <c r="JVQ53" i="9" s="1"/>
  <c r="JVR53" i="9" s="1"/>
  <c r="JVS53" i="9" s="1"/>
  <c r="JVT53" i="9" s="1"/>
  <c r="JVU53" i="9" s="1"/>
  <c r="JVV53" i="9" s="1"/>
  <c r="JVW53" i="9" s="1"/>
  <c r="JVX53" i="9" s="1"/>
  <c r="JVY53" i="9" s="1"/>
  <c r="JVZ53" i="9" s="1"/>
  <c r="JWA53" i="9" s="1"/>
  <c r="JWB53" i="9" s="1"/>
  <c r="JWC53" i="9" s="1"/>
  <c r="JWD53" i="9" s="1"/>
  <c r="JWE53" i="9" s="1"/>
  <c r="JWF53" i="9" s="1"/>
  <c r="JWG53" i="9" s="1"/>
  <c r="JWH53" i="9" s="1"/>
  <c r="JWI53" i="9" s="1"/>
  <c r="JWJ53" i="9" s="1"/>
  <c r="JWK53" i="9" s="1"/>
  <c r="JWL53" i="9" s="1"/>
  <c r="JWM53" i="9" s="1"/>
  <c r="JWN53" i="9" s="1"/>
  <c r="JWO53" i="9" s="1"/>
  <c r="JWP53" i="9" s="1"/>
  <c r="JWQ53" i="9" s="1"/>
  <c r="JWR53" i="9" s="1"/>
  <c r="JWS53" i="9" s="1"/>
  <c r="JWT53" i="9" s="1"/>
  <c r="JWU53" i="9" s="1"/>
  <c r="JWV53" i="9" s="1"/>
  <c r="JWW53" i="9" s="1"/>
  <c r="JWX53" i="9" s="1"/>
  <c r="JWY53" i="9" s="1"/>
  <c r="JWZ53" i="9" s="1"/>
  <c r="JXA53" i="9" s="1"/>
  <c r="JXB53" i="9" s="1"/>
  <c r="JXC53" i="9" s="1"/>
  <c r="JXD53" i="9" s="1"/>
  <c r="JXE53" i="9" s="1"/>
  <c r="JXF53" i="9" s="1"/>
  <c r="JXG53" i="9" s="1"/>
  <c r="JXH53" i="9" s="1"/>
  <c r="JXI53" i="9" s="1"/>
  <c r="JXJ53" i="9" s="1"/>
  <c r="JXK53" i="9" s="1"/>
  <c r="JXL53" i="9" s="1"/>
  <c r="JXM53" i="9" s="1"/>
  <c r="JXN53" i="9" s="1"/>
  <c r="JXO53" i="9" s="1"/>
  <c r="JXP53" i="9" s="1"/>
  <c r="JXQ53" i="9" s="1"/>
  <c r="JXR53" i="9" s="1"/>
  <c r="JXS53" i="9" s="1"/>
  <c r="JXT53" i="9" s="1"/>
  <c r="JXU53" i="9" s="1"/>
  <c r="JXV53" i="9" s="1"/>
  <c r="JXW53" i="9" s="1"/>
  <c r="JXX53" i="9" s="1"/>
  <c r="JXY53" i="9" s="1"/>
  <c r="JXZ53" i="9" s="1"/>
  <c r="JYA53" i="9" s="1"/>
  <c r="JYB53" i="9" s="1"/>
  <c r="JYC53" i="9" s="1"/>
  <c r="JYD53" i="9" s="1"/>
  <c r="JYE53" i="9" s="1"/>
  <c r="JYF53" i="9" s="1"/>
  <c r="JYG53" i="9" s="1"/>
  <c r="JYH53" i="9" s="1"/>
  <c r="JYI53" i="9" s="1"/>
  <c r="JYJ53" i="9" s="1"/>
  <c r="JYK53" i="9" s="1"/>
  <c r="JYL53" i="9" s="1"/>
  <c r="JYM53" i="9" s="1"/>
  <c r="JYN53" i="9" s="1"/>
  <c r="JYO53" i="9" s="1"/>
  <c r="JYP53" i="9" s="1"/>
  <c r="JYQ53" i="9" s="1"/>
  <c r="JYR53" i="9" s="1"/>
  <c r="JYS53" i="9" s="1"/>
  <c r="JYT53" i="9" s="1"/>
  <c r="JYU53" i="9" s="1"/>
  <c r="JYV53" i="9" s="1"/>
  <c r="JYW53" i="9" s="1"/>
  <c r="JYX53" i="9" s="1"/>
  <c r="JYY53" i="9" s="1"/>
  <c r="JYZ53" i="9" s="1"/>
  <c r="JZA53" i="9" s="1"/>
  <c r="JZB53" i="9" s="1"/>
  <c r="JZC53" i="9" s="1"/>
  <c r="JZD53" i="9" s="1"/>
  <c r="JZE53" i="9" s="1"/>
  <c r="JZF53" i="9" s="1"/>
  <c r="JZG53" i="9" s="1"/>
  <c r="JZH53" i="9" s="1"/>
  <c r="JZI53" i="9" s="1"/>
  <c r="JZJ53" i="9" s="1"/>
  <c r="JZK53" i="9" s="1"/>
  <c r="JZL53" i="9" s="1"/>
  <c r="JZM53" i="9" s="1"/>
  <c r="JZN53" i="9" s="1"/>
  <c r="JZO53" i="9" s="1"/>
  <c r="JZP53" i="9" s="1"/>
  <c r="JZQ53" i="9" s="1"/>
  <c r="JZR53" i="9" s="1"/>
  <c r="JZS53" i="9" s="1"/>
  <c r="JZT53" i="9" s="1"/>
  <c r="JZU53" i="9" s="1"/>
  <c r="JZV53" i="9" s="1"/>
  <c r="JZW53" i="9" s="1"/>
  <c r="JZX53" i="9" s="1"/>
  <c r="JZY53" i="9" s="1"/>
  <c r="JZZ53" i="9" s="1"/>
  <c r="KAA53" i="9" s="1"/>
  <c r="KAB53" i="9" s="1"/>
  <c r="KAC53" i="9" s="1"/>
  <c r="KAD53" i="9" s="1"/>
  <c r="KAE53" i="9" s="1"/>
  <c r="KAF53" i="9" s="1"/>
  <c r="KAG53" i="9" s="1"/>
  <c r="KAH53" i="9" s="1"/>
  <c r="KAI53" i="9" s="1"/>
  <c r="KAJ53" i="9" s="1"/>
  <c r="KAK53" i="9" s="1"/>
  <c r="KAL53" i="9" s="1"/>
  <c r="KAM53" i="9" s="1"/>
  <c r="KAN53" i="9" s="1"/>
  <c r="KAO53" i="9" s="1"/>
  <c r="KAP53" i="9" s="1"/>
  <c r="KAQ53" i="9" s="1"/>
  <c r="KAR53" i="9" s="1"/>
  <c r="KAS53" i="9" s="1"/>
  <c r="KAT53" i="9" s="1"/>
  <c r="KAU53" i="9" s="1"/>
  <c r="KAV53" i="9" s="1"/>
  <c r="KAW53" i="9" s="1"/>
  <c r="KAX53" i="9" s="1"/>
  <c r="KAY53" i="9" s="1"/>
  <c r="KAZ53" i="9" s="1"/>
  <c r="KBA53" i="9" s="1"/>
  <c r="KBB53" i="9" s="1"/>
  <c r="KBC53" i="9" s="1"/>
  <c r="KBD53" i="9" s="1"/>
  <c r="KBE53" i="9" s="1"/>
  <c r="KBF53" i="9" s="1"/>
  <c r="KBG53" i="9" s="1"/>
  <c r="KBH53" i="9" s="1"/>
  <c r="KBI53" i="9" s="1"/>
  <c r="KBJ53" i="9" s="1"/>
  <c r="KBK53" i="9" s="1"/>
  <c r="KBL53" i="9" s="1"/>
  <c r="KBM53" i="9" s="1"/>
  <c r="KBN53" i="9" s="1"/>
  <c r="KBO53" i="9" s="1"/>
  <c r="KBP53" i="9" s="1"/>
  <c r="KBQ53" i="9" s="1"/>
  <c r="KBR53" i="9" s="1"/>
  <c r="KBS53" i="9" s="1"/>
  <c r="KBT53" i="9" s="1"/>
  <c r="KBU53" i="9" s="1"/>
  <c r="KBV53" i="9" s="1"/>
  <c r="KBW53" i="9" s="1"/>
  <c r="KBX53" i="9" s="1"/>
  <c r="KBY53" i="9" s="1"/>
  <c r="KBZ53" i="9" s="1"/>
  <c r="KCA53" i="9" s="1"/>
  <c r="KCB53" i="9" s="1"/>
  <c r="KCC53" i="9" s="1"/>
  <c r="KCD53" i="9" s="1"/>
  <c r="KCE53" i="9" s="1"/>
  <c r="KCF53" i="9" s="1"/>
  <c r="KCG53" i="9" s="1"/>
  <c r="KCH53" i="9" s="1"/>
  <c r="KCI53" i="9" s="1"/>
  <c r="KCJ53" i="9" s="1"/>
  <c r="KCK53" i="9" s="1"/>
  <c r="KCL53" i="9" s="1"/>
  <c r="KCM53" i="9" s="1"/>
  <c r="KCN53" i="9" s="1"/>
  <c r="KCO53" i="9" s="1"/>
  <c r="KCP53" i="9" s="1"/>
  <c r="KCQ53" i="9" s="1"/>
  <c r="KCR53" i="9" s="1"/>
  <c r="KCS53" i="9" s="1"/>
  <c r="KCT53" i="9" s="1"/>
  <c r="KCU53" i="9" s="1"/>
  <c r="KCV53" i="9" s="1"/>
  <c r="KCW53" i="9" s="1"/>
  <c r="KCX53" i="9" s="1"/>
  <c r="KCY53" i="9" s="1"/>
  <c r="KCZ53" i="9" s="1"/>
  <c r="KDA53" i="9" s="1"/>
  <c r="KDB53" i="9" s="1"/>
  <c r="KDC53" i="9" s="1"/>
  <c r="KDD53" i="9" s="1"/>
  <c r="KDE53" i="9" s="1"/>
  <c r="KDF53" i="9" s="1"/>
  <c r="KDG53" i="9" s="1"/>
  <c r="KDH53" i="9" s="1"/>
  <c r="KDI53" i="9" s="1"/>
  <c r="KDJ53" i="9" s="1"/>
  <c r="KDK53" i="9" s="1"/>
  <c r="KDL53" i="9" s="1"/>
  <c r="KDM53" i="9" s="1"/>
  <c r="KDN53" i="9" s="1"/>
  <c r="KDO53" i="9" s="1"/>
  <c r="KDP53" i="9" s="1"/>
  <c r="KDQ53" i="9" s="1"/>
  <c r="KDR53" i="9" s="1"/>
  <c r="KDS53" i="9" s="1"/>
  <c r="KDT53" i="9" s="1"/>
  <c r="KDU53" i="9" s="1"/>
  <c r="KDV53" i="9" s="1"/>
  <c r="KDW53" i="9" s="1"/>
  <c r="KDX53" i="9" s="1"/>
  <c r="KDY53" i="9" s="1"/>
  <c r="KDZ53" i="9" s="1"/>
  <c r="KEA53" i="9" s="1"/>
  <c r="KEB53" i="9" s="1"/>
  <c r="KEC53" i="9" s="1"/>
  <c r="KED53" i="9" s="1"/>
  <c r="KEE53" i="9" s="1"/>
  <c r="KEF53" i="9" s="1"/>
  <c r="KEG53" i="9" s="1"/>
  <c r="KEH53" i="9" s="1"/>
  <c r="KEI53" i="9" s="1"/>
  <c r="KEJ53" i="9" s="1"/>
  <c r="KEK53" i="9" s="1"/>
  <c r="KEL53" i="9" s="1"/>
  <c r="KEM53" i="9" s="1"/>
  <c r="KEN53" i="9" s="1"/>
  <c r="KEO53" i="9" s="1"/>
  <c r="KEP53" i="9" s="1"/>
  <c r="KEQ53" i="9" s="1"/>
  <c r="KER53" i="9" s="1"/>
  <c r="KES53" i="9" s="1"/>
  <c r="KET53" i="9" s="1"/>
  <c r="KEU53" i="9" s="1"/>
  <c r="KEV53" i="9" s="1"/>
  <c r="KEW53" i="9" s="1"/>
  <c r="KEX53" i="9" s="1"/>
  <c r="KEY53" i="9" s="1"/>
  <c r="KEZ53" i="9" s="1"/>
  <c r="KFA53" i="9" s="1"/>
  <c r="KFB53" i="9" s="1"/>
  <c r="KFC53" i="9" s="1"/>
  <c r="KFD53" i="9" s="1"/>
  <c r="KFE53" i="9" s="1"/>
  <c r="KFF53" i="9" s="1"/>
  <c r="KFG53" i="9" s="1"/>
  <c r="KFH53" i="9" s="1"/>
  <c r="KFI53" i="9" s="1"/>
  <c r="KFJ53" i="9" s="1"/>
  <c r="KFK53" i="9" s="1"/>
  <c r="KFL53" i="9" s="1"/>
  <c r="KFM53" i="9" s="1"/>
  <c r="KFN53" i="9" s="1"/>
  <c r="KFO53" i="9" s="1"/>
  <c r="KFP53" i="9" s="1"/>
  <c r="KFQ53" i="9" s="1"/>
  <c r="KFR53" i="9" s="1"/>
  <c r="KFS53" i="9" s="1"/>
  <c r="KFT53" i="9" s="1"/>
  <c r="KFU53" i="9" s="1"/>
  <c r="KFV53" i="9" s="1"/>
  <c r="KFW53" i="9" s="1"/>
  <c r="KFX53" i="9" s="1"/>
  <c r="KFY53" i="9" s="1"/>
  <c r="KFZ53" i="9" s="1"/>
  <c r="KGA53" i="9" s="1"/>
  <c r="KGB53" i="9" s="1"/>
  <c r="KGC53" i="9" s="1"/>
  <c r="KGD53" i="9" s="1"/>
  <c r="KGE53" i="9" s="1"/>
  <c r="KGF53" i="9" s="1"/>
  <c r="KGG53" i="9" s="1"/>
  <c r="KGH53" i="9" s="1"/>
  <c r="KGI53" i="9" s="1"/>
  <c r="KGJ53" i="9" s="1"/>
  <c r="KGK53" i="9" s="1"/>
  <c r="KGL53" i="9" s="1"/>
  <c r="KGM53" i="9" s="1"/>
  <c r="KGN53" i="9" s="1"/>
  <c r="KGO53" i="9" s="1"/>
  <c r="KGP53" i="9" s="1"/>
  <c r="KGQ53" i="9" s="1"/>
  <c r="KGR53" i="9" s="1"/>
  <c r="KGS53" i="9" s="1"/>
  <c r="KGT53" i="9" s="1"/>
  <c r="KGU53" i="9" s="1"/>
  <c r="KGV53" i="9" s="1"/>
  <c r="KGW53" i="9" s="1"/>
  <c r="KGX53" i="9" s="1"/>
  <c r="KGY53" i="9" s="1"/>
  <c r="KGZ53" i="9" s="1"/>
  <c r="KHA53" i="9" s="1"/>
  <c r="KHB53" i="9" s="1"/>
  <c r="KHC53" i="9" s="1"/>
  <c r="KHD53" i="9" s="1"/>
  <c r="KHE53" i="9" s="1"/>
  <c r="KHF53" i="9" s="1"/>
  <c r="KHG53" i="9" s="1"/>
  <c r="KHH53" i="9" s="1"/>
  <c r="KHI53" i="9" s="1"/>
  <c r="KHJ53" i="9" s="1"/>
  <c r="KHK53" i="9" s="1"/>
  <c r="KHL53" i="9" s="1"/>
  <c r="KHM53" i="9" s="1"/>
  <c r="KHN53" i="9" s="1"/>
  <c r="KHO53" i="9" s="1"/>
  <c r="KHP53" i="9" s="1"/>
  <c r="KHQ53" i="9" s="1"/>
  <c r="KHR53" i="9" s="1"/>
  <c r="KHS53" i="9" s="1"/>
  <c r="KHT53" i="9" s="1"/>
  <c r="KHU53" i="9" s="1"/>
  <c r="KHV53" i="9" s="1"/>
  <c r="KHW53" i="9" s="1"/>
  <c r="KHX53" i="9" s="1"/>
  <c r="KHY53" i="9" s="1"/>
  <c r="KHZ53" i="9" s="1"/>
  <c r="KIA53" i="9" s="1"/>
  <c r="KIB53" i="9" s="1"/>
  <c r="KIC53" i="9" s="1"/>
  <c r="KID53" i="9" s="1"/>
  <c r="KIE53" i="9" s="1"/>
  <c r="KIF53" i="9" s="1"/>
  <c r="KIG53" i="9" s="1"/>
  <c r="KIH53" i="9" s="1"/>
  <c r="KII53" i="9" s="1"/>
  <c r="KIJ53" i="9" s="1"/>
  <c r="KIK53" i="9" s="1"/>
  <c r="KIL53" i="9" s="1"/>
  <c r="KIM53" i="9" s="1"/>
  <c r="KIN53" i="9" s="1"/>
  <c r="KIO53" i="9" s="1"/>
  <c r="KIP53" i="9" s="1"/>
  <c r="KIQ53" i="9" s="1"/>
  <c r="KIR53" i="9" s="1"/>
  <c r="KIS53" i="9" s="1"/>
  <c r="KIT53" i="9" s="1"/>
  <c r="KIU53" i="9" s="1"/>
  <c r="KIV53" i="9" s="1"/>
  <c r="KIW53" i="9" s="1"/>
  <c r="KIX53" i="9" s="1"/>
  <c r="KIY53" i="9" s="1"/>
  <c r="KIZ53" i="9" s="1"/>
  <c r="KJA53" i="9" s="1"/>
  <c r="KJB53" i="9" s="1"/>
  <c r="KJC53" i="9" s="1"/>
  <c r="KJD53" i="9" s="1"/>
  <c r="KJE53" i="9" s="1"/>
  <c r="KJF53" i="9" s="1"/>
  <c r="KJG53" i="9" s="1"/>
  <c r="KJH53" i="9" s="1"/>
  <c r="KJI53" i="9" s="1"/>
  <c r="KJJ53" i="9" s="1"/>
  <c r="KJK53" i="9" s="1"/>
  <c r="KJL53" i="9" s="1"/>
  <c r="KJM53" i="9" s="1"/>
  <c r="KJN53" i="9" s="1"/>
  <c r="KJO53" i="9" s="1"/>
  <c r="KJP53" i="9" s="1"/>
  <c r="KJQ53" i="9" s="1"/>
  <c r="KJR53" i="9" s="1"/>
  <c r="KJS53" i="9" s="1"/>
  <c r="KJT53" i="9" s="1"/>
  <c r="KJU53" i="9" s="1"/>
  <c r="KJV53" i="9" s="1"/>
  <c r="KJW53" i="9" s="1"/>
  <c r="KJX53" i="9" s="1"/>
  <c r="KJY53" i="9" s="1"/>
  <c r="KJZ53" i="9" s="1"/>
  <c r="KKA53" i="9" s="1"/>
  <c r="KKB53" i="9" s="1"/>
  <c r="KKC53" i="9" s="1"/>
  <c r="KKD53" i="9" s="1"/>
  <c r="KKE53" i="9" s="1"/>
  <c r="KKF53" i="9" s="1"/>
  <c r="KKG53" i="9" s="1"/>
  <c r="KKH53" i="9" s="1"/>
  <c r="KKI53" i="9" s="1"/>
  <c r="KKJ53" i="9" s="1"/>
  <c r="KKK53" i="9" s="1"/>
  <c r="KKL53" i="9" s="1"/>
  <c r="KKM53" i="9" s="1"/>
  <c r="KKN53" i="9" s="1"/>
  <c r="KKO53" i="9" s="1"/>
  <c r="KKP53" i="9" s="1"/>
  <c r="KKQ53" i="9" s="1"/>
  <c r="KKR53" i="9" s="1"/>
  <c r="KKS53" i="9" s="1"/>
  <c r="KKT53" i="9" s="1"/>
  <c r="KKU53" i="9" s="1"/>
  <c r="KKV53" i="9" s="1"/>
  <c r="KKW53" i="9" s="1"/>
  <c r="KKX53" i="9" s="1"/>
  <c r="KKY53" i="9" s="1"/>
  <c r="KKZ53" i="9" s="1"/>
  <c r="KLA53" i="9" s="1"/>
  <c r="KLB53" i="9" s="1"/>
  <c r="KLC53" i="9" s="1"/>
  <c r="KLD53" i="9" s="1"/>
  <c r="KLE53" i="9" s="1"/>
  <c r="KLF53" i="9" s="1"/>
  <c r="KLG53" i="9" s="1"/>
  <c r="KLH53" i="9" s="1"/>
  <c r="KLI53" i="9" s="1"/>
  <c r="KLJ53" i="9" s="1"/>
  <c r="KLK53" i="9" s="1"/>
  <c r="KLL53" i="9" s="1"/>
  <c r="KLM53" i="9" s="1"/>
  <c r="KLN53" i="9" s="1"/>
  <c r="KLO53" i="9" s="1"/>
  <c r="KLP53" i="9" s="1"/>
  <c r="KLQ53" i="9" s="1"/>
  <c r="KLR53" i="9" s="1"/>
  <c r="KLS53" i="9" s="1"/>
  <c r="KLT53" i="9" s="1"/>
  <c r="KLU53" i="9" s="1"/>
  <c r="KLV53" i="9" s="1"/>
  <c r="KLW53" i="9" s="1"/>
  <c r="KLX53" i="9" s="1"/>
  <c r="KLY53" i="9" s="1"/>
  <c r="KLZ53" i="9" s="1"/>
  <c r="KMA53" i="9" s="1"/>
  <c r="KMB53" i="9" s="1"/>
  <c r="KMC53" i="9" s="1"/>
  <c r="KMD53" i="9" s="1"/>
  <c r="KME53" i="9" s="1"/>
  <c r="KMF53" i="9" s="1"/>
  <c r="KMG53" i="9" s="1"/>
  <c r="KMH53" i="9" s="1"/>
  <c r="KMI53" i="9" s="1"/>
  <c r="KMJ53" i="9" s="1"/>
  <c r="KMK53" i="9" s="1"/>
  <c r="KML53" i="9" s="1"/>
  <c r="KMM53" i="9" s="1"/>
  <c r="KMN53" i="9" s="1"/>
  <c r="KMO53" i="9" s="1"/>
  <c r="KMP53" i="9" s="1"/>
  <c r="KMQ53" i="9" s="1"/>
  <c r="KMR53" i="9" s="1"/>
  <c r="KMS53" i="9" s="1"/>
  <c r="KMT53" i="9" s="1"/>
  <c r="KMU53" i="9" s="1"/>
  <c r="KMV53" i="9" s="1"/>
  <c r="KMW53" i="9" s="1"/>
  <c r="KMX53" i="9" s="1"/>
  <c r="KMY53" i="9" s="1"/>
  <c r="KMZ53" i="9" s="1"/>
  <c r="KNA53" i="9" s="1"/>
  <c r="KNB53" i="9" s="1"/>
  <c r="KNC53" i="9" s="1"/>
  <c r="KND53" i="9" s="1"/>
  <c r="KNE53" i="9" s="1"/>
  <c r="KNF53" i="9" s="1"/>
  <c r="KNG53" i="9" s="1"/>
  <c r="KNH53" i="9" s="1"/>
  <c r="KNI53" i="9" s="1"/>
  <c r="KNJ53" i="9" s="1"/>
  <c r="KNK53" i="9" s="1"/>
  <c r="KNL53" i="9" s="1"/>
  <c r="KNM53" i="9" s="1"/>
  <c r="KNN53" i="9" s="1"/>
  <c r="KNO53" i="9" s="1"/>
  <c r="KNP53" i="9" s="1"/>
  <c r="KNQ53" i="9" s="1"/>
  <c r="KNR53" i="9" s="1"/>
  <c r="KNS53" i="9" s="1"/>
  <c r="KNT53" i="9" s="1"/>
  <c r="KNU53" i="9" s="1"/>
  <c r="KNV53" i="9" s="1"/>
  <c r="KNW53" i="9" s="1"/>
  <c r="KNX53" i="9" s="1"/>
  <c r="KNY53" i="9" s="1"/>
  <c r="KNZ53" i="9" s="1"/>
  <c r="KOA53" i="9" s="1"/>
  <c r="KOB53" i="9" s="1"/>
  <c r="KOC53" i="9" s="1"/>
  <c r="KOD53" i="9" s="1"/>
  <c r="KOE53" i="9" s="1"/>
  <c r="KOF53" i="9" s="1"/>
  <c r="KOG53" i="9" s="1"/>
  <c r="KOH53" i="9" s="1"/>
  <c r="KOI53" i="9" s="1"/>
  <c r="KOJ53" i="9" s="1"/>
  <c r="KOK53" i="9" s="1"/>
  <c r="KOL53" i="9" s="1"/>
  <c r="KOM53" i="9" s="1"/>
  <c r="KON53" i="9" s="1"/>
  <c r="KOO53" i="9" s="1"/>
  <c r="KOP53" i="9" s="1"/>
  <c r="KOQ53" i="9" s="1"/>
  <c r="KOR53" i="9" s="1"/>
  <c r="KOS53" i="9" s="1"/>
  <c r="KOT53" i="9" s="1"/>
  <c r="KOU53" i="9" s="1"/>
  <c r="KOV53" i="9" s="1"/>
  <c r="KOW53" i="9" s="1"/>
  <c r="KOX53" i="9" s="1"/>
  <c r="KOY53" i="9" s="1"/>
  <c r="KOZ53" i="9" s="1"/>
  <c r="KPA53" i="9" s="1"/>
  <c r="KPB53" i="9" s="1"/>
  <c r="KPC53" i="9" s="1"/>
  <c r="KPD53" i="9" s="1"/>
  <c r="KPE53" i="9" s="1"/>
  <c r="KPF53" i="9" s="1"/>
  <c r="KPG53" i="9" s="1"/>
  <c r="KPH53" i="9" s="1"/>
  <c r="KPI53" i="9" s="1"/>
  <c r="KPJ53" i="9" s="1"/>
  <c r="KPK53" i="9" s="1"/>
  <c r="KPL53" i="9" s="1"/>
  <c r="KPM53" i="9" s="1"/>
  <c r="KPN53" i="9" s="1"/>
  <c r="KPO53" i="9" s="1"/>
  <c r="KPP53" i="9" s="1"/>
  <c r="KPQ53" i="9" s="1"/>
  <c r="KPR53" i="9" s="1"/>
  <c r="KPS53" i="9" s="1"/>
  <c r="KPT53" i="9" s="1"/>
  <c r="KPU53" i="9" s="1"/>
  <c r="KPV53" i="9" s="1"/>
  <c r="KPW53" i="9" s="1"/>
  <c r="KPX53" i="9" s="1"/>
  <c r="KPY53" i="9" s="1"/>
  <c r="KPZ53" i="9" s="1"/>
  <c r="KQA53" i="9" s="1"/>
  <c r="KQB53" i="9" s="1"/>
  <c r="KQC53" i="9" s="1"/>
  <c r="KQD53" i="9" s="1"/>
  <c r="KQE53" i="9" s="1"/>
  <c r="KQF53" i="9" s="1"/>
  <c r="KQG53" i="9" s="1"/>
  <c r="KQH53" i="9" s="1"/>
  <c r="KQI53" i="9" s="1"/>
  <c r="KQJ53" i="9" s="1"/>
  <c r="KQK53" i="9" s="1"/>
  <c r="KQL53" i="9" s="1"/>
  <c r="KQM53" i="9" s="1"/>
  <c r="KQN53" i="9" s="1"/>
  <c r="KQO53" i="9" s="1"/>
  <c r="KQP53" i="9" s="1"/>
  <c r="KQQ53" i="9" s="1"/>
  <c r="KQR53" i="9" s="1"/>
  <c r="KQS53" i="9" s="1"/>
  <c r="KQT53" i="9" s="1"/>
  <c r="KQU53" i="9" s="1"/>
  <c r="KQV53" i="9" s="1"/>
  <c r="KQW53" i="9" s="1"/>
  <c r="KQX53" i="9" s="1"/>
  <c r="KQY53" i="9" s="1"/>
  <c r="KQZ53" i="9" s="1"/>
  <c r="KRA53" i="9" s="1"/>
  <c r="KRB53" i="9" s="1"/>
  <c r="KRC53" i="9" s="1"/>
  <c r="KRD53" i="9" s="1"/>
  <c r="KRE53" i="9" s="1"/>
  <c r="KRF53" i="9" s="1"/>
  <c r="KRG53" i="9" s="1"/>
  <c r="KRH53" i="9" s="1"/>
  <c r="KRI53" i="9" s="1"/>
  <c r="KRJ53" i="9" s="1"/>
  <c r="KRK53" i="9" s="1"/>
  <c r="KRL53" i="9" s="1"/>
  <c r="KRM53" i="9" s="1"/>
  <c r="KRN53" i="9" s="1"/>
  <c r="KRO53" i="9" s="1"/>
  <c r="KRP53" i="9" s="1"/>
  <c r="KRQ53" i="9" s="1"/>
  <c r="KRR53" i="9" s="1"/>
  <c r="KRS53" i="9" s="1"/>
  <c r="KRT53" i="9" s="1"/>
  <c r="KRU53" i="9" s="1"/>
  <c r="KRV53" i="9" s="1"/>
  <c r="KRW53" i="9" s="1"/>
  <c r="KRX53" i="9" s="1"/>
  <c r="KRY53" i="9" s="1"/>
  <c r="KRZ53" i="9" s="1"/>
  <c r="KSA53" i="9" s="1"/>
  <c r="KSB53" i="9" s="1"/>
  <c r="KSC53" i="9" s="1"/>
  <c r="KSD53" i="9" s="1"/>
  <c r="KSE53" i="9" s="1"/>
  <c r="KSF53" i="9" s="1"/>
  <c r="KSG53" i="9" s="1"/>
  <c r="KSH53" i="9" s="1"/>
  <c r="KSI53" i="9" s="1"/>
  <c r="KSJ53" i="9" s="1"/>
  <c r="KSK53" i="9" s="1"/>
  <c r="KSL53" i="9" s="1"/>
  <c r="KSM53" i="9" s="1"/>
  <c r="KSN53" i="9" s="1"/>
  <c r="KSO53" i="9" s="1"/>
  <c r="KSP53" i="9" s="1"/>
  <c r="KSQ53" i="9" s="1"/>
  <c r="KSR53" i="9" s="1"/>
  <c r="KSS53" i="9" s="1"/>
  <c r="KST53" i="9" s="1"/>
  <c r="KSU53" i="9" s="1"/>
  <c r="KSV53" i="9" s="1"/>
  <c r="KSW53" i="9" s="1"/>
  <c r="KSX53" i="9" s="1"/>
  <c r="KSY53" i="9" s="1"/>
  <c r="KSZ53" i="9" s="1"/>
  <c r="KTA53" i="9" s="1"/>
  <c r="KTB53" i="9" s="1"/>
  <c r="KTC53" i="9" s="1"/>
  <c r="KTD53" i="9" s="1"/>
  <c r="KTE53" i="9" s="1"/>
  <c r="KTF53" i="9" s="1"/>
  <c r="KTG53" i="9" s="1"/>
  <c r="KTH53" i="9" s="1"/>
  <c r="KTI53" i="9" s="1"/>
  <c r="KTJ53" i="9" s="1"/>
  <c r="KTK53" i="9" s="1"/>
  <c r="KTL53" i="9" s="1"/>
  <c r="KTM53" i="9" s="1"/>
  <c r="KTN53" i="9" s="1"/>
  <c r="KTO53" i="9" s="1"/>
  <c r="KTP53" i="9" s="1"/>
  <c r="KTQ53" i="9" s="1"/>
  <c r="KTR53" i="9" s="1"/>
  <c r="KTS53" i="9" s="1"/>
  <c r="KTT53" i="9" s="1"/>
  <c r="KTU53" i="9" s="1"/>
  <c r="KTV53" i="9" s="1"/>
  <c r="KTW53" i="9" s="1"/>
  <c r="KTX53" i="9" s="1"/>
  <c r="KTY53" i="9" s="1"/>
  <c r="KTZ53" i="9" s="1"/>
  <c r="KUA53" i="9" s="1"/>
  <c r="KUB53" i="9" s="1"/>
  <c r="KUC53" i="9" s="1"/>
  <c r="KUD53" i="9" s="1"/>
  <c r="KUE53" i="9" s="1"/>
  <c r="KUF53" i="9" s="1"/>
  <c r="KUG53" i="9" s="1"/>
  <c r="KUH53" i="9" s="1"/>
  <c r="KUI53" i="9" s="1"/>
  <c r="KUJ53" i="9" s="1"/>
  <c r="KUK53" i="9" s="1"/>
  <c r="KUL53" i="9" s="1"/>
  <c r="KUM53" i="9" s="1"/>
  <c r="KUN53" i="9" s="1"/>
  <c r="KUO53" i="9" s="1"/>
  <c r="KUP53" i="9" s="1"/>
  <c r="KUQ53" i="9" s="1"/>
  <c r="KUR53" i="9" s="1"/>
  <c r="KUS53" i="9" s="1"/>
  <c r="KUT53" i="9" s="1"/>
  <c r="KUU53" i="9" s="1"/>
  <c r="KUV53" i="9" s="1"/>
  <c r="KUW53" i="9" s="1"/>
  <c r="KUX53" i="9" s="1"/>
  <c r="KUY53" i="9" s="1"/>
  <c r="KUZ53" i="9" s="1"/>
  <c r="KVA53" i="9" s="1"/>
  <c r="KVB53" i="9" s="1"/>
  <c r="KVC53" i="9" s="1"/>
  <c r="KVD53" i="9" s="1"/>
  <c r="KVE53" i="9" s="1"/>
  <c r="KVF53" i="9" s="1"/>
  <c r="KVG53" i="9" s="1"/>
  <c r="KVH53" i="9" s="1"/>
  <c r="KVI53" i="9" s="1"/>
  <c r="KVJ53" i="9" s="1"/>
  <c r="KVK53" i="9" s="1"/>
  <c r="KVL53" i="9" s="1"/>
  <c r="KVM53" i="9" s="1"/>
  <c r="KVN53" i="9" s="1"/>
  <c r="KVO53" i="9" s="1"/>
  <c r="KVP53" i="9" s="1"/>
  <c r="KVQ53" i="9" s="1"/>
  <c r="KVR53" i="9" s="1"/>
  <c r="KVS53" i="9" s="1"/>
  <c r="KVT53" i="9" s="1"/>
  <c r="KVU53" i="9" s="1"/>
  <c r="KVV53" i="9" s="1"/>
  <c r="KVW53" i="9" s="1"/>
  <c r="KVX53" i="9" s="1"/>
  <c r="KVY53" i="9" s="1"/>
  <c r="KVZ53" i="9" s="1"/>
  <c r="KWA53" i="9" s="1"/>
  <c r="KWB53" i="9" s="1"/>
  <c r="KWC53" i="9" s="1"/>
  <c r="KWD53" i="9" s="1"/>
  <c r="KWE53" i="9" s="1"/>
  <c r="KWF53" i="9" s="1"/>
  <c r="KWG53" i="9" s="1"/>
  <c r="KWH53" i="9" s="1"/>
  <c r="KWI53" i="9" s="1"/>
  <c r="KWJ53" i="9" s="1"/>
  <c r="KWK53" i="9" s="1"/>
  <c r="KWL53" i="9" s="1"/>
  <c r="KWM53" i="9" s="1"/>
  <c r="KWN53" i="9" s="1"/>
  <c r="KWO53" i="9" s="1"/>
  <c r="KWP53" i="9" s="1"/>
  <c r="KWQ53" i="9" s="1"/>
  <c r="KWR53" i="9" s="1"/>
  <c r="KWS53" i="9" s="1"/>
  <c r="KWT53" i="9" s="1"/>
  <c r="KWU53" i="9" s="1"/>
  <c r="KWV53" i="9" s="1"/>
  <c r="KWW53" i="9" s="1"/>
  <c r="KWX53" i="9" s="1"/>
  <c r="KWY53" i="9" s="1"/>
  <c r="KWZ53" i="9" s="1"/>
  <c r="KXA53" i="9" s="1"/>
  <c r="KXB53" i="9" s="1"/>
  <c r="KXC53" i="9" s="1"/>
  <c r="KXD53" i="9" s="1"/>
  <c r="KXE53" i="9" s="1"/>
  <c r="KXF53" i="9" s="1"/>
  <c r="KXG53" i="9" s="1"/>
  <c r="KXH53" i="9" s="1"/>
  <c r="KXI53" i="9" s="1"/>
  <c r="KXJ53" i="9" s="1"/>
  <c r="KXK53" i="9" s="1"/>
  <c r="KXL53" i="9" s="1"/>
  <c r="KXM53" i="9" s="1"/>
  <c r="KXN53" i="9" s="1"/>
  <c r="KXO53" i="9" s="1"/>
  <c r="KXP53" i="9" s="1"/>
  <c r="KXQ53" i="9" s="1"/>
  <c r="KXR53" i="9" s="1"/>
  <c r="KXS53" i="9" s="1"/>
  <c r="KXT53" i="9" s="1"/>
  <c r="KXU53" i="9" s="1"/>
  <c r="KXV53" i="9" s="1"/>
  <c r="KXW53" i="9" s="1"/>
  <c r="KXX53" i="9" s="1"/>
  <c r="KXY53" i="9" s="1"/>
  <c r="KXZ53" i="9" s="1"/>
  <c r="KYA53" i="9" s="1"/>
  <c r="KYB53" i="9" s="1"/>
  <c r="KYC53" i="9" s="1"/>
  <c r="KYD53" i="9" s="1"/>
  <c r="KYE53" i="9" s="1"/>
  <c r="KYF53" i="9" s="1"/>
  <c r="KYG53" i="9" s="1"/>
  <c r="KYH53" i="9" s="1"/>
  <c r="KYI53" i="9" s="1"/>
  <c r="KYJ53" i="9" s="1"/>
  <c r="KYK53" i="9" s="1"/>
  <c r="KYL53" i="9" s="1"/>
  <c r="KYM53" i="9" s="1"/>
  <c r="KYN53" i="9" s="1"/>
  <c r="KYO53" i="9" s="1"/>
  <c r="KYP53" i="9" s="1"/>
  <c r="KYQ53" i="9" s="1"/>
  <c r="KYR53" i="9" s="1"/>
  <c r="KYS53" i="9" s="1"/>
  <c r="KYT53" i="9" s="1"/>
  <c r="KYU53" i="9" s="1"/>
  <c r="KYV53" i="9" s="1"/>
  <c r="KYW53" i="9" s="1"/>
  <c r="KYX53" i="9" s="1"/>
  <c r="KYY53" i="9" s="1"/>
  <c r="KYZ53" i="9" s="1"/>
  <c r="KZA53" i="9" s="1"/>
  <c r="KZB53" i="9" s="1"/>
  <c r="KZC53" i="9" s="1"/>
  <c r="KZD53" i="9" s="1"/>
  <c r="KZE53" i="9" s="1"/>
  <c r="KZF53" i="9" s="1"/>
  <c r="KZG53" i="9" s="1"/>
  <c r="KZH53" i="9" s="1"/>
  <c r="KZI53" i="9" s="1"/>
  <c r="KZJ53" i="9" s="1"/>
  <c r="KZK53" i="9" s="1"/>
  <c r="KZL53" i="9" s="1"/>
  <c r="KZM53" i="9" s="1"/>
  <c r="KZN53" i="9" s="1"/>
  <c r="KZO53" i="9" s="1"/>
  <c r="KZP53" i="9" s="1"/>
  <c r="KZQ53" i="9" s="1"/>
  <c r="KZR53" i="9" s="1"/>
  <c r="KZS53" i="9" s="1"/>
  <c r="KZT53" i="9" s="1"/>
  <c r="KZU53" i="9" s="1"/>
  <c r="KZV53" i="9" s="1"/>
  <c r="KZW53" i="9" s="1"/>
  <c r="KZX53" i="9" s="1"/>
  <c r="KZY53" i="9" s="1"/>
  <c r="KZZ53" i="9" s="1"/>
  <c r="LAA53" i="9" s="1"/>
  <c r="LAB53" i="9" s="1"/>
  <c r="LAC53" i="9" s="1"/>
  <c r="LAD53" i="9" s="1"/>
  <c r="LAE53" i="9" s="1"/>
  <c r="LAF53" i="9" s="1"/>
  <c r="LAG53" i="9" s="1"/>
  <c r="LAH53" i="9" s="1"/>
  <c r="LAI53" i="9" s="1"/>
  <c r="LAJ53" i="9" s="1"/>
  <c r="LAK53" i="9" s="1"/>
  <c r="LAL53" i="9" s="1"/>
  <c r="LAM53" i="9" s="1"/>
  <c r="LAN53" i="9" s="1"/>
  <c r="LAO53" i="9" s="1"/>
  <c r="LAP53" i="9" s="1"/>
  <c r="LAQ53" i="9" s="1"/>
  <c r="LAR53" i="9" s="1"/>
  <c r="LAS53" i="9" s="1"/>
  <c r="LAT53" i="9" s="1"/>
  <c r="LAU53" i="9" s="1"/>
  <c r="LAV53" i="9" s="1"/>
  <c r="LAW53" i="9" s="1"/>
  <c r="LAX53" i="9" s="1"/>
  <c r="LAY53" i="9" s="1"/>
  <c r="LAZ53" i="9" s="1"/>
  <c r="LBA53" i="9" s="1"/>
  <c r="LBB53" i="9" s="1"/>
  <c r="LBC53" i="9" s="1"/>
  <c r="LBD53" i="9" s="1"/>
  <c r="LBE53" i="9" s="1"/>
  <c r="LBF53" i="9" s="1"/>
  <c r="LBG53" i="9" s="1"/>
  <c r="LBH53" i="9" s="1"/>
  <c r="LBI53" i="9" s="1"/>
  <c r="LBJ53" i="9" s="1"/>
  <c r="LBK53" i="9" s="1"/>
  <c r="LBL53" i="9" s="1"/>
  <c r="LBM53" i="9" s="1"/>
  <c r="LBN53" i="9" s="1"/>
  <c r="LBO53" i="9" s="1"/>
  <c r="LBP53" i="9" s="1"/>
  <c r="LBQ53" i="9" s="1"/>
  <c r="LBR53" i="9" s="1"/>
  <c r="LBS53" i="9" s="1"/>
  <c r="LBT53" i="9" s="1"/>
  <c r="LBU53" i="9" s="1"/>
  <c r="LBV53" i="9" s="1"/>
  <c r="LBW53" i="9" s="1"/>
  <c r="LBX53" i="9" s="1"/>
  <c r="LBY53" i="9" s="1"/>
  <c r="LBZ53" i="9" s="1"/>
  <c r="LCA53" i="9" s="1"/>
  <c r="LCB53" i="9" s="1"/>
  <c r="LCC53" i="9" s="1"/>
  <c r="LCD53" i="9" s="1"/>
  <c r="LCE53" i="9" s="1"/>
  <c r="LCF53" i="9" s="1"/>
  <c r="LCG53" i="9" s="1"/>
  <c r="LCH53" i="9" s="1"/>
  <c r="LCI53" i="9" s="1"/>
  <c r="LCJ53" i="9" s="1"/>
  <c r="LCK53" i="9" s="1"/>
  <c r="LCL53" i="9" s="1"/>
  <c r="LCM53" i="9" s="1"/>
  <c r="LCN53" i="9" s="1"/>
  <c r="LCO53" i="9" s="1"/>
  <c r="LCP53" i="9" s="1"/>
  <c r="LCQ53" i="9" s="1"/>
  <c r="LCR53" i="9" s="1"/>
  <c r="LCS53" i="9" s="1"/>
  <c r="LCT53" i="9" s="1"/>
  <c r="LCU53" i="9" s="1"/>
  <c r="LCV53" i="9" s="1"/>
  <c r="LCW53" i="9" s="1"/>
  <c r="LCX53" i="9" s="1"/>
  <c r="LCY53" i="9" s="1"/>
  <c r="LCZ53" i="9" s="1"/>
  <c r="LDA53" i="9" s="1"/>
  <c r="LDB53" i="9" s="1"/>
  <c r="LDC53" i="9" s="1"/>
  <c r="LDD53" i="9" s="1"/>
  <c r="LDE53" i="9" s="1"/>
  <c r="LDF53" i="9" s="1"/>
  <c r="LDG53" i="9" s="1"/>
  <c r="LDH53" i="9" s="1"/>
  <c r="LDI53" i="9" s="1"/>
  <c r="LDJ53" i="9" s="1"/>
  <c r="LDK53" i="9" s="1"/>
  <c r="LDL53" i="9" s="1"/>
  <c r="LDM53" i="9" s="1"/>
  <c r="LDN53" i="9" s="1"/>
  <c r="LDO53" i="9" s="1"/>
  <c r="LDP53" i="9" s="1"/>
  <c r="LDQ53" i="9" s="1"/>
  <c r="LDR53" i="9" s="1"/>
  <c r="LDS53" i="9" s="1"/>
  <c r="LDT53" i="9" s="1"/>
  <c r="LDU53" i="9" s="1"/>
  <c r="LDV53" i="9" s="1"/>
  <c r="LDW53" i="9" s="1"/>
  <c r="LDX53" i="9" s="1"/>
  <c r="LDY53" i="9" s="1"/>
  <c r="LDZ53" i="9" s="1"/>
  <c r="LEA53" i="9" s="1"/>
  <c r="LEB53" i="9" s="1"/>
  <c r="LEC53" i="9" s="1"/>
  <c r="LED53" i="9" s="1"/>
  <c r="LEE53" i="9" s="1"/>
  <c r="LEF53" i="9" s="1"/>
  <c r="LEG53" i="9" s="1"/>
  <c r="LEH53" i="9" s="1"/>
  <c r="LEI53" i="9" s="1"/>
  <c r="LEJ53" i="9" s="1"/>
  <c r="LEK53" i="9" s="1"/>
  <c r="LEL53" i="9" s="1"/>
  <c r="LEM53" i="9" s="1"/>
  <c r="LEN53" i="9" s="1"/>
  <c r="LEO53" i="9" s="1"/>
  <c r="LEP53" i="9" s="1"/>
  <c r="LEQ53" i="9" s="1"/>
  <c r="LER53" i="9" s="1"/>
  <c r="LES53" i="9" s="1"/>
  <c r="LET53" i="9" s="1"/>
  <c r="LEU53" i="9" s="1"/>
  <c r="LEV53" i="9" s="1"/>
  <c r="LEW53" i="9" s="1"/>
  <c r="LEX53" i="9" s="1"/>
  <c r="LEY53" i="9" s="1"/>
  <c r="LEZ53" i="9" s="1"/>
  <c r="LFA53" i="9" s="1"/>
  <c r="LFB53" i="9" s="1"/>
  <c r="LFC53" i="9" s="1"/>
  <c r="LFD53" i="9" s="1"/>
  <c r="LFE53" i="9" s="1"/>
  <c r="LFF53" i="9" s="1"/>
  <c r="LFG53" i="9" s="1"/>
  <c r="LFH53" i="9" s="1"/>
  <c r="LFI53" i="9" s="1"/>
  <c r="LFJ53" i="9" s="1"/>
  <c r="LFK53" i="9" s="1"/>
  <c r="LFL53" i="9" s="1"/>
  <c r="LFM53" i="9" s="1"/>
  <c r="LFN53" i="9" s="1"/>
  <c r="LFO53" i="9" s="1"/>
  <c r="LFP53" i="9" s="1"/>
  <c r="LFQ53" i="9" s="1"/>
  <c r="LFR53" i="9" s="1"/>
  <c r="LFS53" i="9" s="1"/>
  <c r="LFT53" i="9" s="1"/>
  <c r="LFU53" i="9" s="1"/>
  <c r="LFV53" i="9" s="1"/>
  <c r="LFW53" i="9" s="1"/>
  <c r="LFX53" i="9" s="1"/>
  <c r="LFY53" i="9" s="1"/>
  <c r="LFZ53" i="9" s="1"/>
  <c r="LGA53" i="9" s="1"/>
  <c r="LGB53" i="9" s="1"/>
  <c r="LGC53" i="9" s="1"/>
  <c r="LGD53" i="9" s="1"/>
  <c r="LGE53" i="9" s="1"/>
  <c r="LGF53" i="9" s="1"/>
  <c r="LGG53" i="9" s="1"/>
  <c r="LGH53" i="9" s="1"/>
  <c r="LGI53" i="9" s="1"/>
  <c r="LGJ53" i="9" s="1"/>
  <c r="LGK53" i="9" s="1"/>
  <c r="LGL53" i="9" s="1"/>
  <c r="LGM53" i="9" s="1"/>
  <c r="LGN53" i="9" s="1"/>
  <c r="LGO53" i="9" s="1"/>
  <c r="LGP53" i="9" s="1"/>
  <c r="LGQ53" i="9" s="1"/>
  <c r="LGR53" i="9" s="1"/>
  <c r="LGS53" i="9" s="1"/>
  <c r="LGT53" i="9" s="1"/>
  <c r="LGU53" i="9" s="1"/>
  <c r="LGV53" i="9" s="1"/>
  <c r="LGW53" i="9" s="1"/>
  <c r="LGX53" i="9" s="1"/>
  <c r="LGY53" i="9" s="1"/>
  <c r="LGZ53" i="9" s="1"/>
  <c r="LHA53" i="9" s="1"/>
  <c r="LHB53" i="9" s="1"/>
  <c r="LHC53" i="9" s="1"/>
  <c r="LHD53" i="9" s="1"/>
  <c r="LHE53" i="9" s="1"/>
  <c r="LHF53" i="9" s="1"/>
  <c r="LHG53" i="9" s="1"/>
  <c r="LHH53" i="9" s="1"/>
  <c r="LHI53" i="9" s="1"/>
  <c r="LHJ53" i="9" s="1"/>
  <c r="LHK53" i="9" s="1"/>
  <c r="LHL53" i="9" s="1"/>
  <c r="LHM53" i="9" s="1"/>
  <c r="LHN53" i="9" s="1"/>
  <c r="LHO53" i="9" s="1"/>
  <c r="LHP53" i="9" s="1"/>
  <c r="LHQ53" i="9" s="1"/>
  <c r="LHR53" i="9" s="1"/>
  <c r="LHS53" i="9" s="1"/>
  <c r="LHT53" i="9" s="1"/>
  <c r="LHU53" i="9" s="1"/>
  <c r="LHV53" i="9" s="1"/>
  <c r="LHW53" i="9" s="1"/>
  <c r="LHX53" i="9" s="1"/>
  <c r="LHY53" i="9" s="1"/>
  <c r="LHZ53" i="9" s="1"/>
  <c r="LIA53" i="9" s="1"/>
  <c r="LIB53" i="9" s="1"/>
  <c r="LIC53" i="9" s="1"/>
  <c r="LID53" i="9" s="1"/>
  <c r="LIE53" i="9" s="1"/>
  <c r="LIF53" i="9" s="1"/>
  <c r="LIG53" i="9" s="1"/>
  <c r="LIH53" i="9" s="1"/>
  <c r="LII53" i="9" s="1"/>
  <c r="LIJ53" i="9" s="1"/>
  <c r="LIK53" i="9" s="1"/>
  <c r="LIL53" i="9" s="1"/>
  <c r="LIM53" i="9" s="1"/>
  <c r="LIN53" i="9" s="1"/>
  <c r="LIO53" i="9" s="1"/>
  <c r="LIP53" i="9" s="1"/>
  <c r="LIQ53" i="9" s="1"/>
  <c r="LIR53" i="9" s="1"/>
  <c r="LIS53" i="9" s="1"/>
  <c r="LIT53" i="9" s="1"/>
  <c r="LIU53" i="9" s="1"/>
  <c r="LIV53" i="9" s="1"/>
  <c r="LIW53" i="9" s="1"/>
  <c r="LIX53" i="9" s="1"/>
  <c r="LIY53" i="9" s="1"/>
  <c r="LIZ53" i="9" s="1"/>
  <c r="LJA53" i="9" s="1"/>
  <c r="LJB53" i="9" s="1"/>
  <c r="LJC53" i="9" s="1"/>
  <c r="LJD53" i="9" s="1"/>
  <c r="LJE53" i="9" s="1"/>
  <c r="LJF53" i="9" s="1"/>
  <c r="LJG53" i="9" s="1"/>
  <c r="LJH53" i="9" s="1"/>
  <c r="LJI53" i="9" s="1"/>
  <c r="LJJ53" i="9" s="1"/>
  <c r="LJK53" i="9" s="1"/>
  <c r="LJL53" i="9" s="1"/>
  <c r="LJM53" i="9" s="1"/>
  <c r="LJN53" i="9" s="1"/>
  <c r="LJO53" i="9" s="1"/>
  <c r="LJP53" i="9" s="1"/>
  <c r="LJQ53" i="9" s="1"/>
  <c r="LJR53" i="9" s="1"/>
  <c r="LJS53" i="9" s="1"/>
  <c r="LJT53" i="9" s="1"/>
  <c r="LJU53" i="9" s="1"/>
  <c r="LJV53" i="9" s="1"/>
  <c r="LJW53" i="9" s="1"/>
  <c r="LJX53" i="9" s="1"/>
  <c r="LJY53" i="9" s="1"/>
  <c r="LJZ53" i="9" s="1"/>
  <c r="LKA53" i="9" s="1"/>
  <c r="LKB53" i="9" s="1"/>
  <c r="LKC53" i="9" s="1"/>
  <c r="LKD53" i="9" s="1"/>
  <c r="LKE53" i="9" s="1"/>
  <c r="LKF53" i="9" s="1"/>
  <c r="LKG53" i="9" s="1"/>
  <c r="LKH53" i="9" s="1"/>
  <c r="LKI53" i="9" s="1"/>
  <c r="LKJ53" i="9" s="1"/>
  <c r="LKK53" i="9" s="1"/>
  <c r="LKL53" i="9" s="1"/>
  <c r="LKM53" i="9" s="1"/>
  <c r="LKN53" i="9" s="1"/>
  <c r="LKO53" i="9" s="1"/>
  <c r="LKP53" i="9" s="1"/>
  <c r="LKQ53" i="9" s="1"/>
  <c r="LKR53" i="9" s="1"/>
  <c r="LKS53" i="9" s="1"/>
  <c r="LKT53" i="9" s="1"/>
  <c r="LKU53" i="9" s="1"/>
  <c r="LKV53" i="9" s="1"/>
  <c r="LKW53" i="9" s="1"/>
  <c r="LKX53" i="9" s="1"/>
  <c r="LKY53" i="9" s="1"/>
  <c r="LKZ53" i="9" s="1"/>
  <c r="LLA53" i="9" s="1"/>
  <c r="LLB53" i="9" s="1"/>
  <c r="LLC53" i="9" s="1"/>
  <c r="LLD53" i="9" s="1"/>
  <c r="LLE53" i="9" s="1"/>
  <c r="LLF53" i="9" s="1"/>
  <c r="LLG53" i="9" s="1"/>
  <c r="LLH53" i="9" s="1"/>
  <c r="LLI53" i="9" s="1"/>
  <c r="LLJ53" i="9" s="1"/>
  <c r="LLK53" i="9" s="1"/>
  <c r="LLL53" i="9" s="1"/>
  <c r="LLM53" i="9" s="1"/>
  <c r="LLN53" i="9" s="1"/>
  <c r="LLO53" i="9" s="1"/>
  <c r="LLP53" i="9" s="1"/>
  <c r="LLQ53" i="9" s="1"/>
  <c r="LLR53" i="9" s="1"/>
  <c r="LLS53" i="9" s="1"/>
  <c r="LLT53" i="9" s="1"/>
  <c r="LLU53" i="9" s="1"/>
  <c r="LLV53" i="9" s="1"/>
  <c r="LLW53" i="9" s="1"/>
  <c r="LLX53" i="9" s="1"/>
  <c r="LLY53" i="9" s="1"/>
  <c r="LLZ53" i="9" s="1"/>
  <c r="LMA53" i="9" s="1"/>
  <c r="LMB53" i="9" s="1"/>
  <c r="LMC53" i="9" s="1"/>
  <c r="LMD53" i="9" s="1"/>
  <c r="LME53" i="9" s="1"/>
  <c r="LMF53" i="9" s="1"/>
  <c r="LMG53" i="9" s="1"/>
  <c r="LMH53" i="9" s="1"/>
  <c r="LMI53" i="9" s="1"/>
  <c r="LMJ53" i="9" s="1"/>
  <c r="LMK53" i="9" s="1"/>
  <c r="LML53" i="9" s="1"/>
  <c r="LMM53" i="9" s="1"/>
  <c r="LMN53" i="9" s="1"/>
  <c r="LMO53" i="9" s="1"/>
  <c r="LMP53" i="9" s="1"/>
  <c r="LMQ53" i="9" s="1"/>
  <c r="LMR53" i="9" s="1"/>
  <c r="LMS53" i="9" s="1"/>
  <c r="LMT53" i="9" s="1"/>
  <c r="LMU53" i="9" s="1"/>
  <c r="LMV53" i="9" s="1"/>
  <c r="LMW53" i="9" s="1"/>
  <c r="LMX53" i="9" s="1"/>
  <c r="LMY53" i="9" s="1"/>
  <c r="LMZ53" i="9" s="1"/>
  <c r="LNA53" i="9" s="1"/>
  <c r="LNB53" i="9" s="1"/>
  <c r="LNC53" i="9" s="1"/>
  <c r="LND53" i="9" s="1"/>
  <c r="LNE53" i="9" s="1"/>
  <c r="LNF53" i="9" s="1"/>
  <c r="LNG53" i="9" s="1"/>
  <c r="LNH53" i="9" s="1"/>
  <c r="LNI53" i="9" s="1"/>
  <c r="LNJ53" i="9" s="1"/>
  <c r="LNK53" i="9" s="1"/>
  <c r="LNL53" i="9" s="1"/>
  <c r="LNM53" i="9" s="1"/>
  <c r="LNN53" i="9" s="1"/>
  <c r="LNO53" i="9" s="1"/>
  <c r="LNP53" i="9" s="1"/>
  <c r="LNQ53" i="9" s="1"/>
  <c r="LNR53" i="9" s="1"/>
  <c r="LNS53" i="9" s="1"/>
  <c r="LNT53" i="9" s="1"/>
  <c r="LNU53" i="9" s="1"/>
  <c r="LNV53" i="9" s="1"/>
  <c r="LNW53" i="9" s="1"/>
  <c r="LNX53" i="9" s="1"/>
  <c r="LNY53" i="9" s="1"/>
  <c r="LNZ53" i="9" s="1"/>
  <c r="LOA53" i="9" s="1"/>
  <c r="LOB53" i="9" s="1"/>
  <c r="LOC53" i="9" s="1"/>
  <c r="LOD53" i="9" s="1"/>
  <c r="LOE53" i="9" s="1"/>
  <c r="LOF53" i="9" s="1"/>
  <c r="LOG53" i="9" s="1"/>
  <c r="LOH53" i="9" s="1"/>
  <c r="LOI53" i="9" s="1"/>
  <c r="LOJ53" i="9" s="1"/>
  <c r="LOK53" i="9" s="1"/>
  <c r="LOL53" i="9" s="1"/>
  <c r="LOM53" i="9" s="1"/>
  <c r="LON53" i="9" s="1"/>
  <c r="LOO53" i="9" s="1"/>
  <c r="LOP53" i="9" s="1"/>
  <c r="LOQ53" i="9" s="1"/>
  <c r="LOR53" i="9" s="1"/>
  <c r="LOS53" i="9" s="1"/>
  <c r="LOT53" i="9" s="1"/>
  <c r="LOU53" i="9" s="1"/>
  <c r="LOV53" i="9" s="1"/>
  <c r="LOW53" i="9" s="1"/>
  <c r="LOX53" i="9" s="1"/>
  <c r="LOY53" i="9" s="1"/>
  <c r="LOZ53" i="9" s="1"/>
  <c r="LPA53" i="9" s="1"/>
  <c r="LPB53" i="9" s="1"/>
  <c r="LPC53" i="9" s="1"/>
  <c r="LPD53" i="9" s="1"/>
  <c r="LPE53" i="9" s="1"/>
  <c r="LPF53" i="9" s="1"/>
  <c r="LPG53" i="9" s="1"/>
  <c r="LPH53" i="9" s="1"/>
  <c r="LPI53" i="9" s="1"/>
  <c r="LPJ53" i="9" s="1"/>
  <c r="LPK53" i="9" s="1"/>
  <c r="LPL53" i="9" s="1"/>
  <c r="LPM53" i="9" s="1"/>
  <c r="LPN53" i="9" s="1"/>
  <c r="LPO53" i="9" s="1"/>
  <c r="LPP53" i="9" s="1"/>
  <c r="LPQ53" i="9" s="1"/>
  <c r="LPR53" i="9" s="1"/>
  <c r="LPS53" i="9" s="1"/>
  <c r="LPT53" i="9" s="1"/>
  <c r="LPU53" i="9" s="1"/>
  <c r="LPV53" i="9" s="1"/>
  <c r="LPW53" i="9" s="1"/>
  <c r="LPX53" i="9" s="1"/>
  <c r="LPY53" i="9" s="1"/>
  <c r="LPZ53" i="9" s="1"/>
  <c r="LQA53" i="9" s="1"/>
  <c r="LQB53" i="9" s="1"/>
  <c r="LQC53" i="9" s="1"/>
  <c r="LQD53" i="9" s="1"/>
  <c r="LQE53" i="9" s="1"/>
  <c r="LQF53" i="9" s="1"/>
  <c r="LQG53" i="9" s="1"/>
  <c r="LQH53" i="9" s="1"/>
  <c r="LQI53" i="9" s="1"/>
  <c r="LQJ53" i="9" s="1"/>
  <c r="LQK53" i="9" s="1"/>
  <c r="LQL53" i="9" s="1"/>
  <c r="LQM53" i="9" s="1"/>
  <c r="LQN53" i="9" s="1"/>
  <c r="LQO53" i="9" s="1"/>
  <c r="LQP53" i="9" s="1"/>
  <c r="LQQ53" i="9" s="1"/>
  <c r="LQR53" i="9" s="1"/>
  <c r="LQS53" i="9" s="1"/>
  <c r="LQT53" i="9" s="1"/>
  <c r="LQU53" i="9" s="1"/>
  <c r="LQV53" i="9" s="1"/>
  <c r="LQW53" i="9" s="1"/>
  <c r="LQX53" i="9" s="1"/>
  <c r="LQY53" i="9" s="1"/>
  <c r="LQZ53" i="9" s="1"/>
  <c r="LRA53" i="9" s="1"/>
  <c r="LRB53" i="9" s="1"/>
  <c r="LRC53" i="9" s="1"/>
  <c r="LRD53" i="9" s="1"/>
  <c r="LRE53" i="9" s="1"/>
  <c r="LRF53" i="9" s="1"/>
  <c r="LRG53" i="9" s="1"/>
  <c r="LRH53" i="9" s="1"/>
  <c r="LRI53" i="9" s="1"/>
  <c r="LRJ53" i="9" s="1"/>
  <c r="LRK53" i="9" s="1"/>
  <c r="LRL53" i="9" s="1"/>
  <c r="LRM53" i="9" s="1"/>
  <c r="LRN53" i="9" s="1"/>
  <c r="LRO53" i="9" s="1"/>
  <c r="LRP53" i="9" s="1"/>
  <c r="LRQ53" i="9" s="1"/>
  <c r="LRR53" i="9" s="1"/>
  <c r="LRS53" i="9" s="1"/>
  <c r="LRT53" i="9" s="1"/>
  <c r="LRU53" i="9" s="1"/>
  <c r="LRV53" i="9" s="1"/>
  <c r="LRW53" i="9" s="1"/>
  <c r="LRX53" i="9" s="1"/>
  <c r="LRY53" i="9" s="1"/>
  <c r="LRZ53" i="9" s="1"/>
  <c r="LSA53" i="9" s="1"/>
  <c r="LSB53" i="9" s="1"/>
  <c r="LSC53" i="9" s="1"/>
  <c r="LSD53" i="9" s="1"/>
  <c r="LSE53" i="9" s="1"/>
  <c r="LSF53" i="9" s="1"/>
  <c r="LSG53" i="9" s="1"/>
  <c r="LSH53" i="9" s="1"/>
  <c r="LSI53" i="9" s="1"/>
  <c r="LSJ53" i="9" s="1"/>
  <c r="LSK53" i="9" s="1"/>
  <c r="LSL53" i="9" s="1"/>
  <c r="LSM53" i="9" s="1"/>
  <c r="LSN53" i="9" s="1"/>
  <c r="LSO53" i="9" s="1"/>
  <c r="LSP53" i="9" s="1"/>
  <c r="LSQ53" i="9" s="1"/>
  <c r="LSR53" i="9" s="1"/>
  <c r="LSS53" i="9" s="1"/>
  <c r="LST53" i="9" s="1"/>
  <c r="LSU53" i="9" s="1"/>
  <c r="LSV53" i="9" s="1"/>
  <c r="LSW53" i="9" s="1"/>
  <c r="LSX53" i="9" s="1"/>
  <c r="LSY53" i="9" s="1"/>
  <c r="LSZ53" i="9" s="1"/>
  <c r="LTA53" i="9" s="1"/>
  <c r="LTB53" i="9" s="1"/>
  <c r="LTC53" i="9" s="1"/>
  <c r="LTD53" i="9" s="1"/>
  <c r="LTE53" i="9" s="1"/>
  <c r="LTF53" i="9" s="1"/>
  <c r="LTG53" i="9" s="1"/>
  <c r="LTH53" i="9" s="1"/>
  <c r="LTI53" i="9" s="1"/>
  <c r="LTJ53" i="9" s="1"/>
  <c r="LTK53" i="9" s="1"/>
  <c r="LTL53" i="9" s="1"/>
  <c r="LTM53" i="9" s="1"/>
  <c r="LTN53" i="9" s="1"/>
  <c r="LTO53" i="9" s="1"/>
  <c r="LTP53" i="9" s="1"/>
  <c r="LTQ53" i="9" s="1"/>
  <c r="LTR53" i="9" s="1"/>
  <c r="LTS53" i="9" s="1"/>
  <c r="LTT53" i="9" s="1"/>
  <c r="LTU53" i="9" s="1"/>
  <c r="LTV53" i="9" s="1"/>
  <c r="LTW53" i="9" s="1"/>
  <c r="LTX53" i="9" s="1"/>
  <c r="LTY53" i="9" s="1"/>
  <c r="LTZ53" i="9" s="1"/>
  <c r="LUA53" i="9" s="1"/>
  <c r="LUB53" i="9" s="1"/>
  <c r="LUC53" i="9" s="1"/>
  <c r="LUD53" i="9" s="1"/>
  <c r="LUE53" i="9" s="1"/>
  <c r="LUF53" i="9" s="1"/>
  <c r="LUG53" i="9" s="1"/>
  <c r="LUH53" i="9" s="1"/>
  <c r="LUI53" i="9" s="1"/>
  <c r="LUJ53" i="9" s="1"/>
  <c r="LUK53" i="9" s="1"/>
  <c r="LUL53" i="9" s="1"/>
  <c r="LUM53" i="9" s="1"/>
  <c r="LUN53" i="9" s="1"/>
  <c r="LUO53" i="9" s="1"/>
  <c r="LUP53" i="9" s="1"/>
  <c r="LUQ53" i="9" s="1"/>
  <c r="LUR53" i="9" s="1"/>
  <c r="LUS53" i="9" s="1"/>
  <c r="LUT53" i="9" s="1"/>
  <c r="LUU53" i="9" s="1"/>
  <c r="LUV53" i="9" s="1"/>
  <c r="LUW53" i="9" s="1"/>
  <c r="LUX53" i="9" s="1"/>
  <c r="LUY53" i="9" s="1"/>
  <c r="LUZ53" i="9" s="1"/>
  <c r="LVA53" i="9" s="1"/>
  <c r="LVB53" i="9" s="1"/>
  <c r="LVC53" i="9" s="1"/>
  <c r="LVD53" i="9" s="1"/>
  <c r="LVE53" i="9" s="1"/>
  <c r="LVF53" i="9" s="1"/>
  <c r="LVG53" i="9" s="1"/>
  <c r="LVH53" i="9" s="1"/>
  <c r="LVI53" i="9" s="1"/>
  <c r="LVJ53" i="9" s="1"/>
  <c r="LVK53" i="9" s="1"/>
  <c r="LVL53" i="9" s="1"/>
  <c r="LVM53" i="9" s="1"/>
  <c r="LVN53" i="9" s="1"/>
  <c r="LVO53" i="9" s="1"/>
  <c r="LVP53" i="9" s="1"/>
  <c r="LVQ53" i="9" s="1"/>
  <c r="LVR53" i="9" s="1"/>
  <c r="LVS53" i="9" s="1"/>
  <c r="LVT53" i="9" s="1"/>
  <c r="LVU53" i="9" s="1"/>
  <c r="LVV53" i="9" s="1"/>
  <c r="LVW53" i="9" s="1"/>
  <c r="LVX53" i="9" s="1"/>
  <c r="LVY53" i="9" s="1"/>
  <c r="LVZ53" i="9" s="1"/>
  <c r="LWA53" i="9" s="1"/>
  <c r="LWB53" i="9" s="1"/>
  <c r="LWC53" i="9" s="1"/>
  <c r="LWD53" i="9" s="1"/>
  <c r="LWE53" i="9" s="1"/>
  <c r="LWF53" i="9" s="1"/>
  <c r="LWG53" i="9" s="1"/>
  <c r="LWH53" i="9" s="1"/>
  <c r="LWI53" i="9" s="1"/>
  <c r="LWJ53" i="9" s="1"/>
  <c r="LWK53" i="9" s="1"/>
  <c r="LWL53" i="9" s="1"/>
  <c r="LWM53" i="9" s="1"/>
  <c r="LWN53" i="9" s="1"/>
  <c r="LWO53" i="9" s="1"/>
  <c r="LWP53" i="9" s="1"/>
  <c r="LWQ53" i="9" s="1"/>
  <c r="LWR53" i="9" s="1"/>
  <c r="LWS53" i="9" s="1"/>
  <c r="LWT53" i="9" s="1"/>
  <c r="LWU53" i="9" s="1"/>
  <c r="LWV53" i="9" s="1"/>
  <c r="LWW53" i="9" s="1"/>
  <c r="LWX53" i="9" s="1"/>
  <c r="LWY53" i="9" s="1"/>
  <c r="LWZ53" i="9" s="1"/>
  <c r="LXA53" i="9" s="1"/>
  <c r="LXB53" i="9" s="1"/>
  <c r="LXC53" i="9" s="1"/>
  <c r="LXD53" i="9" s="1"/>
  <c r="LXE53" i="9" s="1"/>
  <c r="LXF53" i="9" s="1"/>
  <c r="LXG53" i="9" s="1"/>
  <c r="LXH53" i="9" s="1"/>
  <c r="LXI53" i="9" s="1"/>
  <c r="LXJ53" i="9" s="1"/>
  <c r="LXK53" i="9" s="1"/>
  <c r="LXL53" i="9" s="1"/>
  <c r="LXM53" i="9" s="1"/>
  <c r="LXN53" i="9" s="1"/>
  <c r="LXO53" i="9" s="1"/>
  <c r="LXP53" i="9" s="1"/>
  <c r="LXQ53" i="9" s="1"/>
  <c r="LXR53" i="9" s="1"/>
  <c r="LXS53" i="9" s="1"/>
  <c r="LXT53" i="9" s="1"/>
  <c r="LXU53" i="9" s="1"/>
  <c r="LXV53" i="9" s="1"/>
  <c r="LXW53" i="9" s="1"/>
  <c r="LXX53" i="9" s="1"/>
  <c r="LXY53" i="9" s="1"/>
  <c r="LXZ53" i="9" s="1"/>
  <c r="LYA53" i="9" s="1"/>
  <c r="LYB53" i="9" s="1"/>
  <c r="LYC53" i="9" s="1"/>
  <c r="LYD53" i="9" s="1"/>
  <c r="LYE53" i="9" s="1"/>
  <c r="LYF53" i="9" s="1"/>
  <c r="LYG53" i="9" s="1"/>
  <c r="LYH53" i="9" s="1"/>
  <c r="LYI53" i="9" s="1"/>
  <c r="LYJ53" i="9" s="1"/>
  <c r="LYK53" i="9" s="1"/>
  <c r="LYL53" i="9" s="1"/>
  <c r="LYM53" i="9" s="1"/>
  <c r="LYN53" i="9" s="1"/>
  <c r="LYO53" i="9" s="1"/>
  <c r="LYP53" i="9" s="1"/>
  <c r="LYQ53" i="9" s="1"/>
  <c r="LYR53" i="9" s="1"/>
  <c r="LYS53" i="9" s="1"/>
  <c r="LYT53" i="9" s="1"/>
  <c r="LYU53" i="9" s="1"/>
  <c r="LYV53" i="9" s="1"/>
  <c r="LYW53" i="9" s="1"/>
  <c r="LYX53" i="9" s="1"/>
  <c r="LYY53" i="9" s="1"/>
  <c r="LYZ53" i="9" s="1"/>
  <c r="LZA53" i="9" s="1"/>
  <c r="LZB53" i="9" s="1"/>
  <c r="LZC53" i="9" s="1"/>
  <c r="LZD53" i="9" s="1"/>
  <c r="LZE53" i="9" s="1"/>
  <c r="LZF53" i="9" s="1"/>
  <c r="LZG53" i="9" s="1"/>
  <c r="LZH53" i="9" s="1"/>
  <c r="LZI53" i="9" s="1"/>
  <c r="LZJ53" i="9" s="1"/>
  <c r="LZK53" i="9" s="1"/>
  <c r="LZL53" i="9" s="1"/>
  <c r="LZM53" i="9" s="1"/>
  <c r="LZN53" i="9" s="1"/>
  <c r="LZO53" i="9" s="1"/>
  <c r="LZP53" i="9" s="1"/>
  <c r="LZQ53" i="9" s="1"/>
  <c r="LZR53" i="9" s="1"/>
  <c r="LZS53" i="9" s="1"/>
  <c r="LZT53" i="9" s="1"/>
  <c r="LZU53" i="9" s="1"/>
  <c r="LZV53" i="9" s="1"/>
  <c r="LZW53" i="9" s="1"/>
  <c r="LZX53" i="9" s="1"/>
  <c r="LZY53" i="9" s="1"/>
  <c r="LZZ53" i="9" s="1"/>
  <c r="MAA53" i="9" s="1"/>
  <c r="MAB53" i="9" s="1"/>
  <c r="MAC53" i="9" s="1"/>
  <c r="MAD53" i="9" s="1"/>
  <c r="MAE53" i="9" s="1"/>
  <c r="MAF53" i="9" s="1"/>
  <c r="MAG53" i="9" s="1"/>
  <c r="MAH53" i="9" s="1"/>
  <c r="MAI53" i="9" s="1"/>
  <c r="MAJ53" i="9" s="1"/>
  <c r="MAK53" i="9" s="1"/>
  <c r="MAL53" i="9" s="1"/>
  <c r="MAM53" i="9" s="1"/>
  <c r="MAN53" i="9" s="1"/>
  <c r="MAO53" i="9" s="1"/>
  <c r="MAP53" i="9" s="1"/>
  <c r="MAQ53" i="9" s="1"/>
  <c r="MAR53" i="9" s="1"/>
  <c r="MAS53" i="9" s="1"/>
  <c r="MAT53" i="9" s="1"/>
  <c r="MAU53" i="9" s="1"/>
  <c r="MAV53" i="9" s="1"/>
  <c r="MAW53" i="9" s="1"/>
  <c r="MAX53" i="9" s="1"/>
  <c r="MAY53" i="9" s="1"/>
  <c r="MAZ53" i="9" s="1"/>
  <c r="MBA53" i="9" s="1"/>
  <c r="MBB53" i="9" s="1"/>
  <c r="MBC53" i="9" s="1"/>
  <c r="MBD53" i="9" s="1"/>
  <c r="MBE53" i="9" s="1"/>
  <c r="MBF53" i="9" s="1"/>
  <c r="MBG53" i="9" s="1"/>
  <c r="MBH53" i="9" s="1"/>
  <c r="MBI53" i="9" s="1"/>
  <c r="MBJ53" i="9" s="1"/>
  <c r="MBK53" i="9" s="1"/>
  <c r="MBL53" i="9" s="1"/>
  <c r="MBM53" i="9" s="1"/>
  <c r="MBN53" i="9" s="1"/>
  <c r="MBO53" i="9" s="1"/>
  <c r="MBP53" i="9" s="1"/>
  <c r="MBQ53" i="9" s="1"/>
  <c r="MBR53" i="9" s="1"/>
  <c r="MBS53" i="9" s="1"/>
  <c r="MBT53" i="9" s="1"/>
  <c r="MBU53" i="9" s="1"/>
  <c r="MBV53" i="9" s="1"/>
  <c r="MBW53" i="9" s="1"/>
  <c r="MBX53" i="9" s="1"/>
  <c r="MBY53" i="9" s="1"/>
  <c r="MBZ53" i="9" s="1"/>
  <c r="MCA53" i="9" s="1"/>
  <c r="MCB53" i="9" s="1"/>
  <c r="MCC53" i="9" s="1"/>
  <c r="MCD53" i="9" s="1"/>
  <c r="MCE53" i="9" s="1"/>
  <c r="MCF53" i="9" s="1"/>
  <c r="MCG53" i="9" s="1"/>
  <c r="MCH53" i="9" s="1"/>
  <c r="MCI53" i="9" s="1"/>
  <c r="MCJ53" i="9" s="1"/>
  <c r="MCK53" i="9" s="1"/>
  <c r="MCL53" i="9" s="1"/>
  <c r="MCM53" i="9" s="1"/>
  <c r="MCN53" i="9" s="1"/>
  <c r="MCO53" i="9" s="1"/>
  <c r="MCP53" i="9" s="1"/>
  <c r="MCQ53" i="9" s="1"/>
  <c r="MCR53" i="9" s="1"/>
  <c r="MCS53" i="9" s="1"/>
  <c r="MCT53" i="9" s="1"/>
  <c r="MCU53" i="9" s="1"/>
  <c r="MCV53" i="9" s="1"/>
  <c r="MCW53" i="9" s="1"/>
  <c r="MCX53" i="9" s="1"/>
  <c r="MCY53" i="9" s="1"/>
  <c r="MCZ53" i="9" s="1"/>
  <c r="MDA53" i="9" s="1"/>
  <c r="MDB53" i="9" s="1"/>
  <c r="MDC53" i="9" s="1"/>
  <c r="MDD53" i="9" s="1"/>
  <c r="MDE53" i="9" s="1"/>
  <c r="MDF53" i="9" s="1"/>
  <c r="MDG53" i="9" s="1"/>
  <c r="MDH53" i="9" s="1"/>
  <c r="MDI53" i="9" s="1"/>
  <c r="MDJ53" i="9" s="1"/>
  <c r="MDK53" i="9" s="1"/>
  <c r="MDL53" i="9" s="1"/>
  <c r="MDM53" i="9" s="1"/>
  <c r="MDN53" i="9" s="1"/>
  <c r="MDO53" i="9" s="1"/>
  <c r="MDP53" i="9" s="1"/>
  <c r="MDQ53" i="9" s="1"/>
  <c r="MDR53" i="9" s="1"/>
  <c r="MDS53" i="9" s="1"/>
  <c r="MDT53" i="9" s="1"/>
  <c r="MDU53" i="9" s="1"/>
  <c r="MDV53" i="9" s="1"/>
  <c r="MDW53" i="9" s="1"/>
  <c r="MDX53" i="9" s="1"/>
  <c r="MDY53" i="9" s="1"/>
  <c r="MDZ53" i="9" s="1"/>
  <c r="MEA53" i="9" s="1"/>
  <c r="MEB53" i="9" s="1"/>
  <c r="MEC53" i="9" s="1"/>
  <c r="MED53" i="9" s="1"/>
  <c r="MEE53" i="9" s="1"/>
  <c r="MEF53" i="9" s="1"/>
  <c r="MEG53" i="9" s="1"/>
  <c r="MEH53" i="9" s="1"/>
  <c r="MEI53" i="9" s="1"/>
  <c r="MEJ53" i="9" s="1"/>
  <c r="MEK53" i="9" s="1"/>
  <c r="MEL53" i="9" s="1"/>
  <c r="MEM53" i="9" s="1"/>
  <c r="MEN53" i="9" s="1"/>
  <c r="MEO53" i="9" s="1"/>
  <c r="MEP53" i="9" s="1"/>
  <c r="MEQ53" i="9" s="1"/>
  <c r="MER53" i="9" s="1"/>
  <c r="MES53" i="9" s="1"/>
  <c r="MET53" i="9" s="1"/>
  <c r="MEU53" i="9" s="1"/>
  <c r="MEV53" i="9" s="1"/>
  <c r="MEW53" i="9" s="1"/>
  <c r="MEX53" i="9" s="1"/>
  <c r="MEY53" i="9" s="1"/>
  <c r="MEZ53" i="9" s="1"/>
  <c r="MFA53" i="9" s="1"/>
  <c r="MFB53" i="9" s="1"/>
  <c r="MFC53" i="9" s="1"/>
  <c r="MFD53" i="9" s="1"/>
  <c r="MFE53" i="9" s="1"/>
  <c r="MFF53" i="9" s="1"/>
  <c r="MFG53" i="9" s="1"/>
  <c r="MFH53" i="9" s="1"/>
  <c r="MFI53" i="9" s="1"/>
  <c r="MFJ53" i="9" s="1"/>
  <c r="MFK53" i="9" s="1"/>
  <c r="MFL53" i="9" s="1"/>
  <c r="MFM53" i="9" s="1"/>
  <c r="MFN53" i="9" s="1"/>
  <c r="MFO53" i="9" s="1"/>
  <c r="MFP53" i="9" s="1"/>
  <c r="MFQ53" i="9" s="1"/>
  <c r="MFR53" i="9" s="1"/>
  <c r="MFS53" i="9" s="1"/>
  <c r="MFT53" i="9" s="1"/>
  <c r="MFU53" i="9" s="1"/>
  <c r="MFV53" i="9" s="1"/>
  <c r="MFW53" i="9" s="1"/>
  <c r="MFX53" i="9" s="1"/>
  <c r="MFY53" i="9" s="1"/>
  <c r="MFZ53" i="9" s="1"/>
  <c r="MGA53" i="9" s="1"/>
  <c r="MGB53" i="9" s="1"/>
  <c r="MGC53" i="9" s="1"/>
  <c r="MGD53" i="9" s="1"/>
  <c r="MGE53" i="9" s="1"/>
  <c r="MGF53" i="9" s="1"/>
  <c r="MGG53" i="9" s="1"/>
  <c r="MGH53" i="9" s="1"/>
  <c r="MGI53" i="9" s="1"/>
  <c r="MGJ53" i="9" s="1"/>
  <c r="MGK53" i="9" s="1"/>
  <c r="MGL53" i="9" s="1"/>
  <c r="MGM53" i="9" s="1"/>
  <c r="MGN53" i="9" s="1"/>
  <c r="MGO53" i="9" s="1"/>
  <c r="MGP53" i="9" s="1"/>
  <c r="MGQ53" i="9" s="1"/>
  <c r="MGR53" i="9" s="1"/>
  <c r="MGS53" i="9" s="1"/>
  <c r="MGT53" i="9" s="1"/>
  <c r="MGU53" i="9" s="1"/>
  <c r="MGV53" i="9" s="1"/>
  <c r="MGW53" i="9" s="1"/>
  <c r="MGX53" i="9" s="1"/>
  <c r="MGY53" i="9" s="1"/>
  <c r="MGZ53" i="9" s="1"/>
  <c r="MHA53" i="9" s="1"/>
  <c r="MHB53" i="9" s="1"/>
  <c r="MHC53" i="9" s="1"/>
  <c r="MHD53" i="9" s="1"/>
  <c r="MHE53" i="9" s="1"/>
  <c r="MHF53" i="9" s="1"/>
  <c r="MHG53" i="9" s="1"/>
  <c r="MHH53" i="9" s="1"/>
  <c r="MHI53" i="9" s="1"/>
  <c r="MHJ53" i="9" s="1"/>
  <c r="MHK53" i="9" s="1"/>
  <c r="MHL53" i="9" s="1"/>
  <c r="MHM53" i="9" s="1"/>
  <c r="MHN53" i="9" s="1"/>
  <c r="MHO53" i="9" s="1"/>
  <c r="MHP53" i="9" s="1"/>
  <c r="MHQ53" i="9" s="1"/>
  <c r="MHR53" i="9" s="1"/>
  <c r="MHS53" i="9" s="1"/>
  <c r="MHT53" i="9" s="1"/>
  <c r="MHU53" i="9" s="1"/>
  <c r="MHV53" i="9" s="1"/>
  <c r="MHW53" i="9" s="1"/>
  <c r="MHX53" i="9" s="1"/>
  <c r="MHY53" i="9" s="1"/>
  <c r="MHZ53" i="9" s="1"/>
  <c r="MIA53" i="9" s="1"/>
  <c r="MIB53" i="9" s="1"/>
  <c r="MIC53" i="9" s="1"/>
  <c r="MID53" i="9" s="1"/>
  <c r="MIE53" i="9" s="1"/>
  <c r="MIF53" i="9" s="1"/>
  <c r="MIG53" i="9" s="1"/>
  <c r="MIH53" i="9" s="1"/>
  <c r="MII53" i="9" s="1"/>
  <c r="MIJ53" i="9" s="1"/>
  <c r="MIK53" i="9" s="1"/>
  <c r="MIL53" i="9" s="1"/>
  <c r="MIM53" i="9" s="1"/>
  <c r="MIN53" i="9" s="1"/>
  <c r="MIO53" i="9" s="1"/>
  <c r="MIP53" i="9" s="1"/>
  <c r="MIQ53" i="9" s="1"/>
  <c r="MIR53" i="9" s="1"/>
  <c r="MIS53" i="9" s="1"/>
  <c r="MIT53" i="9" s="1"/>
  <c r="MIU53" i="9" s="1"/>
  <c r="MIV53" i="9" s="1"/>
  <c r="MIW53" i="9" s="1"/>
  <c r="MIX53" i="9" s="1"/>
  <c r="MIY53" i="9" s="1"/>
  <c r="MIZ53" i="9" s="1"/>
  <c r="MJA53" i="9" s="1"/>
  <c r="MJB53" i="9" s="1"/>
  <c r="MJC53" i="9" s="1"/>
  <c r="MJD53" i="9" s="1"/>
  <c r="MJE53" i="9" s="1"/>
  <c r="MJF53" i="9" s="1"/>
  <c r="MJG53" i="9" s="1"/>
  <c r="MJH53" i="9" s="1"/>
  <c r="MJI53" i="9" s="1"/>
  <c r="MJJ53" i="9" s="1"/>
  <c r="MJK53" i="9" s="1"/>
  <c r="MJL53" i="9" s="1"/>
  <c r="MJM53" i="9" s="1"/>
  <c r="MJN53" i="9" s="1"/>
  <c r="MJO53" i="9" s="1"/>
  <c r="MJP53" i="9" s="1"/>
  <c r="MJQ53" i="9" s="1"/>
  <c r="MJR53" i="9" s="1"/>
  <c r="MJS53" i="9" s="1"/>
  <c r="MJT53" i="9" s="1"/>
  <c r="MJU53" i="9" s="1"/>
  <c r="MJV53" i="9" s="1"/>
  <c r="MJW53" i="9" s="1"/>
  <c r="MJX53" i="9" s="1"/>
  <c r="MJY53" i="9" s="1"/>
  <c r="MJZ53" i="9" s="1"/>
  <c r="MKA53" i="9" s="1"/>
  <c r="MKB53" i="9" s="1"/>
  <c r="MKC53" i="9" s="1"/>
  <c r="MKD53" i="9" s="1"/>
  <c r="MKE53" i="9" s="1"/>
  <c r="MKF53" i="9" s="1"/>
  <c r="MKG53" i="9" s="1"/>
  <c r="MKH53" i="9" s="1"/>
  <c r="MKI53" i="9" s="1"/>
  <c r="MKJ53" i="9" s="1"/>
  <c r="MKK53" i="9" s="1"/>
  <c r="MKL53" i="9" s="1"/>
  <c r="MKM53" i="9" s="1"/>
  <c r="MKN53" i="9" s="1"/>
  <c r="MKO53" i="9" s="1"/>
  <c r="MKP53" i="9" s="1"/>
  <c r="MKQ53" i="9" s="1"/>
  <c r="MKR53" i="9" s="1"/>
  <c r="MKS53" i="9" s="1"/>
  <c r="MKT53" i="9" s="1"/>
  <c r="MKU53" i="9" s="1"/>
  <c r="MKV53" i="9" s="1"/>
  <c r="MKW53" i="9" s="1"/>
  <c r="MKX53" i="9" s="1"/>
  <c r="MKY53" i="9" s="1"/>
  <c r="MKZ53" i="9" s="1"/>
  <c r="MLA53" i="9" s="1"/>
  <c r="MLB53" i="9" s="1"/>
  <c r="MLC53" i="9" s="1"/>
  <c r="MLD53" i="9" s="1"/>
  <c r="MLE53" i="9" s="1"/>
  <c r="MLF53" i="9" s="1"/>
  <c r="MLG53" i="9" s="1"/>
  <c r="MLH53" i="9" s="1"/>
  <c r="MLI53" i="9" s="1"/>
  <c r="MLJ53" i="9" s="1"/>
  <c r="MLK53" i="9" s="1"/>
  <c r="MLL53" i="9" s="1"/>
  <c r="MLM53" i="9" s="1"/>
  <c r="MLN53" i="9" s="1"/>
  <c r="MLO53" i="9" s="1"/>
  <c r="MLP53" i="9" s="1"/>
  <c r="MLQ53" i="9" s="1"/>
  <c r="MLR53" i="9" s="1"/>
  <c r="MLS53" i="9" s="1"/>
  <c r="MLT53" i="9" s="1"/>
  <c r="MLU53" i="9" s="1"/>
  <c r="MLV53" i="9" s="1"/>
  <c r="MLW53" i="9" s="1"/>
  <c r="MLX53" i="9" s="1"/>
  <c r="MLY53" i="9" s="1"/>
  <c r="MLZ53" i="9" s="1"/>
  <c r="MMA53" i="9" s="1"/>
  <c r="MMB53" i="9" s="1"/>
  <c r="MMC53" i="9" s="1"/>
  <c r="MMD53" i="9" s="1"/>
  <c r="MME53" i="9" s="1"/>
  <c r="MMF53" i="9" s="1"/>
  <c r="MMG53" i="9" s="1"/>
  <c r="MMH53" i="9" s="1"/>
  <c r="MMI53" i="9" s="1"/>
  <c r="MMJ53" i="9" s="1"/>
  <c r="MMK53" i="9" s="1"/>
  <c r="MML53" i="9" s="1"/>
  <c r="MMM53" i="9" s="1"/>
  <c r="MMN53" i="9" s="1"/>
  <c r="MMO53" i="9" s="1"/>
  <c r="MMP53" i="9" s="1"/>
  <c r="MMQ53" i="9" s="1"/>
  <c r="MMR53" i="9" s="1"/>
  <c r="MMS53" i="9" s="1"/>
  <c r="MMT53" i="9" s="1"/>
  <c r="MMU53" i="9" s="1"/>
  <c r="MMV53" i="9" s="1"/>
  <c r="MMW53" i="9" s="1"/>
  <c r="MMX53" i="9" s="1"/>
  <c r="MMY53" i="9" s="1"/>
  <c r="MMZ53" i="9" s="1"/>
  <c r="MNA53" i="9" s="1"/>
  <c r="MNB53" i="9" s="1"/>
  <c r="MNC53" i="9" s="1"/>
  <c r="MND53" i="9" s="1"/>
  <c r="MNE53" i="9" s="1"/>
  <c r="MNF53" i="9" s="1"/>
  <c r="MNG53" i="9" s="1"/>
  <c r="MNH53" i="9" s="1"/>
  <c r="MNI53" i="9" s="1"/>
  <c r="MNJ53" i="9" s="1"/>
  <c r="MNK53" i="9" s="1"/>
  <c r="MNL53" i="9" s="1"/>
  <c r="MNM53" i="9" s="1"/>
  <c r="MNN53" i="9" s="1"/>
  <c r="MNO53" i="9" s="1"/>
  <c r="MNP53" i="9" s="1"/>
  <c r="MNQ53" i="9" s="1"/>
  <c r="MNR53" i="9" s="1"/>
  <c r="MNS53" i="9" s="1"/>
  <c r="MNT53" i="9" s="1"/>
  <c r="MNU53" i="9" s="1"/>
  <c r="MNV53" i="9" s="1"/>
  <c r="MNW53" i="9" s="1"/>
  <c r="MNX53" i="9" s="1"/>
  <c r="MNY53" i="9" s="1"/>
  <c r="MNZ53" i="9" s="1"/>
  <c r="MOA53" i="9" s="1"/>
  <c r="MOB53" i="9" s="1"/>
  <c r="MOC53" i="9" s="1"/>
  <c r="MOD53" i="9" s="1"/>
  <c r="MOE53" i="9" s="1"/>
  <c r="MOF53" i="9" s="1"/>
  <c r="MOG53" i="9" s="1"/>
  <c r="MOH53" i="9" s="1"/>
  <c r="MOI53" i="9" s="1"/>
  <c r="MOJ53" i="9" s="1"/>
  <c r="MOK53" i="9" s="1"/>
  <c r="MOL53" i="9" s="1"/>
  <c r="MOM53" i="9" s="1"/>
  <c r="MON53" i="9" s="1"/>
  <c r="MOO53" i="9" s="1"/>
  <c r="MOP53" i="9" s="1"/>
  <c r="MOQ53" i="9" s="1"/>
  <c r="MOR53" i="9" s="1"/>
  <c r="MOS53" i="9" s="1"/>
  <c r="MOT53" i="9" s="1"/>
  <c r="MOU53" i="9" s="1"/>
  <c r="MOV53" i="9" s="1"/>
  <c r="MOW53" i="9" s="1"/>
  <c r="MOX53" i="9" s="1"/>
  <c r="MOY53" i="9" s="1"/>
  <c r="MOZ53" i="9" s="1"/>
  <c r="MPA53" i="9" s="1"/>
  <c r="MPB53" i="9" s="1"/>
  <c r="MPC53" i="9" s="1"/>
  <c r="MPD53" i="9" s="1"/>
  <c r="MPE53" i="9" s="1"/>
  <c r="MPF53" i="9" s="1"/>
  <c r="MPG53" i="9" s="1"/>
  <c r="MPH53" i="9" s="1"/>
  <c r="MPI53" i="9" s="1"/>
  <c r="MPJ53" i="9" s="1"/>
  <c r="MPK53" i="9" s="1"/>
  <c r="MPL53" i="9" s="1"/>
  <c r="MPM53" i="9" s="1"/>
  <c r="MPN53" i="9" s="1"/>
  <c r="MPO53" i="9" s="1"/>
  <c r="MPP53" i="9" s="1"/>
  <c r="MPQ53" i="9" s="1"/>
  <c r="MPR53" i="9" s="1"/>
  <c r="MPS53" i="9" s="1"/>
  <c r="MPT53" i="9" s="1"/>
  <c r="MPU53" i="9" s="1"/>
  <c r="MPV53" i="9" s="1"/>
  <c r="MPW53" i="9" s="1"/>
  <c r="MPX53" i="9" s="1"/>
  <c r="MPY53" i="9" s="1"/>
  <c r="MPZ53" i="9" s="1"/>
  <c r="MQA53" i="9" s="1"/>
  <c r="MQB53" i="9" s="1"/>
  <c r="MQC53" i="9" s="1"/>
  <c r="MQD53" i="9" s="1"/>
  <c r="MQE53" i="9" s="1"/>
  <c r="MQF53" i="9" s="1"/>
  <c r="MQG53" i="9" s="1"/>
  <c r="MQH53" i="9" s="1"/>
  <c r="MQI53" i="9" s="1"/>
  <c r="MQJ53" i="9" s="1"/>
  <c r="MQK53" i="9" s="1"/>
  <c r="MQL53" i="9" s="1"/>
  <c r="MQM53" i="9" s="1"/>
  <c r="MQN53" i="9" s="1"/>
  <c r="MQO53" i="9" s="1"/>
  <c r="MQP53" i="9" s="1"/>
  <c r="MQQ53" i="9" s="1"/>
  <c r="MQR53" i="9" s="1"/>
  <c r="MQS53" i="9" s="1"/>
  <c r="MQT53" i="9" s="1"/>
  <c r="MQU53" i="9" s="1"/>
  <c r="MQV53" i="9" s="1"/>
  <c r="MQW53" i="9" s="1"/>
  <c r="MQX53" i="9" s="1"/>
  <c r="MQY53" i="9" s="1"/>
  <c r="MQZ53" i="9" s="1"/>
  <c r="MRA53" i="9" s="1"/>
  <c r="MRB53" i="9" s="1"/>
  <c r="MRC53" i="9" s="1"/>
  <c r="MRD53" i="9" s="1"/>
  <c r="MRE53" i="9" s="1"/>
  <c r="MRF53" i="9" s="1"/>
  <c r="MRG53" i="9" s="1"/>
  <c r="MRH53" i="9" s="1"/>
  <c r="MRI53" i="9" s="1"/>
  <c r="MRJ53" i="9" s="1"/>
  <c r="MRK53" i="9" s="1"/>
  <c r="MRL53" i="9" s="1"/>
  <c r="MRM53" i="9" s="1"/>
  <c r="MRN53" i="9" s="1"/>
  <c r="MRO53" i="9" s="1"/>
  <c r="MRP53" i="9" s="1"/>
  <c r="MRQ53" i="9" s="1"/>
  <c r="MRR53" i="9" s="1"/>
  <c r="MRS53" i="9" s="1"/>
  <c r="MRT53" i="9" s="1"/>
  <c r="MRU53" i="9" s="1"/>
  <c r="MRV53" i="9" s="1"/>
  <c r="MRW53" i="9" s="1"/>
  <c r="MRX53" i="9" s="1"/>
  <c r="MRY53" i="9" s="1"/>
  <c r="MRZ53" i="9" s="1"/>
  <c r="MSA53" i="9" s="1"/>
  <c r="MSB53" i="9" s="1"/>
  <c r="MSC53" i="9" s="1"/>
  <c r="MSD53" i="9" s="1"/>
  <c r="MSE53" i="9" s="1"/>
  <c r="MSF53" i="9" s="1"/>
  <c r="MSG53" i="9" s="1"/>
  <c r="MSH53" i="9" s="1"/>
  <c r="MSI53" i="9" s="1"/>
  <c r="MSJ53" i="9" s="1"/>
  <c r="MSK53" i="9" s="1"/>
  <c r="MSL53" i="9" s="1"/>
  <c r="MSM53" i="9" s="1"/>
  <c r="MSN53" i="9" s="1"/>
  <c r="MSO53" i="9" s="1"/>
  <c r="MSP53" i="9" s="1"/>
  <c r="MSQ53" i="9" s="1"/>
  <c r="MSR53" i="9" s="1"/>
  <c r="MSS53" i="9" s="1"/>
  <c r="MST53" i="9" s="1"/>
  <c r="MSU53" i="9" s="1"/>
  <c r="MSV53" i="9" s="1"/>
  <c r="MSW53" i="9" s="1"/>
  <c r="MSX53" i="9" s="1"/>
  <c r="MSY53" i="9" s="1"/>
  <c r="MSZ53" i="9" s="1"/>
  <c r="MTA53" i="9" s="1"/>
  <c r="MTB53" i="9" s="1"/>
  <c r="MTC53" i="9" s="1"/>
  <c r="MTD53" i="9" s="1"/>
  <c r="MTE53" i="9" s="1"/>
  <c r="MTF53" i="9" s="1"/>
  <c r="MTG53" i="9" s="1"/>
  <c r="MTH53" i="9" s="1"/>
  <c r="MTI53" i="9" s="1"/>
  <c r="MTJ53" i="9" s="1"/>
  <c r="MTK53" i="9" s="1"/>
  <c r="MTL53" i="9" s="1"/>
  <c r="MTM53" i="9" s="1"/>
  <c r="MTN53" i="9" s="1"/>
  <c r="MTO53" i="9" s="1"/>
  <c r="MTP53" i="9" s="1"/>
  <c r="MTQ53" i="9" s="1"/>
  <c r="MTR53" i="9" s="1"/>
  <c r="MTS53" i="9" s="1"/>
  <c r="MTT53" i="9" s="1"/>
  <c r="MTU53" i="9" s="1"/>
  <c r="MTV53" i="9" s="1"/>
  <c r="MTW53" i="9" s="1"/>
  <c r="MTX53" i="9" s="1"/>
  <c r="MTY53" i="9" s="1"/>
  <c r="MTZ53" i="9" s="1"/>
  <c r="MUA53" i="9" s="1"/>
  <c r="MUB53" i="9" s="1"/>
  <c r="MUC53" i="9" s="1"/>
  <c r="MUD53" i="9" s="1"/>
  <c r="MUE53" i="9" s="1"/>
  <c r="MUF53" i="9" s="1"/>
  <c r="MUG53" i="9" s="1"/>
  <c r="MUH53" i="9" s="1"/>
  <c r="MUI53" i="9" s="1"/>
  <c r="MUJ53" i="9" s="1"/>
  <c r="MUK53" i="9" s="1"/>
  <c r="MUL53" i="9" s="1"/>
  <c r="MUM53" i="9" s="1"/>
  <c r="MUN53" i="9" s="1"/>
  <c r="MUO53" i="9" s="1"/>
  <c r="MUP53" i="9" s="1"/>
  <c r="MUQ53" i="9" s="1"/>
  <c r="MUR53" i="9" s="1"/>
  <c r="MUS53" i="9" s="1"/>
  <c r="MUT53" i="9" s="1"/>
  <c r="MUU53" i="9" s="1"/>
  <c r="MUV53" i="9" s="1"/>
  <c r="MUW53" i="9" s="1"/>
  <c r="MUX53" i="9" s="1"/>
  <c r="MUY53" i="9" s="1"/>
  <c r="MUZ53" i="9" s="1"/>
  <c r="MVA53" i="9" s="1"/>
  <c r="MVB53" i="9" s="1"/>
  <c r="MVC53" i="9" s="1"/>
  <c r="MVD53" i="9" s="1"/>
  <c r="MVE53" i="9" s="1"/>
  <c r="MVF53" i="9" s="1"/>
  <c r="MVG53" i="9" s="1"/>
  <c r="MVH53" i="9" s="1"/>
  <c r="MVI53" i="9" s="1"/>
  <c r="MVJ53" i="9" s="1"/>
  <c r="MVK53" i="9" s="1"/>
  <c r="MVL53" i="9" s="1"/>
  <c r="MVM53" i="9" s="1"/>
  <c r="MVN53" i="9" s="1"/>
  <c r="MVO53" i="9" s="1"/>
  <c r="MVP53" i="9" s="1"/>
  <c r="MVQ53" i="9" s="1"/>
  <c r="MVR53" i="9" s="1"/>
  <c r="MVS53" i="9" s="1"/>
  <c r="MVT53" i="9" s="1"/>
  <c r="MVU53" i="9" s="1"/>
  <c r="MVV53" i="9" s="1"/>
  <c r="MVW53" i="9" s="1"/>
  <c r="MVX53" i="9" s="1"/>
  <c r="MVY53" i="9" s="1"/>
  <c r="MVZ53" i="9" s="1"/>
  <c r="MWA53" i="9" s="1"/>
  <c r="MWB53" i="9" s="1"/>
  <c r="MWC53" i="9" s="1"/>
  <c r="MWD53" i="9" s="1"/>
  <c r="MWE53" i="9" s="1"/>
  <c r="MWF53" i="9" s="1"/>
  <c r="MWG53" i="9" s="1"/>
  <c r="MWH53" i="9" s="1"/>
  <c r="MWI53" i="9" s="1"/>
  <c r="MWJ53" i="9" s="1"/>
  <c r="MWK53" i="9" s="1"/>
  <c r="MWL53" i="9" s="1"/>
  <c r="MWM53" i="9" s="1"/>
  <c r="MWN53" i="9" s="1"/>
  <c r="MWO53" i="9" s="1"/>
  <c r="MWP53" i="9" s="1"/>
  <c r="MWQ53" i="9" s="1"/>
  <c r="MWR53" i="9" s="1"/>
  <c r="MWS53" i="9" s="1"/>
  <c r="MWT53" i="9" s="1"/>
  <c r="MWU53" i="9" s="1"/>
  <c r="MWV53" i="9" s="1"/>
  <c r="MWW53" i="9" s="1"/>
  <c r="MWX53" i="9" s="1"/>
  <c r="MWY53" i="9" s="1"/>
  <c r="MWZ53" i="9" s="1"/>
  <c r="MXA53" i="9" s="1"/>
  <c r="MXB53" i="9" s="1"/>
  <c r="MXC53" i="9" s="1"/>
  <c r="MXD53" i="9" s="1"/>
  <c r="MXE53" i="9" s="1"/>
  <c r="MXF53" i="9" s="1"/>
  <c r="MXG53" i="9" s="1"/>
  <c r="MXH53" i="9" s="1"/>
  <c r="MXI53" i="9" s="1"/>
  <c r="MXJ53" i="9" s="1"/>
  <c r="MXK53" i="9" s="1"/>
  <c r="MXL53" i="9" s="1"/>
  <c r="MXM53" i="9" s="1"/>
  <c r="MXN53" i="9" s="1"/>
  <c r="MXO53" i="9" s="1"/>
  <c r="MXP53" i="9" s="1"/>
  <c r="MXQ53" i="9" s="1"/>
  <c r="MXR53" i="9" s="1"/>
  <c r="MXS53" i="9" s="1"/>
  <c r="MXT53" i="9" s="1"/>
  <c r="MXU53" i="9" s="1"/>
  <c r="MXV53" i="9" s="1"/>
  <c r="MXW53" i="9" s="1"/>
  <c r="MXX53" i="9" s="1"/>
  <c r="MXY53" i="9" s="1"/>
  <c r="MXZ53" i="9" s="1"/>
  <c r="MYA53" i="9" s="1"/>
  <c r="MYB53" i="9" s="1"/>
  <c r="MYC53" i="9" s="1"/>
  <c r="MYD53" i="9" s="1"/>
  <c r="MYE53" i="9" s="1"/>
  <c r="MYF53" i="9" s="1"/>
  <c r="MYG53" i="9" s="1"/>
  <c r="MYH53" i="9" s="1"/>
  <c r="MYI53" i="9" s="1"/>
  <c r="MYJ53" i="9" s="1"/>
  <c r="MYK53" i="9" s="1"/>
  <c r="MYL53" i="9" s="1"/>
  <c r="MYM53" i="9" s="1"/>
  <c r="MYN53" i="9" s="1"/>
  <c r="MYO53" i="9" s="1"/>
  <c r="MYP53" i="9" s="1"/>
  <c r="MYQ53" i="9" s="1"/>
  <c r="MYR53" i="9" s="1"/>
  <c r="MYS53" i="9" s="1"/>
  <c r="MYT53" i="9" s="1"/>
  <c r="MYU53" i="9" s="1"/>
  <c r="MYV53" i="9" s="1"/>
  <c r="MYW53" i="9" s="1"/>
  <c r="MYX53" i="9" s="1"/>
  <c r="MYY53" i="9" s="1"/>
  <c r="MYZ53" i="9" s="1"/>
  <c r="MZA53" i="9" s="1"/>
  <c r="MZB53" i="9" s="1"/>
  <c r="MZC53" i="9" s="1"/>
  <c r="MZD53" i="9" s="1"/>
  <c r="MZE53" i="9" s="1"/>
  <c r="MZF53" i="9" s="1"/>
  <c r="MZG53" i="9" s="1"/>
  <c r="MZH53" i="9" s="1"/>
  <c r="MZI53" i="9" s="1"/>
  <c r="MZJ53" i="9" s="1"/>
  <c r="MZK53" i="9" s="1"/>
  <c r="MZL53" i="9" s="1"/>
  <c r="MZM53" i="9" s="1"/>
  <c r="MZN53" i="9" s="1"/>
  <c r="MZO53" i="9" s="1"/>
  <c r="MZP53" i="9" s="1"/>
  <c r="MZQ53" i="9" s="1"/>
  <c r="MZR53" i="9" s="1"/>
  <c r="MZS53" i="9" s="1"/>
  <c r="MZT53" i="9" s="1"/>
  <c r="MZU53" i="9" s="1"/>
  <c r="MZV53" i="9" s="1"/>
  <c r="MZW53" i="9" s="1"/>
  <c r="MZX53" i="9" s="1"/>
  <c r="MZY53" i="9" s="1"/>
  <c r="MZZ53" i="9" s="1"/>
  <c r="NAA53" i="9" s="1"/>
  <c r="NAB53" i="9" s="1"/>
  <c r="NAC53" i="9" s="1"/>
  <c r="NAD53" i="9" s="1"/>
  <c r="NAE53" i="9" s="1"/>
  <c r="NAF53" i="9" s="1"/>
  <c r="NAG53" i="9" s="1"/>
  <c r="NAH53" i="9" s="1"/>
  <c r="NAI53" i="9" s="1"/>
  <c r="NAJ53" i="9" s="1"/>
  <c r="NAK53" i="9" s="1"/>
  <c r="NAL53" i="9" s="1"/>
  <c r="NAM53" i="9" s="1"/>
  <c r="NAN53" i="9" s="1"/>
  <c r="NAO53" i="9" s="1"/>
  <c r="NAP53" i="9" s="1"/>
  <c r="NAQ53" i="9" s="1"/>
  <c r="NAR53" i="9" s="1"/>
  <c r="NAS53" i="9" s="1"/>
  <c r="NAT53" i="9" s="1"/>
  <c r="NAU53" i="9" s="1"/>
  <c r="NAV53" i="9" s="1"/>
  <c r="NAW53" i="9" s="1"/>
  <c r="NAX53" i="9" s="1"/>
  <c r="NAY53" i="9" s="1"/>
  <c r="NAZ53" i="9" s="1"/>
  <c r="NBA53" i="9" s="1"/>
  <c r="NBB53" i="9" s="1"/>
  <c r="NBC53" i="9" s="1"/>
  <c r="NBD53" i="9" s="1"/>
  <c r="NBE53" i="9" s="1"/>
  <c r="NBF53" i="9" s="1"/>
  <c r="NBG53" i="9" s="1"/>
  <c r="NBH53" i="9" s="1"/>
  <c r="NBI53" i="9" s="1"/>
  <c r="NBJ53" i="9" s="1"/>
  <c r="NBK53" i="9" s="1"/>
  <c r="NBL53" i="9" s="1"/>
  <c r="NBM53" i="9" s="1"/>
  <c r="NBN53" i="9" s="1"/>
  <c r="NBO53" i="9" s="1"/>
  <c r="NBP53" i="9" s="1"/>
  <c r="NBQ53" i="9" s="1"/>
  <c r="NBR53" i="9" s="1"/>
  <c r="NBS53" i="9" s="1"/>
  <c r="NBT53" i="9" s="1"/>
  <c r="NBU53" i="9" s="1"/>
  <c r="NBV53" i="9" s="1"/>
  <c r="NBW53" i="9" s="1"/>
  <c r="NBX53" i="9" s="1"/>
  <c r="NBY53" i="9" s="1"/>
  <c r="NBZ53" i="9" s="1"/>
  <c r="NCA53" i="9" s="1"/>
  <c r="NCB53" i="9" s="1"/>
  <c r="NCC53" i="9" s="1"/>
  <c r="NCD53" i="9" s="1"/>
  <c r="NCE53" i="9" s="1"/>
  <c r="NCF53" i="9" s="1"/>
  <c r="NCG53" i="9" s="1"/>
  <c r="NCH53" i="9" s="1"/>
  <c r="NCI53" i="9" s="1"/>
  <c r="NCJ53" i="9" s="1"/>
  <c r="NCK53" i="9" s="1"/>
  <c r="NCL53" i="9" s="1"/>
  <c r="NCM53" i="9" s="1"/>
  <c r="NCN53" i="9" s="1"/>
  <c r="NCO53" i="9" s="1"/>
  <c r="NCP53" i="9" s="1"/>
  <c r="NCQ53" i="9" s="1"/>
  <c r="NCR53" i="9" s="1"/>
  <c r="NCS53" i="9" s="1"/>
  <c r="NCT53" i="9" s="1"/>
  <c r="NCU53" i="9" s="1"/>
  <c r="NCV53" i="9" s="1"/>
  <c r="NCW53" i="9" s="1"/>
  <c r="NCX53" i="9" s="1"/>
  <c r="NCY53" i="9" s="1"/>
  <c r="NCZ53" i="9" s="1"/>
  <c r="NDA53" i="9" s="1"/>
  <c r="NDB53" i="9" s="1"/>
  <c r="NDC53" i="9" s="1"/>
  <c r="NDD53" i="9" s="1"/>
  <c r="NDE53" i="9" s="1"/>
  <c r="NDF53" i="9" s="1"/>
  <c r="NDG53" i="9" s="1"/>
  <c r="NDH53" i="9" s="1"/>
  <c r="NDI53" i="9" s="1"/>
  <c r="NDJ53" i="9" s="1"/>
  <c r="NDK53" i="9" s="1"/>
  <c r="NDL53" i="9" s="1"/>
  <c r="NDM53" i="9" s="1"/>
  <c r="NDN53" i="9" s="1"/>
  <c r="NDO53" i="9" s="1"/>
  <c r="NDP53" i="9" s="1"/>
  <c r="NDQ53" i="9" s="1"/>
  <c r="NDR53" i="9" s="1"/>
  <c r="NDS53" i="9" s="1"/>
  <c r="NDT53" i="9" s="1"/>
  <c r="NDU53" i="9" s="1"/>
  <c r="NDV53" i="9" s="1"/>
  <c r="NDW53" i="9" s="1"/>
  <c r="NDX53" i="9" s="1"/>
  <c r="NDY53" i="9" s="1"/>
  <c r="NDZ53" i="9" s="1"/>
  <c r="NEA53" i="9" s="1"/>
  <c r="NEB53" i="9" s="1"/>
  <c r="NEC53" i="9" s="1"/>
  <c r="NED53" i="9" s="1"/>
  <c r="NEE53" i="9" s="1"/>
  <c r="NEF53" i="9" s="1"/>
  <c r="NEG53" i="9" s="1"/>
  <c r="NEH53" i="9" s="1"/>
  <c r="NEI53" i="9" s="1"/>
  <c r="NEJ53" i="9" s="1"/>
  <c r="NEK53" i="9" s="1"/>
  <c r="NEL53" i="9" s="1"/>
  <c r="NEM53" i="9" s="1"/>
  <c r="NEN53" i="9" s="1"/>
  <c r="NEO53" i="9" s="1"/>
  <c r="NEP53" i="9" s="1"/>
  <c r="NEQ53" i="9" s="1"/>
  <c r="NER53" i="9" s="1"/>
  <c r="NES53" i="9" s="1"/>
  <c r="NET53" i="9" s="1"/>
  <c r="NEU53" i="9" s="1"/>
  <c r="NEV53" i="9" s="1"/>
  <c r="NEW53" i="9" s="1"/>
  <c r="NEX53" i="9" s="1"/>
  <c r="NEY53" i="9" s="1"/>
  <c r="NEZ53" i="9" s="1"/>
  <c r="NFA53" i="9" s="1"/>
  <c r="NFB53" i="9" s="1"/>
  <c r="NFC53" i="9" s="1"/>
  <c r="NFD53" i="9" s="1"/>
  <c r="NFE53" i="9" s="1"/>
  <c r="NFF53" i="9" s="1"/>
  <c r="NFG53" i="9" s="1"/>
  <c r="NFH53" i="9" s="1"/>
  <c r="NFI53" i="9" s="1"/>
  <c r="NFJ53" i="9" s="1"/>
  <c r="NFK53" i="9" s="1"/>
  <c r="NFL53" i="9" s="1"/>
  <c r="NFM53" i="9" s="1"/>
  <c r="NFN53" i="9" s="1"/>
  <c r="NFO53" i="9" s="1"/>
  <c r="NFP53" i="9" s="1"/>
  <c r="NFQ53" i="9" s="1"/>
  <c r="NFR53" i="9" s="1"/>
  <c r="NFS53" i="9" s="1"/>
  <c r="NFT53" i="9" s="1"/>
  <c r="NFU53" i="9" s="1"/>
  <c r="NFV53" i="9" s="1"/>
  <c r="NFW53" i="9" s="1"/>
  <c r="NFX53" i="9" s="1"/>
  <c r="NFY53" i="9" s="1"/>
  <c r="NFZ53" i="9" s="1"/>
  <c r="NGA53" i="9" s="1"/>
  <c r="NGB53" i="9" s="1"/>
  <c r="NGC53" i="9" s="1"/>
  <c r="NGD53" i="9" s="1"/>
  <c r="NGE53" i="9" s="1"/>
  <c r="NGF53" i="9" s="1"/>
  <c r="NGG53" i="9" s="1"/>
  <c r="NGH53" i="9" s="1"/>
  <c r="NGI53" i="9" s="1"/>
  <c r="NGJ53" i="9" s="1"/>
  <c r="NGK53" i="9" s="1"/>
  <c r="NGL53" i="9" s="1"/>
  <c r="NGM53" i="9" s="1"/>
  <c r="NGN53" i="9" s="1"/>
  <c r="NGO53" i="9" s="1"/>
  <c r="NGP53" i="9" s="1"/>
  <c r="NGQ53" i="9" s="1"/>
  <c r="NGR53" i="9" s="1"/>
  <c r="NGS53" i="9" s="1"/>
  <c r="NGT53" i="9" s="1"/>
  <c r="NGU53" i="9" s="1"/>
  <c r="NGV53" i="9" s="1"/>
  <c r="NGW53" i="9" s="1"/>
  <c r="NGX53" i="9" s="1"/>
  <c r="NGY53" i="9" s="1"/>
  <c r="NGZ53" i="9" s="1"/>
  <c r="NHA53" i="9" s="1"/>
  <c r="NHB53" i="9" s="1"/>
  <c r="NHC53" i="9" s="1"/>
  <c r="NHD53" i="9" s="1"/>
  <c r="NHE53" i="9" s="1"/>
  <c r="NHF53" i="9" s="1"/>
  <c r="NHG53" i="9" s="1"/>
  <c r="NHH53" i="9" s="1"/>
  <c r="NHI53" i="9" s="1"/>
  <c r="NHJ53" i="9" s="1"/>
  <c r="NHK53" i="9" s="1"/>
  <c r="NHL53" i="9" s="1"/>
  <c r="NHM53" i="9" s="1"/>
  <c r="NHN53" i="9" s="1"/>
  <c r="NHO53" i="9" s="1"/>
  <c r="NHP53" i="9" s="1"/>
  <c r="NHQ53" i="9" s="1"/>
  <c r="NHR53" i="9" s="1"/>
  <c r="NHS53" i="9" s="1"/>
  <c r="NHT53" i="9" s="1"/>
  <c r="NHU53" i="9" s="1"/>
  <c r="NHV53" i="9" s="1"/>
  <c r="NHW53" i="9" s="1"/>
  <c r="NHX53" i="9" s="1"/>
  <c r="NHY53" i="9" s="1"/>
  <c r="NHZ53" i="9" s="1"/>
  <c r="NIA53" i="9" s="1"/>
  <c r="NIB53" i="9" s="1"/>
  <c r="NIC53" i="9" s="1"/>
  <c r="NID53" i="9" s="1"/>
  <c r="NIE53" i="9" s="1"/>
  <c r="NIF53" i="9" s="1"/>
  <c r="NIG53" i="9" s="1"/>
  <c r="NIH53" i="9" s="1"/>
  <c r="NII53" i="9" s="1"/>
  <c r="NIJ53" i="9" s="1"/>
  <c r="NIK53" i="9" s="1"/>
  <c r="NIL53" i="9" s="1"/>
  <c r="NIM53" i="9" s="1"/>
  <c r="NIN53" i="9" s="1"/>
  <c r="NIO53" i="9" s="1"/>
  <c r="NIP53" i="9" s="1"/>
  <c r="NIQ53" i="9" s="1"/>
  <c r="NIR53" i="9" s="1"/>
  <c r="NIS53" i="9" s="1"/>
  <c r="NIT53" i="9" s="1"/>
  <c r="NIU53" i="9" s="1"/>
  <c r="NIV53" i="9" s="1"/>
  <c r="NIW53" i="9" s="1"/>
  <c r="NIX53" i="9" s="1"/>
  <c r="NIY53" i="9" s="1"/>
  <c r="NIZ53" i="9" s="1"/>
  <c r="NJA53" i="9" s="1"/>
  <c r="NJB53" i="9" s="1"/>
  <c r="NJC53" i="9" s="1"/>
  <c r="NJD53" i="9" s="1"/>
  <c r="NJE53" i="9" s="1"/>
  <c r="NJF53" i="9" s="1"/>
  <c r="NJG53" i="9" s="1"/>
  <c r="NJH53" i="9" s="1"/>
  <c r="NJI53" i="9" s="1"/>
  <c r="NJJ53" i="9" s="1"/>
  <c r="NJK53" i="9" s="1"/>
  <c r="NJL53" i="9" s="1"/>
  <c r="NJM53" i="9" s="1"/>
  <c r="NJN53" i="9" s="1"/>
  <c r="NJO53" i="9" s="1"/>
  <c r="NJP53" i="9" s="1"/>
  <c r="NJQ53" i="9" s="1"/>
  <c r="NJR53" i="9" s="1"/>
  <c r="NJS53" i="9" s="1"/>
  <c r="NJT53" i="9" s="1"/>
  <c r="NJU53" i="9" s="1"/>
  <c r="NJV53" i="9" s="1"/>
  <c r="NJW53" i="9" s="1"/>
  <c r="NJX53" i="9" s="1"/>
  <c r="NJY53" i="9" s="1"/>
  <c r="NJZ53" i="9" s="1"/>
  <c r="NKA53" i="9" s="1"/>
  <c r="NKB53" i="9" s="1"/>
  <c r="NKC53" i="9" s="1"/>
  <c r="NKD53" i="9" s="1"/>
  <c r="NKE53" i="9" s="1"/>
  <c r="NKF53" i="9" s="1"/>
  <c r="NKG53" i="9" s="1"/>
  <c r="NKH53" i="9" s="1"/>
  <c r="NKI53" i="9" s="1"/>
  <c r="NKJ53" i="9" s="1"/>
  <c r="NKK53" i="9" s="1"/>
  <c r="NKL53" i="9" s="1"/>
  <c r="NKM53" i="9" s="1"/>
  <c r="NKN53" i="9" s="1"/>
  <c r="NKO53" i="9" s="1"/>
  <c r="NKP53" i="9" s="1"/>
  <c r="NKQ53" i="9" s="1"/>
  <c r="NKR53" i="9" s="1"/>
  <c r="NKS53" i="9" s="1"/>
  <c r="NKT53" i="9" s="1"/>
  <c r="NKU53" i="9" s="1"/>
  <c r="NKV53" i="9" s="1"/>
  <c r="NKW53" i="9" s="1"/>
  <c r="NKX53" i="9" s="1"/>
  <c r="NKY53" i="9" s="1"/>
  <c r="NKZ53" i="9" s="1"/>
  <c r="NLA53" i="9" s="1"/>
  <c r="NLB53" i="9" s="1"/>
  <c r="NLC53" i="9" s="1"/>
  <c r="NLD53" i="9" s="1"/>
  <c r="NLE53" i="9" s="1"/>
  <c r="NLF53" i="9" s="1"/>
  <c r="NLG53" i="9" s="1"/>
  <c r="NLH53" i="9" s="1"/>
  <c r="NLI53" i="9" s="1"/>
  <c r="NLJ53" i="9" s="1"/>
  <c r="NLK53" i="9" s="1"/>
  <c r="NLL53" i="9" s="1"/>
  <c r="NLM53" i="9" s="1"/>
  <c r="NLN53" i="9" s="1"/>
  <c r="NLO53" i="9" s="1"/>
  <c r="NLP53" i="9" s="1"/>
  <c r="NLQ53" i="9" s="1"/>
  <c r="NLR53" i="9" s="1"/>
  <c r="NLS53" i="9" s="1"/>
  <c r="NLT53" i="9" s="1"/>
  <c r="NLU53" i="9" s="1"/>
  <c r="NLV53" i="9" s="1"/>
  <c r="NLW53" i="9" s="1"/>
  <c r="NLX53" i="9" s="1"/>
  <c r="NLY53" i="9" s="1"/>
  <c r="NLZ53" i="9" s="1"/>
  <c r="NMA53" i="9" s="1"/>
  <c r="NMB53" i="9" s="1"/>
  <c r="NMC53" i="9" s="1"/>
  <c r="NMD53" i="9" s="1"/>
  <c r="NME53" i="9" s="1"/>
  <c r="NMF53" i="9" s="1"/>
  <c r="NMG53" i="9" s="1"/>
  <c r="NMH53" i="9" s="1"/>
  <c r="NMI53" i="9" s="1"/>
  <c r="NMJ53" i="9" s="1"/>
  <c r="NMK53" i="9" s="1"/>
  <c r="NML53" i="9" s="1"/>
  <c r="NMM53" i="9" s="1"/>
  <c r="NMN53" i="9" s="1"/>
  <c r="NMO53" i="9" s="1"/>
  <c r="NMP53" i="9" s="1"/>
  <c r="NMQ53" i="9" s="1"/>
  <c r="NMR53" i="9" s="1"/>
  <c r="NMS53" i="9" s="1"/>
  <c r="NMT53" i="9" s="1"/>
  <c r="NMU53" i="9" s="1"/>
  <c r="NMV53" i="9" s="1"/>
  <c r="NMW53" i="9" s="1"/>
  <c r="NMX53" i="9" s="1"/>
  <c r="NMY53" i="9" s="1"/>
  <c r="NMZ53" i="9" s="1"/>
  <c r="NNA53" i="9" s="1"/>
  <c r="NNB53" i="9" s="1"/>
  <c r="NNC53" i="9" s="1"/>
  <c r="NND53" i="9" s="1"/>
  <c r="NNE53" i="9" s="1"/>
  <c r="NNF53" i="9" s="1"/>
  <c r="NNG53" i="9" s="1"/>
  <c r="NNH53" i="9" s="1"/>
  <c r="NNI53" i="9" s="1"/>
  <c r="NNJ53" i="9" s="1"/>
  <c r="NNK53" i="9" s="1"/>
  <c r="NNL53" i="9" s="1"/>
  <c r="NNM53" i="9" s="1"/>
  <c r="NNN53" i="9" s="1"/>
  <c r="NNO53" i="9" s="1"/>
  <c r="NNP53" i="9" s="1"/>
  <c r="NNQ53" i="9" s="1"/>
  <c r="NNR53" i="9" s="1"/>
  <c r="NNS53" i="9" s="1"/>
  <c r="NNT53" i="9" s="1"/>
  <c r="NNU53" i="9" s="1"/>
  <c r="NNV53" i="9" s="1"/>
  <c r="NNW53" i="9" s="1"/>
  <c r="NNX53" i="9" s="1"/>
  <c r="NNY53" i="9" s="1"/>
  <c r="NNZ53" i="9" s="1"/>
  <c r="NOA53" i="9" s="1"/>
  <c r="NOB53" i="9" s="1"/>
  <c r="NOC53" i="9" s="1"/>
  <c r="NOD53" i="9" s="1"/>
  <c r="NOE53" i="9" s="1"/>
  <c r="NOF53" i="9" s="1"/>
  <c r="NOG53" i="9" s="1"/>
  <c r="NOH53" i="9" s="1"/>
  <c r="NOI53" i="9" s="1"/>
  <c r="NOJ53" i="9" s="1"/>
  <c r="NOK53" i="9" s="1"/>
  <c r="NOL53" i="9" s="1"/>
  <c r="NOM53" i="9" s="1"/>
  <c r="NON53" i="9" s="1"/>
  <c r="NOO53" i="9" s="1"/>
  <c r="NOP53" i="9" s="1"/>
  <c r="NOQ53" i="9" s="1"/>
  <c r="NOR53" i="9" s="1"/>
  <c r="NOS53" i="9" s="1"/>
  <c r="NOT53" i="9" s="1"/>
  <c r="NOU53" i="9" s="1"/>
  <c r="NOV53" i="9" s="1"/>
  <c r="NOW53" i="9" s="1"/>
  <c r="NOX53" i="9" s="1"/>
  <c r="NOY53" i="9" s="1"/>
  <c r="NOZ53" i="9" s="1"/>
  <c r="NPA53" i="9" s="1"/>
  <c r="NPB53" i="9" s="1"/>
  <c r="NPC53" i="9" s="1"/>
  <c r="NPD53" i="9" s="1"/>
  <c r="NPE53" i="9" s="1"/>
  <c r="NPF53" i="9" s="1"/>
  <c r="NPG53" i="9" s="1"/>
  <c r="NPH53" i="9" s="1"/>
  <c r="NPI53" i="9" s="1"/>
  <c r="NPJ53" i="9" s="1"/>
  <c r="NPK53" i="9" s="1"/>
  <c r="NPL53" i="9" s="1"/>
  <c r="NPM53" i="9" s="1"/>
  <c r="NPN53" i="9" s="1"/>
  <c r="NPO53" i="9" s="1"/>
  <c r="NPP53" i="9" s="1"/>
  <c r="NPQ53" i="9" s="1"/>
  <c r="NPR53" i="9" s="1"/>
  <c r="NPS53" i="9" s="1"/>
  <c r="NPT53" i="9" s="1"/>
  <c r="NPU53" i="9" s="1"/>
  <c r="NPV53" i="9" s="1"/>
  <c r="NPW53" i="9" s="1"/>
  <c r="NPX53" i="9" s="1"/>
  <c r="NPY53" i="9" s="1"/>
  <c r="NPZ53" i="9" s="1"/>
  <c r="NQA53" i="9" s="1"/>
  <c r="NQB53" i="9" s="1"/>
  <c r="NQC53" i="9" s="1"/>
  <c r="NQD53" i="9" s="1"/>
  <c r="NQE53" i="9" s="1"/>
  <c r="NQF53" i="9" s="1"/>
  <c r="NQG53" i="9" s="1"/>
  <c r="NQH53" i="9" s="1"/>
  <c r="NQI53" i="9" s="1"/>
  <c r="NQJ53" i="9" s="1"/>
  <c r="NQK53" i="9" s="1"/>
  <c r="NQL53" i="9" s="1"/>
  <c r="NQM53" i="9" s="1"/>
  <c r="NQN53" i="9" s="1"/>
  <c r="NQO53" i="9" s="1"/>
  <c r="NQP53" i="9" s="1"/>
  <c r="NQQ53" i="9" s="1"/>
  <c r="NQR53" i="9" s="1"/>
  <c r="NQS53" i="9" s="1"/>
  <c r="NQT53" i="9" s="1"/>
  <c r="NQU53" i="9" s="1"/>
  <c r="NQV53" i="9" s="1"/>
  <c r="NQW53" i="9" s="1"/>
  <c r="NQX53" i="9" s="1"/>
  <c r="NQY53" i="9" s="1"/>
  <c r="NQZ53" i="9" s="1"/>
  <c r="NRA53" i="9" s="1"/>
  <c r="NRB53" i="9" s="1"/>
  <c r="NRC53" i="9" s="1"/>
  <c r="NRD53" i="9" s="1"/>
  <c r="NRE53" i="9" s="1"/>
  <c r="NRF53" i="9" s="1"/>
  <c r="NRG53" i="9" s="1"/>
  <c r="NRH53" i="9" s="1"/>
  <c r="NRI53" i="9" s="1"/>
  <c r="NRJ53" i="9" s="1"/>
  <c r="NRK53" i="9" s="1"/>
  <c r="NRL53" i="9" s="1"/>
  <c r="NRM53" i="9" s="1"/>
  <c r="NRN53" i="9" s="1"/>
  <c r="NRO53" i="9" s="1"/>
  <c r="NRP53" i="9" s="1"/>
  <c r="NRQ53" i="9" s="1"/>
  <c r="NRR53" i="9" s="1"/>
  <c r="NRS53" i="9" s="1"/>
  <c r="NRT53" i="9" s="1"/>
  <c r="NRU53" i="9" s="1"/>
  <c r="NRV53" i="9" s="1"/>
  <c r="NRW53" i="9" s="1"/>
  <c r="NRX53" i="9" s="1"/>
  <c r="NRY53" i="9" s="1"/>
  <c r="NRZ53" i="9" s="1"/>
  <c r="NSA53" i="9" s="1"/>
  <c r="NSB53" i="9" s="1"/>
  <c r="NSC53" i="9" s="1"/>
  <c r="NSD53" i="9" s="1"/>
  <c r="NSE53" i="9" s="1"/>
  <c r="NSF53" i="9" s="1"/>
  <c r="NSG53" i="9" s="1"/>
  <c r="NSH53" i="9" s="1"/>
  <c r="NSI53" i="9" s="1"/>
  <c r="NSJ53" i="9" s="1"/>
  <c r="NSK53" i="9" s="1"/>
  <c r="NSL53" i="9" s="1"/>
  <c r="NSM53" i="9" s="1"/>
  <c r="NSN53" i="9" s="1"/>
  <c r="NSO53" i="9" s="1"/>
  <c r="NSP53" i="9" s="1"/>
  <c r="NSQ53" i="9" s="1"/>
  <c r="NSR53" i="9" s="1"/>
  <c r="NSS53" i="9" s="1"/>
  <c r="NST53" i="9" s="1"/>
  <c r="NSU53" i="9" s="1"/>
  <c r="NSV53" i="9" s="1"/>
  <c r="NSW53" i="9" s="1"/>
  <c r="NSX53" i="9" s="1"/>
  <c r="NSY53" i="9" s="1"/>
  <c r="NSZ53" i="9" s="1"/>
  <c r="NTA53" i="9" s="1"/>
  <c r="NTB53" i="9" s="1"/>
  <c r="NTC53" i="9" s="1"/>
  <c r="NTD53" i="9" s="1"/>
  <c r="NTE53" i="9" s="1"/>
  <c r="NTF53" i="9" s="1"/>
  <c r="NTG53" i="9" s="1"/>
  <c r="NTH53" i="9" s="1"/>
  <c r="NTI53" i="9" s="1"/>
  <c r="NTJ53" i="9" s="1"/>
  <c r="NTK53" i="9" s="1"/>
  <c r="NTL53" i="9" s="1"/>
  <c r="NTM53" i="9" s="1"/>
  <c r="NTN53" i="9" s="1"/>
  <c r="NTO53" i="9" s="1"/>
  <c r="NTP53" i="9" s="1"/>
  <c r="NTQ53" i="9" s="1"/>
  <c r="NTR53" i="9" s="1"/>
  <c r="NTS53" i="9" s="1"/>
  <c r="NTT53" i="9" s="1"/>
  <c r="NTU53" i="9" s="1"/>
  <c r="NTV53" i="9" s="1"/>
  <c r="NTW53" i="9" s="1"/>
  <c r="NTX53" i="9" s="1"/>
  <c r="NTY53" i="9" s="1"/>
  <c r="NTZ53" i="9" s="1"/>
  <c r="NUA53" i="9" s="1"/>
  <c r="NUB53" i="9" s="1"/>
  <c r="NUC53" i="9" s="1"/>
  <c r="NUD53" i="9" s="1"/>
  <c r="NUE53" i="9" s="1"/>
  <c r="NUF53" i="9" s="1"/>
  <c r="NUG53" i="9" s="1"/>
  <c r="NUH53" i="9" s="1"/>
  <c r="NUI53" i="9" s="1"/>
  <c r="NUJ53" i="9" s="1"/>
  <c r="NUK53" i="9" s="1"/>
  <c r="NUL53" i="9" s="1"/>
  <c r="NUM53" i="9" s="1"/>
  <c r="NUN53" i="9" s="1"/>
  <c r="NUO53" i="9" s="1"/>
  <c r="NUP53" i="9" s="1"/>
  <c r="NUQ53" i="9" s="1"/>
  <c r="NUR53" i="9" s="1"/>
  <c r="NUS53" i="9" s="1"/>
  <c r="NUT53" i="9" s="1"/>
  <c r="NUU53" i="9" s="1"/>
  <c r="NUV53" i="9" s="1"/>
  <c r="NUW53" i="9" s="1"/>
  <c r="NUX53" i="9" s="1"/>
  <c r="NUY53" i="9" s="1"/>
  <c r="NUZ53" i="9" s="1"/>
  <c r="NVA53" i="9" s="1"/>
  <c r="NVB53" i="9" s="1"/>
  <c r="NVC53" i="9" s="1"/>
  <c r="NVD53" i="9" s="1"/>
  <c r="NVE53" i="9" s="1"/>
  <c r="NVF53" i="9" s="1"/>
  <c r="NVG53" i="9" s="1"/>
  <c r="NVH53" i="9" s="1"/>
  <c r="NVI53" i="9" s="1"/>
  <c r="NVJ53" i="9" s="1"/>
  <c r="NVK53" i="9" s="1"/>
  <c r="NVL53" i="9" s="1"/>
  <c r="NVM53" i="9" s="1"/>
  <c r="NVN53" i="9" s="1"/>
  <c r="NVO53" i="9" s="1"/>
  <c r="NVP53" i="9" s="1"/>
  <c r="NVQ53" i="9" s="1"/>
  <c r="NVR53" i="9" s="1"/>
  <c r="NVS53" i="9" s="1"/>
  <c r="NVT53" i="9" s="1"/>
  <c r="NVU53" i="9" s="1"/>
  <c r="NVV53" i="9" s="1"/>
  <c r="NVW53" i="9" s="1"/>
  <c r="NVX53" i="9" s="1"/>
  <c r="NVY53" i="9" s="1"/>
  <c r="NVZ53" i="9" s="1"/>
  <c r="NWA53" i="9" s="1"/>
  <c r="NWB53" i="9" s="1"/>
  <c r="NWC53" i="9" s="1"/>
  <c r="NWD53" i="9" s="1"/>
  <c r="NWE53" i="9" s="1"/>
  <c r="NWF53" i="9" s="1"/>
  <c r="NWG53" i="9" s="1"/>
  <c r="NWH53" i="9" s="1"/>
  <c r="NWI53" i="9" s="1"/>
  <c r="NWJ53" i="9" s="1"/>
  <c r="NWK53" i="9" s="1"/>
  <c r="NWL53" i="9" s="1"/>
  <c r="NWM53" i="9" s="1"/>
  <c r="NWN53" i="9" s="1"/>
  <c r="NWO53" i="9" s="1"/>
  <c r="NWP53" i="9" s="1"/>
  <c r="NWQ53" i="9" s="1"/>
  <c r="NWR53" i="9" s="1"/>
  <c r="NWS53" i="9" s="1"/>
  <c r="NWT53" i="9" s="1"/>
  <c r="NWU53" i="9" s="1"/>
  <c r="NWV53" i="9" s="1"/>
  <c r="NWW53" i="9" s="1"/>
  <c r="NWX53" i="9" s="1"/>
  <c r="NWY53" i="9" s="1"/>
  <c r="NWZ53" i="9" s="1"/>
  <c r="NXA53" i="9" s="1"/>
  <c r="NXB53" i="9" s="1"/>
  <c r="NXC53" i="9" s="1"/>
  <c r="NXD53" i="9" s="1"/>
  <c r="NXE53" i="9" s="1"/>
  <c r="NXF53" i="9" s="1"/>
  <c r="NXG53" i="9" s="1"/>
  <c r="NXH53" i="9" s="1"/>
  <c r="NXI53" i="9" s="1"/>
  <c r="NXJ53" i="9" s="1"/>
  <c r="NXK53" i="9" s="1"/>
  <c r="NXL53" i="9" s="1"/>
  <c r="NXM53" i="9" s="1"/>
  <c r="NXN53" i="9" s="1"/>
  <c r="NXO53" i="9" s="1"/>
  <c r="NXP53" i="9" s="1"/>
  <c r="NXQ53" i="9" s="1"/>
  <c r="NXR53" i="9" s="1"/>
  <c r="NXS53" i="9" s="1"/>
  <c r="NXT53" i="9" s="1"/>
  <c r="NXU53" i="9" s="1"/>
  <c r="NXV53" i="9" s="1"/>
  <c r="NXW53" i="9" s="1"/>
  <c r="NXX53" i="9" s="1"/>
  <c r="NXY53" i="9" s="1"/>
  <c r="NXZ53" i="9" s="1"/>
  <c r="NYA53" i="9" s="1"/>
  <c r="NYB53" i="9" s="1"/>
  <c r="NYC53" i="9" s="1"/>
  <c r="NYD53" i="9" s="1"/>
  <c r="NYE53" i="9" s="1"/>
  <c r="NYF53" i="9" s="1"/>
  <c r="NYG53" i="9" s="1"/>
  <c r="NYH53" i="9" s="1"/>
  <c r="NYI53" i="9" s="1"/>
  <c r="NYJ53" i="9" s="1"/>
  <c r="NYK53" i="9" s="1"/>
  <c r="NYL53" i="9" s="1"/>
  <c r="NYM53" i="9" s="1"/>
  <c r="NYN53" i="9" s="1"/>
  <c r="NYO53" i="9" s="1"/>
  <c r="NYP53" i="9" s="1"/>
  <c r="NYQ53" i="9" s="1"/>
  <c r="NYR53" i="9" s="1"/>
  <c r="NYS53" i="9" s="1"/>
  <c r="NYT53" i="9" s="1"/>
  <c r="NYU53" i="9" s="1"/>
  <c r="NYV53" i="9" s="1"/>
  <c r="NYW53" i="9" s="1"/>
  <c r="NYX53" i="9" s="1"/>
  <c r="NYY53" i="9" s="1"/>
  <c r="NYZ53" i="9" s="1"/>
  <c r="NZA53" i="9" s="1"/>
  <c r="NZB53" i="9" s="1"/>
  <c r="NZC53" i="9" s="1"/>
  <c r="NZD53" i="9" s="1"/>
  <c r="NZE53" i="9" s="1"/>
  <c r="NZF53" i="9" s="1"/>
  <c r="NZG53" i="9" s="1"/>
  <c r="NZH53" i="9" s="1"/>
  <c r="NZI53" i="9" s="1"/>
  <c r="NZJ53" i="9" s="1"/>
  <c r="NZK53" i="9" s="1"/>
  <c r="NZL53" i="9" s="1"/>
  <c r="NZM53" i="9" s="1"/>
  <c r="NZN53" i="9" s="1"/>
  <c r="NZO53" i="9" s="1"/>
  <c r="NZP53" i="9" s="1"/>
  <c r="NZQ53" i="9" s="1"/>
  <c r="NZR53" i="9" s="1"/>
  <c r="NZS53" i="9" s="1"/>
  <c r="NZT53" i="9" s="1"/>
  <c r="NZU53" i="9" s="1"/>
  <c r="NZV53" i="9" s="1"/>
  <c r="NZW53" i="9" s="1"/>
  <c r="NZX53" i="9" s="1"/>
  <c r="NZY53" i="9" s="1"/>
  <c r="NZZ53" i="9" s="1"/>
  <c r="OAA53" i="9" s="1"/>
  <c r="OAB53" i="9" s="1"/>
  <c r="OAC53" i="9" s="1"/>
  <c r="OAD53" i="9" s="1"/>
  <c r="OAE53" i="9" s="1"/>
  <c r="OAF53" i="9" s="1"/>
  <c r="OAG53" i="9" s="1"/>
  <c r="OAH53" i="9" s="1"/>
  <c r="OAI53" i="9" s="1"/>
  <c r="OAJ53" i="9" s="1"/>
  <c r="OAK53" i="9" s="1"/>
  <c r="OAL53" i="9" s="1"/>
  <c r="OAM53" i="9" s="1"/>
  <c r="OAN53" i="9" s="1"/>
  <c r="OAO53" i="9" s="1"/>
  <c r="OAP53" i="9" s="1"/>
  <c r="OAQ53" i="9" s="1"/>
  <c r="OAR53" i="9" s="1"/>
  <c r="OAS53" i="9" s="1"/>
  <c r="OAT53" i="9" s="1"/>
  <c r="OAU53" i="9" s="1"/>
  <c r="OAV53" i="9" s="1"/>
  <c r="OAW53" i="9" s="1"/>
  <c r="OAX53" i="9" s="1"/>
  <c r="OAY53" i="9" s="1"/>
  <c r="OAZ53" i="9" s="1"/>
  <c r="OBA53" i="9" s="1"/>
  <c r="OBB53" i="9" s="1"/>
  <c r="OBC53" i="9" s="1"/>
  <c r="OBD53" i="9" s="1"/>
  <c r="OBE53" i="9" s="1"/>
  <c r="OBF53" i="9" s="1"/>
  <c r="OBG53" i="9" s="1"/>
  <c r="OBH53" i="9" s="1"/>
  <c r="OBI53" i="9" s="1"/>
  <c r="OBJ53" i="9" s="1"/>
  <c r="OBK53" i="9" s="1"/>
  <c r="OBL53" i="9" s="1"/>
  <c r="OBM53" i="9" s="1"/>
  <c r="OBN53" i="9" s="1"/>
  <c r="OBO53" i="9" s="1"/>
  <c r="OBP53" i="9" s="1"/>
  <c r="OBQ53" i="9" s="1"/>
  <c r="OBR53" i="9" s="1"/>
  <c r="OBS53" i="9" s="1"/>
  <c r="OBT53" i="9" s="1"/>
  <c r="OBU53" i="9" s="1"/>
  <c r="OBV53" i="9" s="1"/>
  <c r="OBW53" i="9" s="1"/>
  <c r="OBX53" i="9" s="1"/>
  <c r="OBY53" i="9" s="1"/>
  <c r="OBZ53" i="9" s="1"/>
  <c r="OCA53" i="9" s="1"/>
  <c r="OCB53" i="9" s="1"/>
  <c r="OCC53" i="9" s="1"/>
  <c r="OCD53" i="9" s="1"/>
  <c r="OCE53" i="9" s="1"/>
  <c r="OCF53" i="9" s="1"/>
  <c r="OCG53" i="9" s="1"/>
  <c r="OCH53" i="9" s="1"/>
  <c r="OCI53" i="9" s="1"/>
  <c r="OCJ53" i="9" s="1"/>
  <c r="OCK53" i="9" s="1"/>
  <c r="OCL53" i="9" s="1"/>
  <c r="OCM53" i="9" s="1"/>
  <c r="OCN53" i="9" s="1"/>
  <c r="OCO53" i="9" s="1"/>
  <c r="OCP53" i="9" s="1"/>
  <c r="OCQ53" i="9" s="1"/>
  <c r="OCR53" i="9" s="1"/>
  <c r="OCS53" i="9" s="1"/>
  <c r="OCT53" i="9" s="1"/>
  <c r="OCU53" i="9" s="1"/>
  <c r="OCV53" i="9" s="1"/>
  <c r="OCW53" i="9" s="1"/>
  <c r="OCX53" i="9" s="1"/>
  <c r="OCY53" i="9" s="1"/>
  <c r="OCZ53" i="9" s="1"/>
  <c r="ODA53" i="9" s="1"/>
  <c r="ODB53" i="9" s="1"/>
  <c r="ODC53" i="9" s="1"/>
  <c r="ODD53" i="9" s="1"/>
  <c r="ODE53" i="9" s="1"/>
  <c r="ODF53" i="9" s="1"/>
  <c r="ODG53" i="9" s="1"/>
  <c r="ODH53" i="9" s="1"/>
  <c r="ODI53" i="9" s="1"/>
  <c r="ODJ53" i="9" s="1"/>
  <c r="ODK53" i="9" s="1"/>
  <c r="ODL53" i="9" s="1"/>
  <c r="ODM53" i="9" s="1"/>
  <c r="ODN53" i="9" s="1"/>
  <c r="ODO53" i="9" s="1"/>
  <c r="ODP53" i="9" s="1"/>
  <c r="ODQ53" i="9" s="1"/>
  <c r="ODR53" i="9" s="1"/>
  <c r="ODS53" i="9" s="1"/>
  <c r="ODT53" i="9" s="1"/>
  <c r="ODU53" i="9" s="1"/>
  <c r="ODV53" i="9" s="1"/>
  <c r="ODW53" i="9" s="1"/>
  <c r="ODX53" i="9" s="1"/>
  <c r="ODY53" i="9" s="1"/>
  <c r="ODZ53" i="9" s="1"/>
  <c r="OEA53" i="9" s="1"/>
  <c r="OEB53" i="9" s="1"/>
  <c r="OEC53" i="9" s="1"/>
  <c r="OED53" i="9" s="1"/>
  <c r="OEE53" i="9" s="1"/>
  <c r="OEF53" i="9" s="1"/>
  <c r="OEG53" i="9" s="1"/>
  <c r="OEH53" i="9" s="1"/>
  <c r="OEI53" i="9" s="1"/>
  <c r="OEJ53" i="9" s="1"/>
  <c r="OEK53" i="9" s="1"/>
  <c r="OEL53" i="9" s="1"/>
  <c r="OEM53" i="9" s="1"/>
  <c r="OEN53" i="9" s="1"/>
  <c r="OEO53" i="9" s="1"/>
  <c r="OEP53" i="9" s="1"/>
  <c r="OEQ53" i="9" s="1"/>
  <c r="OER53" i="9" s="1"/>
  <c r="OES53" i="9" s="1"/>
  <c r="OET53" i="9" s="1"/>
  <c r="OEU53" i="9" s="1"/>
  <c r="OEV53" i="9" s="1"/>
  <c r="OEW53" i="9" s="1"/>
  <c r="OEX53" i="9" s="1"/>
  <c r="OEY53" i="9" s="1"/>
  <c r="OEZ53" i="9" s="1"/>
  <c r="OFA53" i="9" s="1"/>
  <c r="OFB53" i="9" s="1"/>
  <c r="OFC53" i="9" s="1"/>
  <c r="OFD53" i="9" s="1"/>
  <c r="OFE53" i="9" s="1"/>
  <c r="OFF53" i="9" s="1"/>
  <c r="OFG53" i="9" s="1"/>
  <c r="OFH53" i="9" s="1"/>
  <c r="OFI53" i="9" s="1"/>
  <c r="OFJ53" i="9" s="1"/>
  <c r="OFK53" i="9" s="1"/>
  <c r="OFL53" i="9" s="1"/>
  <c r="OFM53" i="9" s="1"/>
  <c r="OFN53" i="9" s="1"/>
  <c r="OFO53" i="9" s="1"/>
  <c r="OFP53" i="9" s="1"/>
  <c r="OFQ53" i="9" s="1"/>
  <c r="OFR53" i="9" s="1"/>
  <c r="OFS53" i="9" s="1"/>
  <c r="OFT53" i="9" s="1"/>
  <c r="OFU53" i="9" s="1"/>
  <c r="OFV53" i="9" s="1"/>
  <c r="OFW53" i="9" s="1"/>
  <c r="OFX53" i="9" s="1"/>
  <c r="OFY53" i="9" s="1"/>
  <c r="OFZ53" i="9" s="1"/>
  <c r="OGA53" i="9" s="1"/>
  <c r="OGB53" i="9" s="1"/>
  <c r="OGC53" i="9" s="1"/>
  <c r="OGD53" i="9" s="1"/>
  <c r="OGE53" i="9" s="1"/>
  <c r="OGF53" i="9" s="1"/>
  <c r="OGG53" i="9" s="1"/>
  <c r="OGH53" i="9" s="1"/>
  <c r="OGI53" i="9" s="1"/>
  <c r="OGJ53" i="9" s="1"/>
  <c r="OGK53" i="9" s="1"/>
  <c r="OGL53" i="9" s="1"/>
  <c r="OGM53" i="9" s="1"/>
  <c r="OGN53" i="9" s="1"/>
  <c r="OGO53" i="9" s="1"/>
  <c r="OGP53" i="9" s="1"/>
  <c r="OGQ53" i="9" s="1"/>
  <c r="OGR53" i="9" s="1"/>
  <c r="OGS53" i="9" s="1"/>
  <c r="OGT53" i="9" s="1"/>
  <c r="OGU53" i="9" s="1"/>
  <c r="OGV53" i="9" s="1"/>
  <c r="OGW53" i="9" s="1"/>
  <c r="OGX53" i="9" s="1"/>
  <c r="OGY53" i="9" s="1"/>
  <c r="OGZ53" i="9" s="1"/>
  <c r="OHA53" i="9" s="1"/>
  <c r="OHB53" i="9" s="1"/>
  <c r="OHC53" i="9" s="1"/>
  <c r="OHD53" i="9" s="1"/>
  <c r="OHE53" i="9" s="1"/>
  <c r="OHF53" i="9" s="1"/>
  <c r="OHG53" i="9" s="1"/>
  <c r="OHH53" i="9" s="1"/>
  <c r="OHI53" i="9" s="1"/>
  <c r="OHJ53" i="9" s="1"/>
  <c r="OHK53" i="9" s="1"/>
  <c r="OHL53" i="9" s="1"/>
  <c r="OHM53" i="9" s="1"/>
  <c r="OHN53" i="9" s="1"/>
  <c r="OHO53" i="9" s="1"/>
  <c r="OHP53" i="9" s="1"/>
  <c r="OHQ53" i="9" s="1"/>
  <c r="OHR53" i="9" s="1"/>
  <c r="OHS53" i="9" s="1"/>
  <c r="OHT53" i="9" s="1"/>
  <c r="OHU53" i="9" s="1"/>
  <c r="OHV53" i="9" s="1"/>
  <c r="OHW53" i="9" s="1"/>
  <c r="OHX53" i="9" s="1"/>
  <c r="OHY53" i="9" s="1"/>
  <c r="OHZ53" i="9" s="1"/>
  <c r="OIA53" i="9" s="1"/>
  <c r="OIB53" i="9" s="1"/>
  <c r="OIC53" i="9" s="1"/>
  <c r="OID53" i="9" s="1"/>
  <c r="OIE53" i="9" s="1"/>
  <c r="OIF53" i="9" s="1"/>
  <c r="OIG53" i="9" s="1"/>
  <c r="OIH53" i="9" s="1"/>
  <c r="OII53" i="9" s="1"/>
  <c r="OIJ53" i="9" s="1"/>
  <c r="OIK53" i="9" s="1"/>
  <c r="OIL53" i="9" s="1"/>
  <c r="OIM53" i="9" s="1"/>
  <c r="OIN53" i="9" s="1"/>
  <c r="OIO53" i="9" s="1"/>
  <c r="OIP53" i="9" s="1"/>
  <c r="OIQ53" i="9" s="1"/>
  <c r="OIR53" i="9" s="1"/>
  <c r="OIS53" i="9" s="1"/>
  <c r="OIT53" i="9" s="1"/>
  <c r="OIU53" i="9" s="1"/>
  <c r="OIV53" i="9" s="1"/>
  <c r="OIW53" i="9" s="1"/>
  <c r="OIX53" i="9" s="1"/>
  <c r="OIY53" i="9" s="1"/>
  <c r="OIZ53" i="9" s="1"/>
  <c r="OJA53" i="9" s="1"/>
  <c r="OJB53" i="9" s="1"/>
  <c r="OJC53" i="9" s="1"/>
  <c r="OJD53" i="9" s="1"/>
  <c r="OJE53" i="9" s="1"/>
  <c r="OJF53" i="9" s="1"/>
  <c r="OJG53" i="9" s="1"/>
  <c r="OJH53" i="9" s="1"/>
  <c r="OJI53" i="9" s="1"/>
  <c r="OJJ53" i="9" s="1"/>
  <c r="OJK53" i="9" s="1"/>
  <c r="OJL53" i="9" s="1"/>
  <c r="OJM53" i="9" s="1"/>
  <c r="OJN53" i="9" s="1"/>
  <c r="OJO53" i="9" s="1"/>
  <c r="OJP53" i="9" s="1"/>
  <c r="OJQ53" i="9" s="1"/>
  <c r="OJR53" i="9" s="1"/>
  <c r="OJS53" i="9" s="1"/>
  <c r="OJT53" i="9" s="1"/>
  <c r="OJU53" i="9" s="1"/>
  <c r="OJV53" i="9" s="1"/>
  <c r="OJW53" i="9" s="1"/>
  <c r="OJX53" i="9" s="1"/>
  <c r="OJY53" i="9" s="1"/>
  <c r="OJZ53" i="9" s="1"/>
  <c r="OKA53" i="9" s="1"/>
  <c r="OKB53" i="9" s="1"/>
  <c r="OKC53" i="9" s="1"/>
  <c r="OKD53" i="9" s="1"/>
  <c r="OKE53" i="9" s="1"/>
  <c r="OKF53" i="9" s="1"/>
  <c r="OKG53" i="9" s="1"/>
  <c r="OKH53" i="9" s="1"/>
  <c r="OKI53" i="9" s="1"/>
  <c r="OKJ53" i="9" s="1"/>
  <c r="OKK53" i="9" s="1"/>
  <c r="OKL53" i="9" s="1"/>
  <c r="OKM53" i="9" s="1"/>
  <c r="OKN53" i="9" s="1"/>
  <c r="OKO53" i="9" s="1"/>
  <c r="OKP53" i="9" s="1"/>
  <c r="OKQ53" i="9" s="1"/>
  <c r="OKR53" i="9" s="1"/>
  <c r="OKS53" i="9" s="1"/>
  <c r="OKT53" i="9" s="1"/>
  <c r="OKU53" i="9" s="1"/>
  <c r="OKV53" i="9" s="1"/>
  <c r="OKW53" i="9" s="1"/>
  <c r="OKX53" i="9" s="1"/>
  <c r="OKY53" i="9" s="1"/>
  <c r="OKZ53" i="9" s="1"/>
  <c r="OLA53" i="9" s="1"/>
  <c r="OLB53" i="9" s="1"/>
  <c r="OLC53" i="9" s="1"/>
  <c r="OLD53" i="9" s="1"/>
  <c r="OLE53" i="9" s="1"/>
  <c r="OLF53" i="9" s="1"/>
  <c r="OLG53" i="9" s="1"/>
  <c r="OLH53" i="9" s="1"/>
  <c r="OLI53" i="9" s="1"/>
  <c r="OLJ53" i="9" s="1"/>
  <c r="OLK53" i="9" s="1"/>
  <c r="OLL53" i="9" s="1"/>
  <c r="OLM53" i="9" s="1"/>
  <c r="OLN53" i="9" s="1"/>
  <c r="OLO53" i="9" s="1"/>
  <c r="OLP53" i="9" s="1"/>
  <c r="OLQ53" i="9" s="1"/>
  <c r="OLR53" i="9" s="1"/>
  <c r="OLS53" i="9" s="1"/>
  <c r="OLT53" i="9" s="1"/>
  <c r="OLU53" i="9" s="1"/>
  <c r="OLV53" i="9" s="1"/>
  <c r="OLW53" i="9" s="1"/>
  <c r="OLX53" i="9" s="1"/>
  <c r="OLY53" i="9" s="1"/>
  <c r="OLZ53" i="9" s="1"/>
  <c r="OMA53" i="9" s="1"/>
  <c r="OMB53" i="9" s="1"/>
  <c r="OMC53" i="9" s="1"/>
  <c r="OMD53" i="9" s="1"/>
  <c r="OME53" i="9" s="1"/>
  <c r="OMF53" i="9" s="1"/>
  <c r="OMG53" i="9" s="1"/>
  <c r="OMH53" i="9" s="1"/>
  <c r="OMI53" i="9" s="1"/>
  <c r="OMJ53" i="9" s="1"/>
  <c r="OMK53" i="9" s="1"/>
  <c r="OML53" i="9" s="1"/>
  <c r="OMM53" i="9" s="1"/>
  <c r="OMN53" i="9" s="1"/>
  <c r="OMO53" i="9" s="1"/>
  <c r="OMP53" i="9" s="1"/>
  <c r="OMQ53" i="9" s="1"/>
  <c r="OMR53" i="9" s="1"/>
  <c r="OMS53" i="9" s="1"/>
  <c r="OMT53" i="9" s="1"/>
  <c r="OMU53" i="9" s="1"/>
  <c r="OMV53" i="9" s="1"/>
  <c r="OMW53" i="9" s="1"/>
  <c r="OMX53" i="9" s="1"/>
  <c r="OMY53" i="9" s="1"/>
  <c r="OMZ53" i="9" s="1"/>
  <c r="ONA53" i="9" s="1"/>
  <c r="ONB53" i="9" s="1"/>
  <c r="ONC53" i="9" s="1"/>
  <c r="OND53" i="9" s="1"/>
  <c r="ONE53" i="9" s="1"/>
  <c r="ONF53" i="9" s="1"/>
  <c r="ONG53" i="9" s="1"/>
  <c r="ONH53" i="9" s="1"/>
  <c r="ONI53" i="9" s="1"/>
  <c r="ONJ53" i="9" s="1"/>
  <c r="ONK53" i="9" s="1"/>
  <c r="ONL53" i="9" s="1"/>
  <c r="ONM53" i="9" s="1"/>
  <c r="ONN53" i="9" s="1"/>
  <c r="ONO53" i="9" s="1"/>
  <c r="ONP53" i="9" s="1"/>
  <c r="ONQ53" i="9" s="1"/>
  <c r="ONR53" i="9" s="1"/>
  <c r="ONS53" i="9" s="1"/>
  <c r="ONT53" i="9" s="1"/>
  <c r="ONU53" i="9" s="1"/>
  <c r="ONV53" i="9" s="1"/>
  <c r="ONW53" i="9" s="1"/>
  <c r="ONX53" i="9" s="1"/>
  <c r="ONY53" i="9" s="1"/>
  <c r="ONZ53" i="9" s="1"/>
  <c r="OOA53" i="9" s="1"/>
  <c r="OOB53" i="9" s="1"/>
  <c r="OOC53" i="9" s="1"/>
  <c r="OOD53" i="9" s="1"/>
  <c r="OOE53" i="9" s="1"/>
  <c r="OOF53" i="9" s="1"/>
  <c r="OOG53" i="9" s="1"/>
  <c r="OOH53" i="9" s="1"/>
  <c r="OOI53" i="9" s="1"/>
  <c r="OOJ53" i="9" s="1"/>
  <c r="OOK53" i="9" s="1"/>
  <c r="OOL53" i="9" s="1"/>
  <c r="OOM53" i="9" s="1"/>
  <c r="OON53" i="9" s="1"/>
  <c r="OOO53" i="9" s="1"/>
  <c r="OOP53" i="9" s="1"/>
  <c r="OOQ53" i="9" s="1"/>
  <c r="OOR53" i="9" s="1"/>
  <c r="OOS53" i="9" s="1"/>
  <c r="OOT53" i="9" s="1"/>
  <c r="OOU53" i="9" s="1"/>
  <c r="OOV53" i="9" s="1"/>
  <c r="OOW53" i="9" s="1"/>
  <c r="OOX53" i="9" s="1"/>
  <c r="OOY53" i="9" s="1"/>
  <c r="OOZ53" i="9" s="1"/>
  <c r="OPA53" i="9" s="1"/>
  <c r="OPB53" i="9" s="1"/>
  <c r="OPC53" i="9" s="1"/>
  <c r="OPD53" i="9" s="1"/>
  <c r="OPE53" i="9" s="1"/>
  <c r="OPF53" i="9" s="1"/>
  <c r="OPG53" i="9" s="1"/>
  <c r="OPH53" i="9" s="1"/>
  <c r="OPI53" i="9" s="1"/>
  <c r="OPJ53" i="9" s="1"/>
  <c r="OPK53" i="9" s="1"/>
  <c r="OPL53" i="9" s="1"/>
  <c r="OPM53" i="9" s="1"/>
  <c r="OPN53" i="9" s="1"/>
  <c r="OPO53" i="9" s="1"/>
  <c r="OPP53" i="9" s="1"/>
  <c r="OPQ53" i="9" s="1"/>
  <c r="OPR53" i="9" s="1"/>
  <c r="OPS53" i="9" s="1"/>
  <c r="OPT53" i="9" s="1"/>
  <c r="OPU53" i="9" s="1"/>
  <c r="OPV53" i="9" s="1"/>
  <c r="OPW53" i="9" s="1"/>
  <c r="OPX53" i="9" s="1"/>
  <c r="OPY53" i="9" s="1"/>
  <c r="OPZ53" i="9" s="1"/>
  <c r="OQA53" i="9" s="1"/>
  <c r="OQB53" i="9" s="1"/>
  <c r="OQC53" i="9" s="1"/>
  <c r="OQD53" i="9" s="1"/>
  <c r="OQE53" i="9" s="1"/>
  <c r="OQF53" i="9" s="1"/>
  <c r="OQG53" i="9" s="1"/>
  <c r="OQH53" i="9" s="1"/>
  <c r="OQI53" i="9" s="1"/>
  <c r="OQJ53" i="9" s="1"/>
  <c r="OQK53" i="9" s="1"/>
  <c r="OQL53" i="9" s="1"/>
  <c r="OQM53" i="9" s="1"/>
  <c r="OQN53" i="9" s="1"/>
  <c r="OQO53" i="9" s="1"/>
  <c r="OQP53" i="9" s="1"/>
  <c r="OQQ53" i="9" s="1"/>
  <c r="OQR53" i="9" s="1"/>
  <c r="OQS53" i="9" s="1"/>
  <c r="OQT53" i="9" s="1"/>
  <c r="OQU53" i="9" s="1"/>
  <c r="OQV53" i="9" s="1"/>
  <c r="OQW53" i="9" s="1"/>
  <c r="OQX53" i="9" s="1"/>
  <c r="OQY53" i="9" s="1"/>
  <c r="OQZ53" i="9" s="1"/>
  <c r="ORA53" i="9" s="1"/>
  <c r="ORB53" i="9" s="1"/>
  <c r="ORC53" i="9" s="1"/>
  <c r="ORD53" i="9" s="1"/>
  <c r="ORE53" i="9" s="1"/>
  <c r="ORF53" i="9" s="1"/>
  <c r="ORG53" i="9" s="1"/>
  <c r="ORH53" i="9" s="1"/>
  <c r="ORI53" i="9" s="1"/>
  <c r="ORJ53" i="9" s="1"/>
  <c r="ORK53" i="9" s="1"/>
  <c r="ORL53" i="9" s="1"/>
  <c r="ORM53" i="9" s="1"/>
  <c r="ORN53" i="9" s="1"/>
  <c r="ORO53" i="9" s="1"/>
  <c r="ORP53" i="9" s="1"/>
  <c r="ORQ53" i="9" s="1"/>
  <c r="ORR53" i="9" s="1"/>
  <c r="ORS53" i="9" s="1"/>
  <c r="ORT53" i="9" s="1"/>
  <c r="ORU53" i="9" s="1"/>
  <c r="ORV53" i="9" s="1"/>
  <c r="ORW53" i="9" s="1"/>
  <c r="ORX53" i="9" s="1"/>
  <c r="ORY53" i="9" s="1"/>
  <c r="ORZ53" i="9" s="1"/>
  <c r="OSA53" i="9" s="1"/>
  <c r="OSB53" i="9" s="1"/>
  <c r="OSC53" i="9" s="1"/>
  <c r="OSD53" i="9" s="1"/>
  <c r="OSE53" i="9" s="1"/>
  <c r="OSF53" i="9" s="1"/>
  <c r="OSG53" i="9" s="1"/>
  <c r="OSH53" i="9" s="1"/>
  <c r="OSI53" i="9" s="1"/>
  <c r="OSJ53" i="9" s="1"/>
  <c r="OSK53" i="9" s="1"/>
  <c r="OSL53" i="9" s="1"/>
  <c r="OSM53" i="9" s="1"/>
  <c r="OSN53" i="9" s="1"/>
  <c r="OSO53" i="9" s="1"/>
  <c r="OSP53" i="9" s="1"/>
  <c r="OSQ53" i="9" s="1"/>
  <c r="OSR53" i="9" s="1"/>
  <c r="OSS53" i="9" s="1"/>
  <c r="OST53" i="9" s="1"/>
  <c r="OSU53" i="9" s="1"/>
  <c r="OSV53" i="9" s="1"/>
  <c r="OSW53" i="9" s="1"/>
  <c r="OSX53" i="9" s="1"/>
  <c r="OSY53" i="9" s="1"/>
  <c r="OSZ53" i="9" s="1"/>
  <c r="OTA53" i="9" s="1"/>
  <c r="OTB53" i="9" s="1"/>
  <c r="OTC53" i="9" s="1"/>
  <c r="OTD53" i="9" s="1"/>
  <c r="OTE53" i="9" s="1"/>
  <c r="OTF53" i="9" s="1"/>
  <c r="OTG53" i="9" s="1"/>
  <c r="OTH53" i="9" s="1"/>
  <c r="OTI53" i="9" s="1"/>
  <c r="OTJ53" i="9" s="1"/>
  <c r="OTK53" i="9" s="1"/>
  <c r="OTL53" i="9" s="1"/>
  <c r="OTM53" i="9" s="1"/>
  <c r="OTN53" i="9" s="1"/>
  <c r="OTO53" i="9" s="1"/>
  <c r="OTP53" i="9" s="1"/>
  <c r="OTQ53" i="9" s="1"/>
  <c r="OTR53" i="9" s="1"/>
  <c r="OTS53" i="9" s="1"/>
  <c r="OTT53" i="9" s="1"/>
  <c r="OTU53" i="9" s="1"/>
  <c r="OTV53" i="9" s="1"/>
  <c r="OTW53" i="9" s="1"/>
  <c r="OTX53" i="9" s="1"/>
  <c r="OTY53" i="9" s="1"/>
  <c r="OTZ53" i="9" s="1"/>
  <c r="OUA53" i="9" s="1"/>
  <c r="OUB53" i="9" s="1"/>
  <c r="OUC53" i="9" s="1"/>
  <c r="OUD53" i="9" s="1"/>
  <c r="OUE53" i="9" s="1"/>
  <c r="OUF53" i="9" s="1"/>
  <c r="OUG53" i="9" s="1"/>
  <c r="OUH53" i="9" s="1"/>
  <c r="OUI53" i="9" s="1"/>
  <c r="OUJ53" i="9" s="1"/>
  <c r="OUK53" i="9" s="1"/>
  <c r="OUL53" i="9" s="1"/>
  <c r="OUM53" i="9" s="1"/>
  <c r="OUN53" i="9" s="1"/>
  <c r="OUO53" i="9" s="1"/>
  <c r="OUP53" i="9" s="1"/>
  <c r="OUQ53" i="9" s="1"/>
  <c r="OUR53" i="9" s="1"/>
  <c r="OUS53" i="9" s="1"/>
  <c r="OUT53" i="9" s="1"/>
  <c r="OUU53" i="9" s="1"/>
  <c r="OUV53" i="9" s="1"/>
  <c r="OUW53" i="9" s="1"/>
  <c r="OUX53" i="9" s="1"/>
  <c r="OUY53" i="9" s="1"/>
  <c r="OUZ53" i="9" s="1"/>
  <c r="OVA53" i="9" s="1"/>
  <c r="OVB53" i="9" s="1"/>
  <c r="OVC53" i="9" s="1"/>
  <c r="OVD53" i="9" s="1"/>
  <c r="OVE53" i="9" s="1"/>
  <c r="OVF53" i="9" s="1"/>
  <c r="OVG53" i="9" s="1"/>
  <c r="OVH53" i="9" s="1"/>
  <c r="OVI53" i="9" s="1"/>
  <c r="OVJ53" i="9" s="1"/>
  <c r="OVK53" i="9" s="1"/>
  <c r="OVL53" i="9" s="1"/>
  <c r="OVM53" i="9" s="1"/>
  <c r="OVN53" i="9" s="1"/>
  <c r="OVO53" i="9" s="1"/>
  <c r="OVP53" i="9" s="1"/>
  <c r="OVQ53" i="9" s="1"/>
  <c r="OVR53" i="9" s="1"/>
  <c r="OVS53" i="9" s="1"/>
  <c r="OVT53" i="9" s="1"/>
  <c r="OVU53" i="9" s="1"/>
  <c r="OVV53" i="9" s="1"/>
  <c r="OVW53" i="9" s="1"/>
  <c r="OVX53" i="9" s="1"/>
  <c r="OVY53" i="9" s="1"/>
  <c r="OVZ53" i="9" s="1"/>
  <c r="OWA53" i="9" s="1"/>
  <c r="OWB53" i="9" s="1"/>
  <c r="OWC53" i="9" s="1"/>
  <c r="OWD53" i="9" s="1"/>
  <c r="OWE53" i="9" s="1"/>
  <c r="OWF53" i="9" s="1"/>
  <c r="OWG53" i="9" s="1"/>
  <c r="OWH53" i="9" s="1"/>
  <c r="OWI53" i="9" s="1"/>
  <c r="OWJ53" i="9" s="1"/>
  <c r="OWK53" i="9" s="1"/>
  <c r="OWL53" i="9" s="1"/>
  <c r="OWM53" i="9" s="1"/>
  <c r="OWN53" i="9" s="1"/>
  <c r="OWO53" i="9" s="1"/>
  <c r="OWP53" i="9" s="1"/>
  <c r="OWQ53" i="9" s="1"/>
  <c r="OWR53" i="9" s="1"/>
  <c r="OWS53" i="9" s="1"/>
  <c r="OWT53" i="9" s="1"/>
  <c r="OWU53" i="9" s="1"/>
  <c r="OWV53" i="9" s="1"/>
  <c r="OWW53" i="9" s="1"/>
  <c r="OWX53" i="9" s="1"/>
  <c r="OWY53" i="9" s="1"/>
  <c r="OWZ53" i="9" s="1"/>
  <c r="OXA53" i="9" s="1"/>
  <c r="OXB53" i="9" s="1"/>
  <c r="OXC53" i="9" s="1"/>
  <c r="OXD53" i="9" s="1"/>
  <c r="OXE53" i="9" s="1"/>
  <c r="OXF53" i="9" s="1"/>
  <c r="OXG53" i="9" s="1"/>
  <c r="OXH53" i="9" s="1"/>
  <c r="OXI53" i="9" s="1"/>
  <c r="OXJ53" i="9" s="1"/>
  <c r="OXK53" i="9" s="1"/>
  <c r="OXL53" i="9" s="1"/>
  <c r="OXM53" i="9" s="1"/>
  <c r="OXN53" i="9" s="1"/>
  <c r="OXO53" i="9" s="1"/>
  <c r="OXP53" i="9" s="1"/>
  <c r="OXQ53" i="9" s="1"/>
  <c r="OXR53" i="9" s="1"/>
  <c r="OXS53" i="9" s="1"/>
  <c r="OXT53" i="9" s="1"/>
  <c r="OXU53" i="9" s="1"/>
  <c r="OXV53" i="9" s="1"/>
  <c r="OXW53" i="9" s="1"/>
  <c r="OXX53" i="9" s="1"/>
  <c r="OXY53" i="9" s="1"/>
  <c r="OXZ53" i="9" s="1"/>
  <c r="OYA53" i="9" s="1"/>
  <c r="OYB53" i="9" s="1"/>
  <c r="OYC53" i="9" s="1"/>
  <c r="OYD53" i="9" s="1"/>
  <c r="OYE53" i="9" s="1"/>
  <c r="OYF53" i="9" s="1"/>
  <c r="OYG53" i="9" s="1"/>
  <c r="OYH53" i="9" s="1"/>
  <c r="OYI53" i="9" s="1"/>
  <c r="OYJ53" i="9" s="1"/>
  <c r="OYK53" i="9" s="1"/>
  <c r="OYL53" i="9" s="1"/>
  <c r="OYM53" i="9" s="1"/>
  <c r="OYN53" i="9" s="1"/>
  <c r="OYO53" i="9" s="1"/>
  <c r="OYP53" i="9" s="1"/>
  <c r="OYQ53" i="9" s="1"/>
  <c r="OYR53" i="9" s="1"/>
  <c r="OYS53" i="9" s="1"/>
  <c r="OYT53" i="9" s="1"/>
  <c r="OYU53" i="9" s="1"/>
  <c r="OYV53" i="9" s="1"/>
  <c r="OYW53" i="9" s="1"/>
  <c r="OYX53" i="9" s="1"/>
  <c r="OYY53" i="9" s="1"/>
  <c r="OYZ53" i="9" s="1"/>
  <c r="OZA53" i="9" s="1"/>
  <c r="OZB53" i="9" s="1"/>
  <c r="OZC53" i="9" s="1"/>
  <c r="OZD53" i="9" s="1"/>
  <c r="OZE53" i="9" s="1"/>
  <c r="OZF53" i="9" s="1"/>
  <c r="OZG53" i="9" s="1"/>
  <c r="OZH53" i="9" s="1"/>
  <c r="OZI53" i="9" s="1"/>
  <c r="OZJ53" i="9" s="1"/>
  <c r="OZK53" i="9" s="1"/>
  <c r="OZL53" i="9" s="1"/>
  <c r="OZM53" i="9" s="1"/>
  <c r="OZN53" i="9" s="1"/>
  <c r="OZO53" i="9" s="1"/>
  <c r="OZP53" i="9" s="1"/>
  <c r="OZQ53" i="9" s="1"/>
  <c r="OZR53" i="9" s="1"/>
  <c r="OZS53" i="9" s="1"/>
  <c r="OZT53" i="9" s="1"/>
  <c r="OZU53" i="9" s="1"/>
  <c r="OZV53" i="9" s="1"/>
  <c r="OZW53" i="9" s="1"/>
  <c r="OZX53" i="9" s="1"/>
  <c r="OZY53" i="9" s="1"/>
  <c r="OZZ53" i="9" s="1"/>
  <c r="PAA53" i="9" s="1"/>
  <c r="PAB53" i="9" s="1"/>
  <c r="PAC53" i="9" s="1"/>
  <c r="PAD53" i="9" s="1"/>
  <c r="PAE53" i="9" s="1"/>
  <c r="PAF53" i="9" s="1"/>
  <c r="PAG53" i="9" s="1"/>
  <c r="PAH53" i="9" s="1"/>
  <c r="PAI53" i="9" s="1"/>
  <c r="PAJ53" i="9" s="1"/>
  <c r="PAK53" i="9" s="1"/>
  <c r="PAL53" i="9" s="1"/>
  <c r="PAM53" i="9" s="1"/>
  <c r="PAN53" i="9" s="1"/>
  <c r="PAO53" i="9" s="1"/>
  <c r="PAP53" i="9" s="1"/>
  <c r="PAQ53" i="9" s="1"/>
  <c r="PAR53" i="9" s="1"/>
  <c r="PAS53" i="9" s="1"/>
  <c r="PAT53" i="9" s="1"/>
  <c r="PAU53" i="9" s="1"/>
  <c r="PAV53" i="9" s="1"/>
  <c r="PAW53" i="9" s="1"/>
  <c r="PAX53" i="9" s="1"/>
  <c r="PAY53" i="9" s="1"/>
  <c r="PAZ53" i="9" s="1"/>
  <c r="PBA53" i="9" s="1"/>
  <c r="PBB53" i="9" s="1"/>
  <c r="PBC53" i="9" s="1"/>
  <c r="PBD53" i="9" s="1"/>
  <c r="PBE53" i="9" s="1"/>
  <c r="PBF53" i="9" s="1"/>
  <c r="PBG53" i="9" s="1"/>
  <c r="PBH53" i="9" s="1"/>
  <c r="PBI53" i="9" s="1"/>
  <c r="PBJ53" i="9" s="1"/>
  <c r="PBK53" i="9" s="1"/>
  <c r="PBL53" i="9" s="1"/>
  <c r="PBM53" i="9" s="1"/>
  <c r="PBN53" i="9" s="1"/>
  <c r="PBO53" i="9" s="1"/>
  <c r="PBP53" i="9" s="1"/>
  <c r="PBQ53" i="9" s="1"/>
  <c r="PBR53" i="9" s="1"/>
  <c r="PBS53" i="9" s="1"/>
  <c r="PBT53" i="9" s="1"/>
  <c r="PBU53" i="9" s="1"/>
  <c r="PBV53" i="9" s="1"/>
  <c r="PBW53" i="9" s="1"/>
  <c r="PBX53" i="9" s="1"/>
  <c r="PBY53" i="9" s="1"/>
  <c r="PBZ53" i="9" s="1"/>
  <c r="PCA53" i="9" s="1"/>
  <c r="PCB53" i="9" s="1"/>
  <c r="PCC53" i="9" s="1"/>
  <c r="PCD53" i="9" s="1"/>
  <c r="PCE53" i="9" s="1"/>
  <c r="PCF53" i="9" s="1"/>
  <c r="PCG53" i="9" s="1"/>
  <c r="PCH53" i="9" s="1"/>
  <c r="PCI53" i="9" s="1"/>
  <c r="PCJ53" i="9" s="1"/>
  <c r="PCK53" i="9" s="1"/>
  <c r="PCL53" i="9" s="1"/>
  <c r="PCM53" i="9" s="1"/>
  <c r="PCN53" i="9" s="1"/>
  <c r="PCO53" i="9" s="1"/>
  <c r="PCP53" i="9" s="1"/>
  <c r="PCQ53" i="9" s="1"/>
  <c r="PCR53" i="9" s="1"/>
  <c r="PCS53" i="9" s="1"/>
  <c r="PCT53" i="9" s="1"/>
  <c r="PCU53" i="9" s="1"/>
  <c r="PCV53" i="9" s="1"/>
  <c r="PCW53" i="9" s="1"/>
  <c r="PCX53" i="9" s="1"/>
  <c r="PCY53" i="9" s="1"/>
  <c r="PCZ53" i="9" s="1"/>
  <c r="PDA53" i="9" s="1"/>
  <c r="PDB53" i="9" s="1"/>
  <c r="PDC53" i="9" s="1"/>
  <c r="PDD53" i="9" s="1"/>
  <c r="PDE53" i="9" s="1"/>
  <c r="PDF53" i="9" s="1"/>
  <c r="PDG53" i="9" s="1"/>
  <c r="PDH53" i="9" s="1"/>
  <c r="PDI53" i="9" s="1"/>
  <c r="PDJ53" i="9" s="1"/>
  <c r="PDK53" i="9" s="1"/>
  <c r="PDL53" i="9" s="1"/>
  <c r="PDM53" i="9" s="1"/>
  <c r="PDN53" i="9" s="1"/>
  <c r="PDO53" i="9" s="1"/>
  <c r="PDP53" i="9" s="1"/>
  <c r="PDQ53" i="9" s="1"/>
  <c r="PDR53" i="9" s="1"/>
  <c r="PDS53" i="9" s="1"/>
  <c r="PDT53" i="9" s="1"/>
  <c r="PDU53" i="9" s="1"/>
  <c r="PDV53" i="9" s="1"/>
  <c r="PDW53" i="9" s="1"/>
  <c r="PDX53" i="9" s="1"/>
  <c r="PDY53" i="9" s="1"/>
  <c r="PDZ53" i="9" s="1"/>
  <c r="PEA53" i="9" s="1"/>
  <c r="PEB53" i="9" s="1"/>
  <c r="PEC53" i="9" s="1"/>
  <c r="PED53" i="9" s="1"/>
  <c r="PEE53" i="9" s="1"/>
  <c r="PEF53" i="9" s="1"/>
  <c r="PEG53" i="9" s="1"/>
  <c r="PEH53" i="9" s="1"/>
  <c r="PEI53" i="9" s="1"/>
  <c r="PEJ53" i="9" s="1"/>
  <c r="PEK53" i="9" s="1"/>
  <c r="PEL53" i="9" s="1"/>
  <c r="PEM53" i="9" s="1"/>
  <c r="PEN53" i="9" s="1"/>
  <c r="PEO53" i="9" s="1"/>
  <c r="PEP53" i="9" s="1"/>
  <c r="PEQ53" i="9" s="1"/>
  <c r="PER53" i="9" s="1"/>
  <c r="PES53" i="9" s="1"/>
  <c r="PET53" i="9" s="1"/>
  <c r="PEU53" i="9" s="1"/>
  <c r="PEV53" i="9" s="1"/>
  <c r="PEW53" i="9" s="1"/>
  <c r="PEX53" i="9" s="1"/>
  <c r="PEY53" i="9" s="1"/>
  <c r="PEZ53" i="9" s="1"/>
  <c r="PFA53" i="9" s="1"/>
  <c r="PFB53" i="9" s="1"/>
  <c r="PFC53" i="9" s="1"/>
  <c r="PFD53" i="9" s="1"/>
  <c r="PFE53" i="9" s="1"/>
  <c r="PFF53" i="9" s="1"/>
  <c r="PFG53" i="9" s="1"/>
  <c r="PFH53" i="9" s="1"/>
  <c r="PFI53" i="9" s="1"/>
  <c r="PFJ53" i="9" s="1"/>
  <c r="PFK53" i="9" s="1"/>
  <c r="PFL53" i="9" s="1"/>
  <c r="PFM53" i="9" s="1"/>
  <c r="PFN53" i="9" s="1"/>
  <c r="PFO53" i="9" s="1"/>
  <c r="PFP53" i="9" s="1"/>
  <c r="PFQ53" i="9" s="1"/>
  <c r="PFR53" i="9" s="1"/>
  <c r="PFS53" i="9" s="1"/>
  <c r="PFT53" i="9" s="1"/>
  <c r="PFU53" i="9" s="1"/>
  <c r="PFV53" i="9" s="1"/>
  <c r="PFW53" i="9" s="1"/>
  <c r="PFX53" i="9" s="1"/>
  <c r="PFY53" i="9" s="1"/>
  <c r="PFZ53" i="9" s="1"/>
  <c r="PGA53" i="9" s="1"/>
  <c r="PGB53" i="9" s="1"/>
  <c r="PGC53" i="9" s="1"/>
  <c r="PGD53" i="9" s="1"/>
  <c r="PGE53" i="9" s="1"/>
  <c r="PGF53" i="9" s="1"/>
  <c r="PGG53" i="9" s="1"/>
  <c r="PGH53" i="9" s="1"/>
  <c r="PGI53" i="9" s="1"/>
  <c r="PGJ53" i="9" s="1"/>
  <c r="PGK53" i="9" s="1"/>
  <c r="PGL53" i="9" s="1"/>
  <c r="PGM53" i="9" s="1"/>
  <c r="PGN53" i="9" s="1"/>
  <c r="PGO53" i="9" s="1"/>
  <c r="PGP53" i="9" s="1"/>
  <c r="PGQ53" i="9" s="1"/>
  <c r="PGR53" i="9" s="1"/>
  <c r="PGS53" i="9" s="1"/>
  <c r="PGT53" i="9" s="1"/>
  <c r="PGU53" i="9" s="1"/>
  <c r="PGV53" i="9" s="1"/>
  <c r="PGW53" i="9" s="1"/>
  <c r="PGX53" i="9" s="1"/>
  <c r="PGY53" i="9" s="1"/>
  <c r="PGZ53" i="9" s="1"/>
  <c r="PHA53" i="9" s="1"/>
  <c r="PHB53" i="9" s="1"/>
  <c r="PHC53" i="9" s="1"/>
  <c r="PHD53" i="9" s="1"/>
  <c r="PHE53" i="9" s="1"/>
  <c r="PHF53" i="9" s="1"/>
  <c r="PHG53" i="9" s="1"/>
  <c r="PHH53" i="9" s="1"/>
  <c r="PHI53" i="9" s="1"/>
  <c r="PHJ53" i="9" s="1"/>
  <c r="PHK53" i="9" s="1"/>
  <c r="PHL53" i="9" s="1"/>
  <c r="PHM53" i="9" s="1"/>
  <c r="PHN53" i="9" s="1"/>
  <c r="PHO53" i="9" s="1"/>
  <c r="PHP53" i="9" s="1"/>
  <c r="PHQ53" i="9" s="1"/>
  <c r="PHR53" i="9" s="1"/>
  <c r="PHS53" i="9" s="1"/>
  <c r="PHT53" i="9" s="1"/>
  <c r="PHU53" i="9" s="1"/>
  <c r="PHV53" i="9" s="1"/>
  <c r="PHW53" i="9" s="1"/>
  <c r="PHX53" i="9" s="1"/>
  <c r="PHY53" i="9" s="1"/>
  <c r="PHZ53" i="9" s="1"/>
  <c r="PIA53" i="9" s="1"/>
  <c r="PIB53" i="9" s="1"/>
  <c r="PIC53" i="9" s="1"/>
  <c r="PID53" i="9" s="1"/>
  <c r="PIE53" i="9" s="1"/>
  <c r="PIF53" i="9" s="1"/>
  <c r="PIG53" i="9" s="1"/>
  <c r="PIH53" i="9" s="1"/>
  <c r="PII53" i="9" s="1"/>
  <c r="PIJ53" i="9" s="1"/>
  <c r="PIK53" i="9" s="1"/>
  <c r="PIL53" i="9" s="1"/>
  <c r="PIM53" i="9" s="1"/>
  <c r="PIN53" i="9" s="1"/>
  <c r="PIO53" i="9" s="1"/>
  <c r="PIP53" i="9" s="1"/>
  <c r="PIQ53" i="9" s="1"/>
  <c r="PIR53" i="9" s="1"/>
  <c r="PIS53" i="9" s="1"/>
  <c r="PIT53" i="9" s="1"/>
  <c r="PIU53" i="9" s="1"/>
  <c r="PIV53" i="9" s="1"/>
  <c r="PIW53" i="9" s="1"/>
  <c r="PIX53" i="9" s="1"/>
  <c r="PIY53" i="9" s="1"/>
  <c r="PIZ53" i="9" s="1"/>
  <c r="PJA53" i="9" s="1"/>
  <c r="PJB53" i="9" s="1"/>
  <c r="PJC53" i="9" s="1"/>
  <c r="PJD53" i="9" s="1"/>
  <c r="PJE53" i="9" s="1"/>
  <c r="PJF53" i="9" s="1"/>
  <c r="PJG53" i="9" s="1"/>
  <c r="PJH53" i="9" s="1"/>
  <c r="PJI53" i="9" s="1"/>
  <c r="PJJ53" i="9" s="1"/>
  <c r="PJK53" i="9" s="1"/>
  <c r="PJL53" i="9" s="1"/>
  <c r="PJM53" i="9" s="1"/>
  <c r="PJN53" i="9" s="1"/>
  <c r="PJO53" i="9" s="1"/>
  <c r="PJP53" i="9" s="1"/>
  <c r="PJQ53" i="9" s="1"/>
  <c r="PJR53" i="9" s="1"/>
  <c r="PJS53" i="9" s="1"/>
  <c r="PJT53" i="9" s="1"/>
  <c r="PJU53" i="9" s="1"/>
  <c r="PJV53" i="9" s="1"/>
  <c r="PJW53" i="9" s="1"/>
  <c r="PJX53" i="9" s="1"/>
  <c r="PJY53" i="9" s="1"/>
  <c r="PJZ53" i="9" s="1"/>
  <c r="PKA53" i="9" s="1"/>
  <c r="PKB53" i="9" s="1"/>
  <c r="PKC53" i="9" s="1"/>
  <c r="PKD53" i="9" s="1"/>
  <c r="PKE53" i="9" s="1"/>
  <c r="PKF53" i="9" s="1"/>
  <c r="PKG53" i="9" s="1"/>
  <c r="PKH53" i="9" s="1"/>
  <c r="PKI53" i="9" s="1"/>
  <c r="PKJ53" i="9" s="1"/>
  <c r="PKK53" i="9" s="1"/>
  <c r="PKL53" i="9" s="1"/>
  <c r="PKM53" i="9" s="1"/>
  <c r="PKN53" i="9" s="1"/>
  <c r="PKO53" i="9" s="1"/>
  <c r="PKP53" i="9" s="1"/>
  <c r="PKQ53" i="9" s="1"/>
  <c r="PKR53" i="9" s="1"/>
  <c r="PKS53" i="9" s="1"/>
  <c r="PKT53" i="9" s="1"/>
  <c r="PKU53" i="9" s="1"/>
  <c r="PKV53" i="9" s="1"/>
  <c r="PKW53" i="9" s="1"/>
  <c r="PKX53" i="9" s="1"/>
  <c r="PKY53" i="9" s="1"/>
  <c r="PKZ53" i="9" s="1"/>
  <c r="PLA53" i="9" s="1"/>
  <c r="PLB53" i="9" s="1"/>
  <c r="PLC53" i="9" s="1"/>
  <c r="PLD53" i="9" s="1"/>
  <c r="PLE53" i="9" s="1"/>
  <c r="PLF53" i="9" s="1"/>
  <c r="PLG53" i="9" s="1"/>
  <c r="PLH53" i="9" s="1"/>
  <c r="PLI53" i="9" s="1"/>
  <c r="PLJ53" i="9" s="1"/>
  <c r="PLK53" i="9" s="1"/>
  <c r="PLL53" i="9" s="1"/>
  <c r="PLM53" i="9" s="1"/>
  <c r="PLN53" i="9" s="1"/>
  <c r="PLO53" i="9" s="1"/>
  <c r="PLP53" i="9" s="1"/>
  <c r="PLQ53" i="9" s="1"/>
  <c r="PLR53" i="9" s="1"/>
  <c r="PLS53" i="9" s="1"/>
  <c r="PLT53" i="9" s="1"/>
  <c r="PLU53" i="9" s="1"/>
  <c r="PLV53" i="9" s="1"/>
  <c r="PLW53" i="9" s="1"/>
  <c r="PLX53" i="9" s="1"/>
  <c r="PLY53" i="9" s="1"/>
  <c r="PLZ53" i="9" s="1"/>
  <c r="PMA53" i="9" s="1"/>
  <c r="PMB53" i="9" s="1"/>
  <c r="PMC53" i="9" s="1"/>
  <c r="PMD53" i="9" s="1"/>
  <c r="PME53" i="9" s="1"/>
  <c r="PMF53" i="9" s="1"/>
  <c r="PMG53" i="9" s="1"/>
  <c r="PMH53" i="9" s="1"/>
  <c r="PMI53" i="9" s="1"/>
  <c r="PMJ53" i="9" s="1"/>
  <c r="PMK53" i="9" s="1"/>
  <c r="PML53" i="9" s="1"/>
  <c r="PMM53" i="9" s="1"/>
  <c r="PMN53" i="9" s="1"/>
  <c r="PMO53" i="9" s="1"/>
  <c r="PMP53" i="9" s="1"/>
  <c r="PMQ53" i="9" s="1"/>
  <c r="PMR53" i="9" s="1"/>
  <c r="PMS53" i="9" s="1"/>
  <c r="PMT53" i="9" s="1"/>
  <c r="PMU53" i="9" s="1"/>
  <c r="PMV53" i="9" s="1"/>
  <c r="PMW53" i="9" s="1"/>
  <c r="PMX53" i="9" s="1"/>
  <c r="PMY53" i="9" s="1"/>
  <c r="PMZ53" i="9" s="1"/>
  <c r="PNA53" i="9" s="1"/>
  <c r="PNB53" i="9" s="1"/>
  <c r="PNC53" i="9" s="1"/>
  <c r="PND53" i="9" s="1"/>
  <c r="PNE53" i="9" s="1"/>
  <c r="PNF53" i="9" s="1"/>
  <c r="PNG53" i="9" s="1"/>
  <c r="PNH53" i="9" s="1"/>
  <c r="PNI53" i="9" s="1"/>
  <c r="PNJ53" i="9" s="1"/>
  <c r="PNK53" i="9" s="1"/>
  <c r="PNL53" i="9" s="1"/>
  <c r="PNM53" i="9" s="1"/>
  <c r="PNN53" i="9" s="1"/>
  <c r="PNO53" i="9" s="1"/>
  <c r="PNP53" i="9" s="1"/>
  <c r="PNQ53" i="9" s="1"/>
  <c r="PNR53" i="9" s="1"/>
  <c r="PNS53" i="9" s="1"/>
  <c r="PNT53" i="9" s="1"/>
  <c r="PNU53" i="9" s="1"/>
  <c r="PNV53" i="9" s="1"/>
  <c r="PNW53" i="9" s="1"/>
  <c r="PNX53" i="9" s="1"/>
  <c r="PNY53" i="9" s="1"/>
  <c r="PNZ53" i="9" s="1"/>
  <c r="POA53" i="9" s="1"/>
  <c r="POB53" i="9" s="1"/>
  <c r="POC53" i="9" s="1"/>
  <c r="POD53" i="9" s="1"/>
  <c r="POE53" i="9" s="1"/>
  <c r="POF53" i="9" s="1"/>
  <c r="POG53" i="9" s="1"/>
  <c r="POH53" i="9" s="1"/>
  <c r="POI53" i="9" s="1"/>
  <c r="POJ53" i="9" s="1"/>
  <c r="POK53" i="9" s="1"/>
  <c r="POL53" i="9" s="1"/>
  <c r="POM53" i="9" s="1"/>
  <c r="PON53" i="9" s="1"/>
  <c r="POO53" i="9" s="1"/>
  <c r="POP53" i="9" s="1"/>
  <c r="POQ53" i="9" s="1"/>
  <c r="POR53" i="9" s="1"/>
  <c r="POS53" i="9" s="1"/>
  <c r="POT53" i="9" s="1"/>
  <c r="POU53" i="9" s="1"/>
  <c r="POV53" i="9" s="1"/>
  <c r="POW53" i="9" s="1"/>
  <c r="POX53" i="9" s="1"/>
  <c r="POY53" i="9" s="1"/>
  <c r="POZ53" i="9" s="1"/>
  <c r="PPA53" i="9" s="1"/>
  <c r="PPB53" i="9" s="1"/>
  <c r="PPC53" i="9" s="1"/>
  <c r="PPD53" i="9" s="1"/>
  <c r="PPE53" i="9" s="1"/>
  <c r="PPF53" i="9" s="1"/>
  <c r="PPG53" i="9" s="1"/>
  <c r="PPH53" i="9" s="1"/>
  <c r="PPI53" i="9" s="1"/>
  <c r="PPJ53" i="9" s="1"/>
  <c r="PPK53" i="9" s="1"/>
  <c r="PPL53" i="9" s="1"/>
  <c r="PPM53" i="9" s="1"/>
  <c r="PPN53" i="9" s="1"/>
  <c r="PPO53" i="9" s="1"/>
  <c r="PPP53" i="9" s="1"/>
  <c r="PPQ53" i="9" s="1"/>
  <c r="PPR53" i="9" s="1"/>
  <c r="PPS53" i="9" s="1"/>
  <c r="PPT53" i="9" s="1"/>
  <c r="PPU53" i="9" s="1"/>
  <c r="PPV53" i="9" s="1"/>
  <c r="PPW53" i="9" s="1"/>
  <c r="PPX53" i="9" s="1"/>
  <c r="PPY53" i="9" s="1"/>
  <c r="PPZ53" i="9" s="1"/>
  <c r="PQA53" i="9" s="1"/>
  <c r="PQB53" i="9" s="1"/>
  <c r="PQC53" i="9" s="1"/>
  <c r="PQD53" i="9" s="1"/>
  <c r="PQE53" i="9" s="1"/>
  <c r="PQF53" i="9" s="1"/>
  <c r="PQG53" i="9" s="1"/>
  <c r="PQH53" i="9" s="1"/>
  <c r="PQI53" i="9" s="1"/>
  <c r="PQJ53" i="9" s="1"/>
  <c r="PQK53" i="9" s="1"/>
  <c r="PQL53" i="9" s="1"/>
  <c r="PQM53" i="9" s="1"/>
  <c r="PQN53" i="9" s="1"/>
  <c r="PQO53" i="9" s="1"/>
  <c r="PQP53" i="9" s="1"/>
  <c r="PQQ53" i="9" s="1"/>
  <c r="PQR53" i="9" s="1"/>
  <c r="PQS53" i="9" s="1"/>
  <c r="PQT53" i="9" s="1"/>
  <c r="PQU53" i="9" s="1"/>
  <c r="PQV53" i="9" s="1"/>
  <c r="PQW53" i="9" s="1"/>
  <c r="PQX53" i="9" s="1"/>
  <c r="PQY53" i="9" s="1"/>
  <c r="PQZ53" i="9" s="1"/>
  <c r="PRA53" i="9" s="1"/>
  <c r="PRB53" i="9" s="1"/>
  <c r="PRC53" i="9" s="1"/>
  <c r="PRD53" i="9" s="1"/>
  <c r="PRE53" i="9" s="1"/>
  <c r="PRF53" i="9" s="1"/>
  <c r="PRG53" i="9" s="1"/>
  <c r="PRH53" i="9" s="1"/>
  <c r="PRI53" i="9" s="1"/>
  <c r="PRJ53" i="9" s="1"/>
  <c r="PRK53" i="9" s="1"/>
  <c r="PRL53" i="9" s="1"/>
  <c r="PRM53" i="9" s="1"/>
  <c r="PRN53" i="9" s="1"/>
  <c r="PRO53" i="9" s="1"/>
  <c r="PRP53" i="9" s="1"/>
  <c r="PRQ53" i="9" s="1"/>
  <c r="PRR53" i="9" s="1"/>
  <c r="PRS53" i="9" s="1"/>
  <c r="PRT53" i="9" s="1"/>
  <c r="PRU53" i="9" s="1"/>
  <c r="PRV53" i="9" s="1"/>
  <c r="PRW53" i="9" s="1"/>
  <c r="PRX53" i="9" s="1"/>
  <c r="PRY53" i="9" s="1"/>
  <c r="PRZ53" i="9" s="1"/>
  <c r="PSA53" i="9" s="1"/>
  <c r="PSB53" i="9" s="1"/>
  <c r="PSC53" i="9" s="1"/>
  <c r="PSD53" i="9" s="1"/>
  <c r="PSE53" i="9" s="1"/>
  <c r="PSF53" i="9" s="1"/>
  <c r="PSG53" i="9" s="1"/>
  <c r="PSH53" i="9" s="1"/>
  <c r="PSI53" i="9" s="1"/>
  <c r="PSJ53" i="9" s="1"/>
  <c r="PSK53" i="9" s="1"/>
  <c r="PSL53" i="9" s="1"/>
  <c r="PSM53" i="9" s="1"/>
  <c r="PSN53" i="9" s="1"/>
  <c r="PSO53" i="9" s="1"/>
  <c r="PSP53" i="9" s="1"/>
  <c r="PSQ53" i="9" s="1"/>
  <c r="PSR53" i="9" s="1"/>
  <c r="PSS53" i="9" s="1"/>
  <c r="PST53" i="9" s="1"/>
  <c r="PSU53" i="9" s="1"/>
  <c r="PSV53" i="9" s="1"/>
  <c r="PSW53" i="9" s="1"/>
  <c r="PSX53" i="9" s="1"/>
  <c r="PSY53" i="9" s="1"/>
  <c r="PSZ53" i="9" s="1"/>
  <c r="PTA53" i="9" s="1"/>
  <c r="PTB53" i="9" s="1"/>
  <c r="PTC53" i="9" s="1"/>
  <c r="PTD53" i="9" s="1"/>
  <c r="PTE53" i="9" s="1"/>
  <c r="PTF53" i="9" s="1"/>
  <c r="PTG53" i="9" s="1"/>
  <c r="PTH53" i="9" s="1"/>
  <c r="PTI53" i="9" s="1"/>
  <c r="PTJ53" i="9" s="1"/>
  <c r="PTK53" i="9" s="1"/>
  <c r="PTL53" i="9" s="1"/>
  <c r="PTM53" i="9" s="1"/>
  <c r="PTN53" i="9" s="1"/>
  <c r="PTO53" i="9" s="1"/>
  <c r="PTP53" i="9" s="1"/>
  <c r="PTQ53" i="9" s="1"/>
  <c r="PTR53" i="9" s="1"/>
  <c r="PTS53" i="9" s="1"/>
  <c r="PTT53" i="9" s="1"/>
  <c r="PTU53" i="9" s="1"/>
  <c r="PTV53" i="9" s="1"/>
  <c r="PTW53" i="9" s="1"/>
  <c r="PTX53" i="9" s="1"/>
  <c r="PTY53" i="9" s="1"/>
  <c r="PTZ53" i="9" s="1"/>
  <c r="PUA53" i="9" s="1"/>
  <c r="PUB53" i="9" s="1"/>
  <c r="PUC53" i="9" s="1"/>
  <c r="PUD53" i="9" s="1"/>
  <c r="PUE53" i="9" s="1"/>
  <c r="PUF53" i="9" s="1"/>
  <c r="PUG53" i="9" s="1"/>
  <c r="PUH53" i="9" s="1"/>
  <c r="PUI53" i="9" s="1"/>
  <c r="PUJ53" i="9" s="1"/>
  <c r="PUK53" i="9" s="1"/>
  <c r="PUL53" i="9" s="1"/>
  <c r="PUM53" i="9" s="1"/>
  <c r="PUN53" i="9" s="1"/>
  <c r="PUO53" i="9" s="1"/>
  <c r="PUP53" i="9" s="1"/>
  <c r="PUQ53" i="9" s="1"/>
  <c r="PUR53" i="9" s="1"/>
  <c r="PUS53" i="9" s="1"/>
  <c r="PUT53" i="9" s="1"/>
  <c r="PUU53" i="9" s="1"/>
  <c r="PUV53" i="9" s="1"/>
  <c r="PUW53" i="9" s="1"/>
  <c r="PUX53" i="9" s="1"/>
  <c r="PUY53" i="9" s="1"/>
  <c r="PUZ53" i="9" s="1"/>
  <c r="PVA53" i="9" s="1"/>
  <c r="PVB53" i="9" s="1"/>
  <c r="PVC53" i="9" s="1"/>
  <c r="PVD53" i="9" s="1"/>
  <c r="PVE53" i="9" s="1"/>
  <c r="PVF53" i="9" s="1"/>
  <c r="PVG53" i="9" s="1"/>
  <c r="PVH53" i="9" s="1"/>
  <c r="PVI53" i="9" s="1"/>
  <c r="PVJ53" i="9" s="1"/>
  <c r="PVK53" i="9" s="1"/>
  <c r="PVL53" i="9" s="1"/>
  <c r="PVM53" i="9" s="1"/>
  <c r="PVN53" i="9" s="1"/>
  <c r="PVO53" i="9" s="1"/>
  <c r="PVP53" i="9" s="1"/>
  <c r="PVQ53" i="9" s="1"/>
  <c r="PVR53" i="9" s="1"/>
  <c r="PVS53" i="9" s="1"/>
  <c r="PVT53" i="9" s="1"/>
  <c r="PVU53" i="9" s="1"/>
  <c r="PVV53" i="9" s="1"/>
  <c r="PVW53" i="9" s="1"/>
  <c r="PVX53" i="9" s="1"/>
  <c r="PVY53" i="9" s="1"/>
  <c r="PVZ53" i="9" s="1"/>
  <c r="PWA53" i="9" s="1"/>
  <c r="PWB53" i="9" s="1"/>
  <c r="PWC53" i="9" s="1"/>
  <c r="PWD53" i="9" s="1"/>
  <c r="PWE53" i="9" s="1"/>
  <c r="PWF53" i="9" s="1"/>
  <c r="PWG53" i="9" s="1"/>
  <c r="PWH53" i="9" s="1"/>
  <c r="PWI53" i="9" s="1"/>
  <c r="PWJ53" i="9" s="1"/>
  <c r="PWK53" i="9" s="1"/>
  <c r="PWL53" i="9" s="1"/>
  <c r="PWM53" i="9" s="1"/>
  <c r="PWN53" i="9" s="1"/>
  <c r="PWO53" i="9" s="1"/>
  <c r="PWP53" i="9" s="1"/>
  <c r="PWQ53" i="9" s="1"/>
  <c r="PWR53" i="9" s="1"/>
  <c r="PWS53" i="9" s="1"/>
  <c r="PWT53" i="9" s="1"/>
  <c r="PWU53" i="9" s="1"/>
  <c r="PWV53" i="9" s="1"/>
  <c r="PWW53" i="9" s="1"/>
  <c r="PWX53" i="9" s="1"/>
  <c r="PWY53" i="9" s="1"/>
  <c r="PWZ53" i="9" s="1"/>
  <c r="PXA53" i="9" s="1"/>
  <c r="PXB53" i="9" s="1"/>
  <c r="PXC53" i="9" s="1"/>
  <c r="PXD53" i="9" s="1"/>
  <c r="PXE53" i="9" s="1"/>
  <c r="PXF53" i="9" s="1"/>
  <c r="PXG53" i="9" s="1"/>
  <c r="PXH53" i="9" s="1"/>
  <c r="PXI53" i="9" s="1"/>
  <c r="PXJ53" i="9" s="1"/>
  <c r="PXK53" i="9" s="1"/>
  <c r="PXL53" i="9" s="1"/>
  <c r="PXM53" i="9" s="1"/>
  <c r="PXN53" i="9" s="1"/>
  <c r="PXO53" i="9" s="1"/>
  <c r="PXP53" i="9" s="1"/>
  <c r="PXQ53" i="9" s="1"/>
  <c r="PXR53" i="9" s="1"/>
  <c r="PXS53" i="9" s="1"/>
  <c r="PXT53" i="9" s="1"/>
  <c r="PXU53" i="9" s="1"/>
  <c r="PXV53" i="9" s="1"/>
  <c r="PXW53" i="9" s="1"/>
  <c r="PXX53" i="9" s="1"/>
  <c r="PXY53" i="9" s="1"/>
  <c r="PXZ53" i="9" s="1"/>
  <c r="PYA53" i="9" s="1"/>
  <c r="PYB53" i="9" s="1"/>
  <c r="PYC53" i="9" s="1"/>
  <c r="PYD53" i="9" s="1"/>
  <c r="PYE53" i="9" s="1"/>
  <c r="PYF53" i="9" s="1"/>
  <c r="PYG53" i="9" s="1"/>
  <c r="PYH53" i="9" s="1"/>
  <c r="PYI53" i="9" s="1"/>
  <c r="PYJ53" i="9" s="1"/>
  <c r="PYK53" i="9" s="1"/>
  <c r="PYL53" i="9" s="1"/>
  <c r="PYM53" i="9" s="1"/>
  <c r="PYN53" i="9" s="1"/>
  <c r="PYO53" i="9" s="1"/>
  <c r="PYP53" i="9" s="1"/>
  <c r="PYQ53" i="9" s="1"/>
  <c r="PYR53" i="9" s="1"/>
  <c r="PYS53" i="9" s="1"/>
  <c r="PYT53" i="9" s="1"/>
  <c r="PYU53" i="9" s="1"/>
  <c r="PYV53" i="9" s="1"/>
  <c r="PYW53" i="9" s="1"/>
  <c r="PYX53" i="9" s="1"/>
  <c r="PYY53" i="9" s="1"/>
  <c r="PYZ53" i="9" s="1"/>
  <c r="PZA53" i="9" s="1"/>
  <c r="PZB53" i="9" s="1"/>
  <c r="PZC53" i="9" s="1"/>
  <c r="PZD53" i="9" s="1"/>
  <c r="PZE53" i="9" s="1"/>
  <c r="PZF53" i="9" s="1"/>
  <c r="PZG53" i="9" s="1"/>
  <c r="PZH53" i="9" s="1"/>
  <c r="PZI53" i="9" s="1"/>
  <c r="PZJ53" i="9" s="1"/>
  <c r="PZK53" i="9" s="1"/>
  <c r="PZL53" i="9" s="1"/>
  <c r="PZM53" i="9" s="1"/>
  <c r="PZN53" i="9" s="1"/>
  <c r="PZO53" i="9" s="1"/>
  <c r="PZP53" i="9" s="1"/>
  <c r="PZQ53" i="9" s="1"/>
  <c r="PZR53" i="9" s="1"/>
  <c r="PZS53" i="9" s="1"/>
  <c r="PZT53" i="9" s="1"/>
  <c r="PZU53" i="9" s="1"/>
  <c r="PZV53" i="9" s="1"/>
  <c r="PZW53" i="9" s="1"/>
  <c r="PZX53" i="9" s="1"/>
  <c r="PZY53" i="9" s="1"/>
  <c r="PZZ53" i="9" s="1"/>
  <c r="QAA53" i="9" s="1"/>
  <c r="QAB53" i="9" s="1"/>
  <c r="QAC53" i="9" s="1"/>
  <c r="QAD53" i="9" s="1"/>
  <c r="QAE53" i="9" s="1"/>
  <c r="QAF53" i="9" s="1"/>
  <c r="QAG53" i="9" s="1"/>
  <c r="QAH53" i="9" s="1"/>
  <c r="QAI53" i="9" s="1"/>
  <c r="QAJ53" i="9" s="1"/>
  <c r="QAK53" i="9" s="1"/>
  <c r="QAL53" i="9" s="1"/>
  <c r="QAM53" i="9" s="1"/>
  <c r="QAN53" i="9" s="1"/>
  <c r="QAO53" i="9" s="1"/>
  <c r="QAP53" i="9" s="1"/>
  <c r="QAQ53" i="9" s="1"/>
  <c r="QAR53" i="9" s="1"/>
  <c r="QAS53" i="9" s="1"/>
  <c r="QAT53" i="9" s="1"/>
  <c r="QAU53" i="9" s="1"/>
  <c r="QAV53" i="9" s="1"/>
  <c r="QAW53" i="9" s="1"/>
  <c r="QAX53" i="9" s="1"/>
  <c r="QAY53" i="9" s="1"/>
  <c r="QAZ53" i="9" s="1"/>
  <c r="QBA53" i="9" s="1"/>
  <c r="QBB53" i="9" s="1"/>
  <c r="QBC53" i="9" s="1"/>
  <c r="QBD53" i="9" s="1"/>
  <c r="QBE53" i="9" s="1"/>
  <c r="QBF53" i="9" s="1"/>
  <c r="QBG53" i="9" s="1"/>
  <c r="QBH53" i="9" s="1"/>
  <c r="QBI53" i="9" s="1"/>
  <c r="QBJ53" i="9" s="1"/>
  <c r="QBK53" i="9" s="1"/>
  <c r="QBL53" i="9" s="1"/>
  <c r="QBM53" i="9" s="1"/>
  <c r="QBN53" i="9" s="1"/>
  <c r="QBO53" i="9" s="1"/>
  <c r="QBP53" i="9" s="1"/>
  <c r="QBQ53" i="9" s="1"/>
  <c r="QBR53" i="9" s="1"/>
  <c r="QBS53" i="9" s="1"/>
  <c r="QBT53" i="9" s="1"/>
  <c r="QBU53" i="9" s="1"/>
  <c r="QBV53" i="9" s="1"/>
  <c r="QBW53" i="9" s="1"/>
  <c r="QBX53" i="9" s="1"/>
  <c r="QBY53" i="9" s="1"/>
  <c r="QBZ53" i="9" s="1"/>
  <c r="QCA53" i="9" s="1"/>
  <c r="QCB53" i="9" s="1"/>
  <c r="QCC53" i="9" s="1"/>
  <c r="QCD53" i="9" s="1"/>
  <c r="QCE53" i="9" s="1"/>
  <c r="QCF53" i="9" s="1"/>
  <c r="QCG53" i="9" s="1"/>
  <c r="QCH53" i="9" s="1"/>
  <c r="QCI53" i="9" s="1"/>
  <c r="QCJ53" i="9" s="1"/>
  <c r="QCK53" i="9" s="1"/>
  <c r="QCL53" i="9" s="1"/>
  <c r="QCM53" i="9" s="1"/>
  <c r="QCN53" i="9" s="1"/>
  <c r="QCO53" i="9" s="1"/>
  <c r="QCP53" i="9" s="1"/>
  <c r="QCQ53" i="9" s="1"/>
  <c r="QCR53" i="9" s="1"/>
  <c r="QCS53" i="9" s="1"/>
  <c r="QCT53" i="9" s="1"/>
  <c r="QCU53" i="9" s="1"/>
  <c r="QCV53" i="9" s="1"/>
  <c r="QCW53" i="9" s="1"/>
  <c r="QCX53" i="9" s="1"/>
  <c r="QCY53" i="9" s="1"/>
  <c r="QCZ53" i="9" s="1"/>
  <c r="QDA53" i="9" s="1"/>
  <c r="QDB53" i="9" s="1"/>
  <c r="QDC53" i="9" s="1"/>
  <c r="QDD53" i="9" s="1"/>
  <c r="QDE53" i="9" s="1"/>
  <c r="QDF53" i="9" s="1"/>
  <c r="QDG53" i="9" s="1"/>
  <c r="QDH53" i="9" s="1"/>
  <c r="QDI53" i="9" s="1"/>
  <c r="QDJ53" i="9" s="1"/>
  <c r="QDK53" i="9" s="1"/>
  <c r="QDL53" i="9" s="1"/>
  <c r="QDM53" i="9" s="1"/>
  <c r="QDN53" i="9" s="1"/>
  <c r="QDO53" i="9" s="1"/>
  <c r="QDP53" i="9" s="1"/>
  <c r="QDQ53" i="9" s="1"/>
  <c r="QDR53" i="9" s="1"/>
  <c r="QDS53" i="9" s="1"/>
  <c r="QDT53" i="9" s="1"/>
  <c r="QDU53" i="9" s="1"/>
  <c r="QDV53" i="9" s="1"/>
  <c r="QDW53" i="9" s="1"/>
  <c r="QDX53" i="9" s="1"/>
  <c r="QDY53" i="9" s="1"/>
  <c r="QDZ53" i="9" s="1"/>
  <c r="QEA53" i="9" s="1"/>
  <c r="QEB53" i="9" s="1"/>
  <c r="QEC53" i="9" s="1"/>
  <c r="QED53" i="9" s="1"/>
  <c r="QEE53" i="9" s="1"/>
  <c r="QEF53" i="9" s="1"/>
  <c r="QEG53" i="9" s="1"/>
  <c r="QEH53" i="9" s="1"/>
  <c r="QEI53" i="9" s="1"/>
  <c r="QEJ53" i="9" s="1"/>
  <c r="QEK53" i="9" s="1"/>
  <c r="QEL53" i="9" s="1"/>
  <c r="QEM53" i="9" s="1"/>
  <c r="QEN53" i="9" s="1"/>
  <c r="QEO53" i="9" s="1"/>
  <c r="QEP53" i="9" s="1"/>
  <c r="QEQ53" i="9" s="1"/>
  <c r="QER53" i="9" s="1"/>
  <c r="QES53" i="9" s="1"/>
  <c r="QET53" i="9" s="1"/>
  <c r="QEU53" i="9" s="1"/>
  <c r="QEV53" i="9" s="1"/>
  <c r="QEW53" i="9" s="1"/>
  <c r="QEX53" i="9" s="1"/>
  <c r="QEY53" i="9" s="1"/>
  <c r="QEZ53" i="9" s="1"/>
  <c r="QFA53" i="9" s="1"/>
  <c r="QFB53" i="9" s="1"/>
  <c r="QFC53" i="9" s="1"/>
  <c r="QFD53" i="9" s="1"/>
  <c r="QFE53" i="9" s="1"/>
  <c r="QFF53" i="9" s="1"/>
  <c r="QFG53" i="9" s="1"/>
  <c r="QFH53" i="9" s="1"/>
  <c r="QFI53" i="9" s="1"/>
  <c r="QFJ53" i="9" s="1"/>
  <c r="QFK53" i="9" s="1"/>
  <c r="QFL53" i="9" s="1"/>
  <c r="QFM53" i="9" s="1"/>
  <c r="QFN53" i="9" s="1"/>
  <c r="QFO53" i="9" s="1"/>
  <c r="QFP53" i="9" s="1"/>
  <c r="QFQ53" i="9" s="1"/>
  <c r="QFR53" i="9" s="1"/>
  <c r="QFS53" i="9" s="1"/>
  <c r="QFT53" i="9" s="1"/>
  <c r="QFU53" i="9" s="1"/>
  <c r="QFV53" i="9" s="1"/>
  <c r="QFW53" i="9" s="1"/>
  <c r="QFX53" i="9" s="1"/>
  <c r="QFY53" i="9" s="1"/>
  <c r="QFZ53" i="9" s="1"/>
  <c r="QGA53" i="9" s="1"/>
  <c r="QGB53" i="9" s="1"/>
  <c r="QGC53" i="9" s="1"/>
  <c r="QGD53" i="9" s="1"/>
  <c r="QGE53" i="9" s="1"/>
  <c r="QGF53" i="9" s="1"/>
  <c r="QGG53" i="9" s="1"/>
  <c r="QGH53" i="9" s="1"/>
  <c r="QGI53" i="9" s="1"/>
  <c r="QGJ53" i="9" s="1"/>
  <c r="QGK53" i="9" s="1"/>
  <c r="QGL53" i="9" s="1"/>
  <c r="QGM53" i="9" s="1"/>
  <c r="QGN53" i="9" s="1"/>
  <c r="QGO53" i="9" s="1"/>
  <c r="QGP53" i="9" s="1"/>
  <c r="QGQ53" i="9" s="1"/>
  <c r="QGR53" i="9" s="1"/>
  <c r="QGS53" i="9" s="1"/>
  <c r="QGT53" i="9" s="1"/>
  <c r="QGU53" i="9" s="1"/>
  <c r="QGV53" i="9" s="1"/>
  <c r="QGW53" i="9" s="1"/>
  <c r="QGX53" i="9" s="1"/>
  <c r="QGY53" i="9" s="1"/>
  <c r="QGZ53" i="9" s="1"/>
  <c r="QHA53" i="9" s="1"/>
  <c r="QHB53" i="9" s="1"/>
  <c r="QHC53" i="9" s="1"/>
  <c r="QHD53" i="9" s="1"/>
  <c r="QHE53" i="9" s="1"/>
  <c r="QHF53" i="9" s="1"/>
  <c r="QHG53" i="9" s="1"/>
  <c r="QHH53" i="9" s="1"/>
  <c r="QHI53" i="9" s="1"/>
  <c r="QHJ53" i="9" s="1"/>
  <c r="QHK53" i="9" s="1"/>
  <c r="QHL53" i="9" s="1"/>
  <c r="QHM53" i="9" s="1"/>
  <c r="QHN53" i="9" s="1"/>
  <c r="QHO53" i="9" s="1"/>
  <c r="QHP53" i="9" s="1"/>
  <c r="QHQ53" i="9" s="1"/>
  <c r="QHR53" i="9" s="1"/>
  <c r="QHS53" i="9" s="1"/>
  <c r="QHT53" i="9" s="1"/>
  <c r="QHU53" i="9" s="1"/>
  <c r="QHV53" i="9" s="1"/>
  <c r="QHW53" i="9" s="1"/>
  <c r="QHX53" i="9" s="1"/>
  <c r="QHY53" i="9" s="1"/>
  <c r="QHZ53" i="9" s="1"/>
  <c r="QIA53" i="9" s="1"/>
  <c r="QIB53" i="9" s="1"/>
  <c r="QIC53" i="9" s="1"/>
  <c r="QID53" i="9" s="1"/>
  <c r="QIE53" i="9" s="1"/>
  <c r="QIF53" i="9" s="1"/>
  <c r="QIG53" i="9" s="1"/>
  <c r="QIH53" i="9" s="1"/>
  <c r="QII53" i="9" s="1"/>
  <c r="QIJ53" i="9" s="1"/>
  <c r="QIK53" i="9" s="1"/>
  <c r="QIL53" i="9" s="1"/>
  <c r="QIM53" i="9" s="1"/>
  <c r="QIN53" i="9" s="1"/>
  <c r="QIO53" i="9" s="1"/>
  <c r="QIP53" i="9" s="1"/>
  <c r="QIQ53" i="9" s="1"/>
  <c r="QIR53" i="9" s="1"/>
  <c r="QIS53" i="9" s="1"/>
  <c r="QIT53" i="9" s="1"/>
  <c r="QIU53" i="9" s="1"/>
  <c r="QIV53" i="9" s="1"/>
  <c r="QIW53" i="9" s="1"/>
  <c r="QIX53" i="9" s="1"/>
  <c r="QIY53" i="9" s="1"/>
  <c r="QIZ53" i="9" s="1"/>
  <c r="QJA53" i="9" s="1"/>
  <c r="QJB53" i="9" s="1"/>
  <c r="QJC53" i="9" s="1"/>
  <c r="QJD53" i="9" s="1"/>
  <c r="QJE53" i="9" s="1"/>
  <c r="QJF53" i="9" s="1"/>
  <c r="QJG53" i="9" s="1"/>
  <c r="QJH53" i="9" s="1"/>
  <c r="QJI53" i="9" s="1"/>
  <c r="QJJ53" i="9" s="1"/>
  <c r="QJK53" i="9" s="1"/>
  <c r="QJL53" i="9" s="1"/>
  <c r="QJM53" i="9" s="1"/>
  <c r="QJN53" i="9" s="1"/>
  <c r="QJO53" i="9" s="1"/>
  <c r="QJP53" i="9" s="1"/>
  <c r="QJQ53" i="9" s="1"/>
  <c r="QJR53" i="9" s="1"/>
  <c r="QJS53" i="9" s="1"/>
  <c r="QJT53" i="9" s="1"/>
  <c r="QJU53" i="9" s="1"/>
  <c r="QJV53" i="9" s="1"/>
  <c r="QJW53" i="9" s="1"/>
  <c r="QJX53" i="9" s="1"/>
  <c r="QJY53" i="9" s="1"/>
  <c r="QJZ53" i="9" s="1"/>
  <c r="QKA53" i="9" s="1"/>
  <c r="QKB53" i="9" s="1"/>
  <c r="QKC53" i="9" s="1"/>
  <c r="QKD53" i="9" s="1"/>
  <c r="QKE53" i="9" s="1"/>
  <c r="QKF53" i="9" s="1"/>
  <c r="QKG53" i="9" s="1"/>
  <c r="QKH53" i="9" s="1"/>
  <c r="QKI53" i="9" s="1"/>
  <c r="QKJ53" i="9" s="1"/>
  <c r="QKK53" i="9" s="1"/>
  <c r="QKL53" i="9" s="1"/>
  <c r="QKM53" i="9" s="1"/>
  <c r="QKN53" i="9" s="1"/>
  <c r="QKO53" i="9" s="1"/>
  <c r="QKP53" i="9" s="1"/>
  <c r="QKQ53" i="9" s="1"/>
  <c r="QKR53" i="9" s="1"/>
  <c r="QKS53" i="9" s="1"/>
  <c r="QKT53" i="9" s="1"/>
  <c r="QKU53" i="9" s="1"/>
  <c r="QKV53" i="9" s="1"/>
  <c r="QKW53" i="9" s="1"/>
  <c r="QKX53" i="9" s="1"/>
  <c r="QKY53" i="9" s="1"/>
  <c r="QKZ53" i="9" s="1"/>
  <c r="QLA53" i="9" s="1"/>
  <c r="QLB53" i="9" s="1"/>
  <c r="QLC53" i="9" s="1"/>
  <c r="QLD53" i="9" s="1"/>
  <c r="QLE53" i="9" s="1"/>
  <c r="QLF53" i="9" s="1"/>
  <c r="QLG53" i="9" s="1"/>
  <c r="QLH53" i="9" s="1"/>
  <c r="QLI53" i="9" s="1"/>
  <c r="QLJ53" i="9" s="1"/>
  <c r="QLK53" i="9" s="1"/>
  <c r="QLL53" i="9" s="1"/>
  <c r="QLM53" i="9" s="1"/>
  <c r="QLN53" i="9" s="1"/>
  <c r="QLO53" i="9" s="1"/>
  <c r="QLP53" i="9" s="1"/>
  <c r="QLQ53" i="9" s="1"/>
  <c r="QLR53" i="9" s="1"/>
  <c r="QLS53" i="9" s="1"/>
  <c r="QLT53" i="9" s="1"/>
  <c r="QLU53" i="9" s="1"/>
  <c r="QLV53" i="9" s="1"/>
  <c r="QLW53" i="9" s="1"/>
  <c r="QLX53" i="9" s="1"/>
  <c r="QLY53" i="9" s="1"/>
  <c r="QLZ53" i="9" s="1"/>
  <c r="QMA53" i="9" s="1"/>
  <c r="QMB53" i="9" s="1"/>
  <c r="QMC53" i="9" s="1"/>
  <c r="QMD53" i="9" s="1"/>
  <c r="QME53" i="9" s="1"/>
  <c r="QMF53" i="9" s="1"/>
  <c r="QMG53" i="9" s="1"/>
  <c r="QMH53" i="9" s="1"/>
  <c r="QMI53" i="9" s="1"/>
  <c r="QMJ53" i="9" s="1"/>
  <c r="QMK53" i="9" s="1"/>
  <c r="QML53" i="9" s="1"/>
  <c r="QMM53" i="9" s="1"/>
  <c r="QMN53" i="9" s="1"/>
  <c r="QMO53" i="9" s="1"/>
  <c r="QMP53" i="9" s="1"/>
  <c r="QMQ53" i="9" s="1"/>
  <c r="QMR53" i="9" s="1"/>
  <c r="QMS53" i="9" s="1"/>
  <c r="QMT53" i="9" s="1"/>
  <c r="QMU53" i="9" s="1"/>
  <c r="QMV53" i="9" s="1"/>
  <c r="QMW53" i="9" s="1"/>
  <c r="QMX53" i="9" s="1"/>
  <c r="QMY53" i="9" s="1"/>
  <c r="QMZ53" i="9" s="1"/>
  <c r="QNA53" i="9" s="1"/>
  <c r="QNB53" i="9" s="1"/>
  <c r="QNC53" i="9" s="1"/>
  <c r="QND53" i="9" s="1"/>
  <c r="QNE53" i="9" s="1"/>
  <c r="QNF53" i="9" s="1"/>
  <c r="QNG53" i="9" s="1"/>
  <c r="QNH53" i="9" s="1"/>
  <c r="QNI53" i="9" s="1"/>
  <c r="QNJ53" i="9" s="1"/>
  <c r="QNK53" i="9" s="1"/>
  <c r="QNL53" i="9" s="1"/>
  <c r="QNM53" i="9" s="1"/>
  <c r="QNN53" i="9" s="1"/>
  <c r="QNO53" i="9" s="1"/>
  <c r="QNP53" i="9" s="1"/>
  <c r="QNQ53" i="9" s="1"/>
  <c r="QNR53" i="9" s="1"/>
  <c r="QNS53" i="9" s="1"/>
  <c r="QNT53" i="9" s="1"/>
  <c r="QNU53" i="9" s="1"/>
  <c r="QNV53" i="9" s="1"/>
  <c r="QNW53" i="9" s="1"/>
  <c r="QNX53" i="9" s="1"/>
  <c r="QNY53" i="9" s="1"/>
  <c r="QNZ53" i="9" s="1"/>
  <c r="QOA53" i="9" s="1"/>
  <c r="QOB53" i="9" s="1"/>
  <c r="QOC53" i="9" s="1"/>
  <c r="QOD53" i="9" s="1"/>
  <c r="QOE53" i="9" s="1"/>
  <c r="QOF53" i="9" s="1"/>
  <c r="QOG53" i="9" s="1"/>
  <c r="QOH53" i="9" s="1"/>
  <c r="QOI53" i="9" s="1"/>
  <c r="QOJ53" i="9" s="1"/>
  <c r="QOK53" i="9" s="1"/>
  <c r="QOL53" i="9" s="1"/>
  <c r="QOM53" i="9" s="1"/>
  <c r="QON53" i="9" s="1"/>
  <c r="QOO53" i="9" s="1"/>
  <c r="QOP53" i="9" s="1"/>
  <c r="QOQ53" i="9" s="1"/>
  <c r="QOR53" i="9" s="1"/>
  <c r="QOS53" i="9" s="1"/>
  <c r="QOT53" i="9" s="1"/>
  <c r="QOU53" i="9" s="1"/>
  <c r="QOV53" i="9" s="1"/>
  <c r="QOW53" i="9" s="1"/>
  <c r="QOX53" i="9" s="1"/>
  <c r="QOY53" i="9" s="1"/>
  <c r="QOZ53" i="9" s="1"/>
  <c r="QPA53" i="9" s="1"/>
  <c r="QPB53" i="9" s="1"/>
  <c r="QPC53" i="9" s="1"/>
  <c r="QPD53" i="9" s="1"/>
  <c r="QPE53" i="9" s="1"/>
  <c r="QPF53" i="9" s="1"/>
  <c r="QPG53" i="9" s="1"/>
  <c r="QPH53" i="9" s="1"/>
  <c r="QPI53" i="9" s="1"/>
  <c r="QPJ53" i="9" s="1"/>
  <c r="QPK53" i="9" s="1"/>
  <c r="QPL53" i="9" s="1"/>
  <c r="QPM53" i="9" s="1"/>
  <c r="QPN53" i="9" s="1"/>
  <c r="QPO53" i="9" s="1"/>
  <c r="QPP53" i="9" s="1"/>
  <c r="QPQ53" i="9" s="1"/>
  <c r="QPR53" i="9" s="1"/>
  <c r="QPS53" i="9" s="1"/>
  <c r="QPT53" i="9" s="1"/>
  <c r="QPU53" i="9" s="1"/>
  <c r="QPV53" i="9" s="1"/>
  <c r="QPW53" i="9" s="1"/>
  <c r="QPX53" i="9" s="1"/>
  <c r="QPY53" i="9" s="1"/>
  <c r="QPZ53" i="9" s="1"/>
  <c r="QQA53" i="9" s="1"/>
  <c r="QQB53" i="9" s="1"/>
  <c r="QQC53" i="9" s="1"/>
  <c r="QQD53" i="9" s="1"/>
  <c r="QQE53" i="9" s="1"/>
  <c r="QQF53" i="9" s="1"/>
  <c r="QQG53" i="9" s="1"/>
  <c r="QQH53" i="9" s="1"/>
  <c r="QQI53" i="9" s="1"/>
  <c r="QQJ53" i="9" s="1"/>
  <c r="QQK53" i="9" s="1"/>
  <c r="QQL53" i="9" s="1"/>
  <c r="QQM53" i="9" s="1"/>
  <c r="QQN53" i="9" s="1"/>
  <c r="QQO53" i="9" s="1"/>
  <c r="QQP53" i="9" s="1"/>
  <c r="QQQ53" i="9" s="1"/>
  <c r="QQR53" i="9" s="1"/>
  <c r="QQS53" i="9" s="1"/>
  <c r="QQT53" i="9" s="1"/>
  <c r="QQU53" i="9" s="1"/>
  <c r="QQV53" i="9" s="1"/>
  <c r="QQW53" i="9" s="1"/>
  <c r="QQX53" i="9" s="1"/>
  <c r="QQY53" i="9" s="1"/>
  <c r="QQZ53" i="9" s="1"/>
  <c r="QRA53" i="9" s="1"/>
  <c r="QRB53" i="9" s="1"/>
  <c r="QRC53" i="9" s="1"/>
  <c r="QRD53" i="9" s="1"/>
  <c r="QRE53" i="9" s="1"/>
  <c r="QRF53" i="9" s="1"/>
  <c r="QRG53" i="9" s="1"/>
  <c r="QRH53" i="9" s="1"/>
  <c r="QRI53" i="9" s="1"/>
  <c r="QRJ53" i="9" s="1"/>
  <c r="QRK53" i="9" s="1"/>
  <c r="QRL53" i="9" s="1"/>
  <c r="QRM53" i="9" s="1"/>
  <c r="QRN53" i="9" s="1"/>
  <c r="QRO53" i="9" s="1"/>
  <c r="QRP53" i="9" s="1"/>
  <c r="QRQ53" i="9" s="1"/>
  <c r="QRR53" i="9" s="1"/>
  <c r="QRS53" i="9" s="1"/>
  <c r="QRT53" i="9" s="1"/>
  <c r="QRU53" i="9" s="1"/>
  <c r="QRV53" i="9" s="1"/>
  <c r="QRW53" i="9" s="1"/>
  <c r="QRX53" i="9" s="1"/>
  <c r="QRY53" i="9" s="1"/>
  <c r="QRZ53" i="9" s="1"/>
  <c r="QSA53" i="9" s="1"/>
  <c r="QSB53" i="9" s="1"/>
  <c r="QSC53" i="9" s="1"/>
  <c r="QSD53" i="9" s="1"/>
  <c r="QSE53" i="9" s="1"/>
  <c r="QSF53" i="9" s="1"/>
  <c r="QSG53" i="9" s="1"/>
  <c r="QSH53" i="9" s="1"/>
  <c r="QSI53" i="9" s="1"/>
  <c r="QSJ53" i="9" s="1"/>
  <c r="QSK53" i="9" s="1"/>
  <c r="QSL53" i="9" s="1"/>
  <c r="QSM53" i="9" s="1"/>
  <c r="QSN53" i="9" s="1"/>
  <c r="QSO53" i="9" s="1"/>
  <c r="QSP53" i="9" s="1"/>
  <c r="QSQ53" i="9" s="1"/>
  <c r="QSR53" i="9" s="1"/>
  <c r="QSS53" i="9" s="1"/>
  <c r="QST53" i="9" s="1"/>
  <c r="QSU53" i="9" s="1"/>
  <c r="QSV53" i="9" s="1"/>
  <c r="QSW53" i="9" s="1"/>
  <c r="QSX53" i="9" s="1"/>
  <c r="QSY53" i="9" s="1"/>
  <c r="QSZ53" i="9" s="1"/>
  <c r="QTA53" i="9" s="1"/>
  <c r="QTB53" i="9" s="1"/>
  <c r="QTC53" i="9" s="1"/>
  <c r="QTD53" i="9" s="1"/>
  <c r="QTE53" i="9" s="1"/>
  <c r="QTF53" i="9" s="1"/>
  <c r="QTG53" i="9" s="1"/>
  <c r="QTH53" i="9" s="1"/>
  <c r="QTI53" i="9" s="1"/>
  <c r="QTJ53" i="9" s="1"/>
  <c r="QTK53" i="9" s="1"/>
  <c r="QTL53" i="9" s="1"/>
  <c r="QTM53" i="9" s="1"/>
  <c r="QTN53" i="9" s="1"/>
  <c r="QTO53" i="9" s="1"/>
  <c r="QTP53" i="9" s="1"/>
  <c r="QTQ53" i="9" s="1"/>
  <c r="QTR53" i="9" s="1"/>
  <c r="QTS53" i="9" s="1"/>
  <c r="QTT53" i="9" s="1"/>
  <c r="QTU53" i="9" s="1"/>
  <c r="QTV53" i="9" s="1"/>
  <c r="QTW53" i="9" s="1"/>
  <c r="QTX53" i="9" s="1"/>
  <c r="QTY53" i="9" s="1"/>
  <c r="QTZ53" i="9" s="1"/>
  <c r="QUA53" i="9" s="1"/>
  <c r="QUB53" i="9" s="1"/>
  <c r="QUC53" i="9" s="1"/>
  <c r="QUD53" i="9" s="1"/>
  <c r="QUE53" i="9" s="1"/>
  <c r="QUF53" i="9" s="1"/>
  <c r="QUG53" i="9" s="1"/>
  <c r="QUH53" i="9" s="1"/>
  <c r="QUI53" i="9" s="1"/>
  <c r="QUJ53" i="9" s="1"/>
  <c r="QUK53" i="9" s="1"/>
  <c r="QUL53" i="9" s="1"/>
  <c r="QUM53" i="9" s="1"/>
  <c r="QUN53" i="9" s="1"/>
  <c r="QUO53" i="9" s="1"/>
  <c r="QUP53" i="9" s="1"/>
  <c r="QUQ53" i="9" s="1"/>
  <c r="QUR53" i="9" s="1"/>
  <c r="QUS53" i="9" s="1"/>
  <c r="QUT53" i="9" s="1"/>
  <c r="QUU53" i="9" s="1"/>
  <c r="QUV53" i="9" s="1"/>
  <c r="QUW53" i="9" s="1"/>
  <c r="QUX53" i="9" s="1"/>
  <c r="QUY53" i="9" s="1"/>
  <c r="QUZ53" i="9" s="1"/>
  <c r="QVA53" i="9" s="1"/>
  <c r="QVB53" i="9" s="1"/>
  <c r="QVC53" i="9" s="1"/>
  <c r="QVD53" i="9" s="1"/>
  <c r="QVE53" i="9" s="1"/>
  <c r="QVF53" i="9" s="1"/>
  <c r="QVG53" i="9" s="1"/>
  <c r="QVH53" i="9" s="1"/>
  <c r="QVI53" i="9" s="1"/>
  <c r="QVJ53" i="9" s="1"/>
  <c r="QVK53" i="9" s="1"/>
  <c r="QVL53" i="9" s="1"/>
  <c r="QVM53" i="9" s="1"/>
  <c r="QVN53" i="9" s="1"/>
  <c r="QVO53" i="9" s="1"/>
  <c r="QVP53" i="9" s="1"/>
  <c r="QVQ53" i="9" s="1"/>
  <c r="QVR53" i="9" s="1"/>
  <c r="QVS53" i="9" s="1"/>
  <c r="QVT53" i="9" s="1"/>
  <c r="QVU53" i="9" s="1"/>
  <c r="QVV53" i="9" s="1"/>
  <c r="QVW53" i="9" s="1"/>
  <c r="QVX53" i="9" s="1"/>
  <c r="QVY53" i="9" s="1"/>
  <c r="QVZ53" i="9" s="1"/>
  <c r="QWA53" i="9" s="1"/>
  <c r="QWB53" i="9" s="1"/>
  <c r="QWC53" i="9" s="1"/>
  <c r="QWD53" i="9" s="1"/>
  <c r="QWE53" i="9" s="1"/>
  <c r="QWF53" i="9" s="1"/>
  <c r="QWG53" i="9" s="1"/>
  <c r="QWH53" i="9" s="1"/>
  <c r="QWI53" i="9" s="1"/>
  <c r="QWJ53" i="9" s="1"/>
  <c r="QWK53" i="9" s="1"/>
  <c r="QWL53" i="9" s="1"/>
  <c r="QWM53" i="9" s="1"/>
  <c r="QWN53" i="9" s="1"/>
  <c r="QWO53" i="9" s="1"/>
  <c r="QWP53" i="9" s="1"/>
  <c r="QWQ53" i="9" s="1"/>
  <c r="QWR53" i="9" s="1"/>
  <c r="QWS53" i="9" s="1"/>
  <c r="QWT53" i="9" s="1"/>
  <c r="QWU53" i="9" s="1"/>
  <c r="QWV53" i="9" s="1"/>
  <c r="QWW53" i="9" s="1"/>
  <c r="QWX53" i="9" s="1"/>
  <c r="QWY53" i="9" s="1"/>
  <c r="QWZ53" i="9" s="1"/>
  <c r="QXA53" i="9" s="1"/>
  <c r="QXB53" i="9" s="1"/>
  <c r="QXC53" i="9" s="1"/>
  <c r="QXD53" i="9" s="1"/>
  <c r="QXE53" i="9" s="1"/>
  <c r="QXF53" i="9" s="1"/>
  <c r="QXG53" i="9" s="1"/>
  <c r="QXH53" i="9" s="1"/>
  <c r="QXI53" i="9" s="1"/>
  <c r="QXJ53" i="9" s="1"/>
  <c r="QXK53" i="9" s="1"/>
  <c r="QXL53" i="9" s="1"/>
  <c r="QXM53" i="9" s="1"/>
  <c r="QXN53" i="9" s="1"/>
  <c r="QXO53" i="9" s="1"/>
  <c r="QXP53" i="9" s="1"/>
  <c r="QXQ53" i="9" s="1"/>
  <c r="QXR53" i="9" s="1"/>
  <c r="QXS53" i="9" s="1"/>
  <c r="QXT53" i="9" s="1"/>
  <c r="QXU53" i="9" s="1"/>
  <c r="QXV53" i="9" s="1"/>
  <c r="QXW53" i="9" s="1"/>
  <c r="QXX53" i="9" s="1"/>
  <c r="QXY53" i="9" s="1"/>
  <c r="QXZ53" i="9" s="1"/>
  <c r="QYA53" i="9" s="1"/>
  <c r="QYB53" i="9" s="1"/>
  <c r="QYC53" i="9" s="1"/>
  <c r="QYD53" i="9" s="1"/>
  <c r="QYE53" i="9" s="1"/>
  <c r="QYF53" i="9" s="1"/>
  <c r="QYG53" i="9" s="1"/>
  <c r="QYH53" i="9" s="1"/>
  <c r="QYI53" i="9" s="1"/>
  <c r="QYJ53" i="9" s="1"/>
  <c r="QYK53" i="9" s="1"/>
  <c r="QYL53" i="9" s="1"/>
  <c r="QYM53" i="9" s="1"/>
  <c r="QYN53" i="9" s="1"/>
  <c r="QYO53" i="9" s="1"/>
  <c r="QYP53" i="9" s="1"/>
  <c r="QYQ53" i="9" s="1"/>
  <c r="QYR53" i="9" s="1"/>
  <c r="QYS53" i="9" s="1"/>
  <c r="QYT53" i="9" s="1"/>
  <c r="QYU53" i="9" s="1"/>
  <c r="QYV53" i="9" s="1"/>
  <c r="QYW53" i="9" s="1"/>
  <c r="QYX53" i="9" s="1"/>
  <c r="QYY53" i="9" s="1"/>
  <c r="QYZ53" i="9" s="1"/>
  <c r="QZA53" i="9" s="1"/>
  <c r="QZB53" i="9" s="1"/>
  <c r="QZC53" i="9" s="1"/>
  <c r="QZD53" i="9" s="1"/>
  <c r="QZE53" i="9" s="1"/>
  <c r="QZF53" i="9" s="1"/>
  <c r="QZG53" i="9" s="1"/>
  <c r="QZH53" i="9" s="1"/>
  <c r="QZI53" i="9" s="1"/>
  <c r="QZJ53" i="9" s="1"/>
  <c r="QZK53" i="9" s="1"/>
  <c r="QZL53" i="9" s="1"/>
  <c r="QZM53" i="9" s="1"/>
  <c r="QZN53" i="9" s="1"/>
  <c r="QZO53" i="9" s="1"/>
  <c r="QZP53" i="9" s="1"/>
  <c r="QZQ53" i="9" s="1"/>
  <c r="QZR53" i="9" s="1"/>
  <c r="QZS53" i="9" s="1"/>
  <c r="QZT53" i="9" s="1"/>
  <c r="QZU53" i="9" s="1"/>
  <c r="QZV53" i="9" s="1"/>
  <c r="QZW53" i="9" s="1"/>
  <c r="QZX53" i="9" s="1"/>
  <c r="QZY53" i="9" s="1"/>
  <c r="QZZ53" i="9" s="1"/>
  <c r="RAA53" i="9" s="1"/>
  <c r="RAB53" i="9" s="1"/>
  <c r="RAC53" i="9" s="1"/>
  <c r="RAD53" i="9" s="1"/>
  <c r="RAE53" i="9" s="1"/>
  <c r="RAF53" i="9" s="1"/>
  <c r="RAG53" i="9" s="1"/>
  <c r="RAH53" i="9" s="1"/>
  <c r="RAI53" i="9" s="1"/>
  <c r="RAJ53" i="9" s="1"/>
  <c r="RAK53" i="9" s="1"/>
  <c r="RAL53" i="9" s="1"/>
  <c r="RAM53" i="9" s="1"/>
  <c r="RAN53" i="9" s="1"/>
  <c r="RAO53" i="9" s="1"/>
  <c r="RAP53" i="9" s="1"/>
  <c r="RAQ53" i="9" s="1"/>
  <c r="RAR53" i="9" s="1"/>
  <c r="RAS53" i="9" s="1"/>
  <c r="RAT53" i="9" s="1"/>
  <c r="RAU53" i="9" s="1"/>
  <c r="RAV53" i="9" s="1"/>
  <c r="RAW53" i="9" s="1"/>
  <c r="RAX53" i="9" s="1"/>
  <c r="RAY53" i="9" s="1"/>
  <c r="RAZ53" i="9" s="1"/>
  <c r="RBA53" i="9" s="1"/>
  <c r="RBB53" i="9" s="1"/>
  <c r="RBC53" i="9" s="1"/>
  <c r="RBD53" i="9" s="1"/>
  <c r="RBE53" i="9" s="1"/>
  <c r="RBF53" i="9" s="1"/>
  <c r="RBG53" i="9" s="1"/>
  <c r="RBH53" i="9" s="1"/>
  <c r="RBI53" i="9" s="1"/>
  <c r="RBJ53" i="9" s="1"/>
  <c r="RBK53" i="9" s="1"/>
  <c r="RBL53" i="9" s="1"/>
  <c r="RBM53" i="9" s="1"/>
  <c r="RBN53" i="9" s="1"/>
  <c r="RBO53" i="9" s="1"/>
  <c r="RBP53" i="9" s="1"/>
  <c r="RBQ53" i="9" s="1"/>
  <c r="RBR53" i="9" s="1"/>
  <c r="RBS53" i="9" s="1"/>
  <c r="RBT53" i="9" s="1"/>
  <c r="RBU53" i="9" s="1"/>
  <c r="RBV53" i="9" s="1"/>
  <c r="RBW53" i="9" s="1"/>
  <c r="RBX53" i="9" s="1"/>
  <c r="RBY53" i="9" s="1"/>
  <c r="RBZ53" i="9" s="1"/>
  <c r="RCA53" i="9" s="1"/>
  <c r="RCB53" i="9" s="1"/>
  <c r="RCC53" i="9" s="1"/>
  <c r="RCD53" i="9" s="1"/>
  <c r="RCE53" i="9" s="1"/>
  <c r="RCF53" i="9" s="1"/>
  <c r="RCG53" i="9" s="1"/>
  <c r="RCH53" i="9" s="1"/>
  <c r="RCI53" i="9" s="1"/>
  <c r="RCJ53" i="9" s="1"/>
  <c r="RCK53" i="9" s="1"/>
  <c r="RCL53" i="9" s="1"/>
  <c r="RCM53" i="9" s="1"/>
  <c r="RCN53" i="9" s="1"/>
  <c r="RCO53" i="9" s="1"/>
  <c r="RCP53" i="9" s="1"/>
  <c r="RCQ53" i="9" s="1"/>
  <c r="RCR53" i="9" s="1"/>
  <c r="RCS53" i="9" s="1"/>
  <c r="RCT53" i="9" s="1"/>
  <c r="RCU53" i="9" s="1"/>
  <c r="RCV53" i="9" s="1"/>
  <c r="RCW53" i="9" s="1"/>
  <c r="RCX53" i="9" s="1"/>
  <c r="RCY53" i="9" s="1"/>
  <c r="RCZ53" i="9" s="1"/>
  <c r="RDA53" i="9" s="1"/>
  <c r="RDB53" i="9" s="1"/>
  <c r="RDC53" i="9" s="1"/>
  <c r="RDD53" i="9" s="1"/>
  <c r="RDE53" i="9" s="1"/>
  <c r="RDF53" i="9" s="1"/>
  <c r="RDG53" i="9" s="1"/>
  <c r="RDH53" i="9" s="1"/>
  <c r="RDI53" i="9" s="1"/>
  <c r="RDJ53" i="9" s="1"/>
  <c r="RDK53" i="9" s="1"/>
  <c r="RDL53" i="9" s="1"/>
  <c r="RDM53" i="9" s="1"/>
  <c r="RDN53" i="9" s="1"/>
  <c r="RDO53" i="9" s="1"/>
  <c r="RDP53" i="9" s="1"/>
  <c r="RDQ53" i="9" s="1"/>
  <c r="RDR53" i="9" s="1"/>
  <c r="RDS53" i="9" s="1"/>
  <c r="RDT53" i="9" s="1"/>
  <c r="RDU53" i="9" s="1"/>
  <c r="RDV53" i="9" s="1"/>
  <c r="RDW53" i="9" s="1"/>
  <c r="RDX53" i="9" s="1"/>
  <c r="RDY53" i="9" s="1"/>
  <c r="RDZ53" i="9" s="1"/>
  <c r="REA53" i="9" s="1"/>
  <c r="REB53" i="9" s="1"/>
  <c r="REC53" i="9" s="1"/>
  <c r="RED53" i="9" s="1"/>
  <c r="REE53" i="9" s="1"/>
  <c r="REF53" i="9" s="1"/>
  <c r="REG53" i="9" s="1"/>
  <c r="REH53" i="9" s="1"/>
  <c r="REI53" i="9" s="1"/>
  <c r="REJ53" i="9" s="1"/>
  <c r="REK53" i="9" s="1"/>
  <c r="REL53" i="9" s="1"/>
  <c r="REM53" i="9" s="1"/>
  <c r="REN53" i="9" s="1"/>
  <c r="REO53" i="9" s="1"/>
  <c r="REP53" i="9" s="1"/>
  <c r="REQ53" i="9" s="1"/>
  <c r="RER53" i="9" s="1"/>
  <c r="RES53" i="9" s="1"/>
  <c r="RET53" i="9" s="1"/>
  <c r="REU53" i="9" s="1"/>
  <c r="REV53" i="9" s="1"/>
  <c r="REW53" i="9" s="1"/>
  <c r="REX53" i="9" s="1"/>
  <c r="REY53" i="9" s="1"/>
  <c r="REZ53" i="9" s="1"/>
  <c r="RFA53" i="9" s="1"/>
  <c r="RFB53" i="9" s="1"/>
  <c r="RFC53" i="9" s="1"/>
  <c r="RFD53" i="9" s="1"/>
  <c r="RFE53" i="9" s="1"/>
  <c r="RFF53" i="9" s="1"/>
  <c r="RFG53" i="9" s="1"/>
  <c r="RFH53" i="9" s="1"/>
  <c r="RFI53" i="9" s="1"/>
  <c r="RFJ53" i="9" s="1"/>
  <c r="RFK53" i="9" s="1"/>
  <c r="RFL53" i="9" s="1"/>
  <c r="RFM53" i="9" s="1"/>
  <c r="RFN53" i="9" s="1"/>
  <c r="RFO53" i="9" s="1"/>
  <c r="RFP53" i="9" s="1"/>
  <c r="RFQ53" i="9" s="1"/>
  <c r="RFR53" i="9" s="1"/>
  <c r="RFS53" i="9" s="1"/>
  <c r="RFT53" i="9" s="1"/>
  <c r="RFU53" i="9" s="1"/>
  <c r="RFV53" i="9" s="1"/>
  <c r="RFW53" i="9" s="1"/>
  <c r="RFX53" i="9" s="1"/>
  <c r="RFY53" i="9" s="1"/>
  <c r="RFZ53" i="9" s="1"/>
  <c r="RGA53" i="9" s="1"/>
  <c r="RGB53" i="9" s="1"/>
  <c r="RGC53" i="9" s="1"/>
  <c r="RGD53" i="9" s="1"/>
  <c r="RGE53" i="9" s="1"/>
  <c r="RGF53" i="9" s="1"/>
  <c r="RGG53" i="9" s="1"/>
  <c r="RGH53" i="9" s="1"/>
  <c r="RGI53" i="9" s="1"/>
  <c r="RGJ53" i="9" s="1"/>
  <c r="RGK53" i="9" s="1"/>
  <c r="RGL53" i="9" s="1"/>
  <c r="RGM53" i="9" s="1"/>
  <c r="RGN53" i="9" s="1"/>
  <c r="RGO53" i="9" s="1"/>
  <c r="RGP53" i="9" s="1"/>
  <c r="RGQ53" i="9" s="1"/>
  <c r="RGR53" i="9" s="1"/>
  <c r="RGS53" i="9" s="1"/>
  <c r="RGT53" i="9" s="1"/>
  <c r="RGU53" i="9" s="1"/>
  <c r="RGV53" i="9" s="1"/>
  <c r="RGW53" i="9" s="1"/>
  <c r="RGX53" i="9" s="1"/>
  <c r="RGY53" i="9" s="1"/>
  <c r="RGZ53" i="9" s="1"/>
  <c r="RHA53" i="9" s="1"/>
  <c r="RHB53" i="9" s="1"/>
  <c r="RHC53" i="9" s="1"/>
  <c r="RHD53" i="9" s="1"/>
  <c r="RHE53" i="9" s="1"/>
  <c r="RHF53" i="9" s="1"/>
  <c r="RHG53" i="9" s="1"/>
  <c r="RHH53" i="9" s="1"/>
  <c r="RHI53" i="9" s="1"/>
  <c r="RHJ53" i="9" s="1"/>
  <c r="RHK53" i="9" s="1"/>
  <c r="RHL53" i="9" s="1"/>
  <c r="RHM53" i="9" s="1"/>
  <c r="RHN53" i="9" s="1"/>
  <c r="RHO53" i="9" s="1"/>
  <c r="RHP53" i="9" s="1"/>
  <c r="RHQ53" i="9" s="1"/>
  <c r="RHR53" i="9" s="1"/>
  <c r="RHS53" i="9" s="1"/>
  <c r="RHT53" i="9" s="1"/>
  <c r="RHU53" i="9" s="1"/>
  <c r="RHV53" i="9" s="1"/>
  <c r="RHW53" i="9" s="1"/>
  <c r="RHX53" i="9" s="1"/>
  <c r="RHY53" i="9" s="1"/>
  <c r="RHZ53" i="9" s="1"/>
  <c r="RIA53" i="9" s="1"/>
  <c r="RIB53" i="9" s="1"/>
  <c r="RIC53" i="9" s="1"/>
  <c r="RID53" i="9" s="1"/>
  <c r="RIE53" i="9" s="1"/>
  <c r="RIF53" i="9" s="1"/>
  <c r="RIG53" i="9" s="1"/>
  <c r="RIH53" i="9" s="1"/>
  <c r="RII53" i="9" s="1"/>
  <c r="RIJ53" i="9" s="1"/>
  <c r="RIK53" i="9" s="1"/>
  <c r="RIL53" i="9" s="1"/>
  <c r="RIM53" i="9" s="1"/>
  <c r="RIN53" i="9" s="1"/>
  <c r="RIO53" i="9" s="1"/>
  <c r="RIP53" i="9" s="1"/>
  <c r="RIQ53" i="9" s="1"/>
  <c r="RIR53" i="9" s="1"/>
  <c r="RIS53" i="9" s="1"/>
  <c r="RIT53" i="9" s="1"/>
  <c r="RIU53" i="9" s="1"/>
  <c r="RIV53" i="9" s="1"/>
  <c r="RIW53" i="9" s="1"/>
  <c r="RIX53" i="9" s="1"/>
  <c r="RIY53" i="9" s="1"/>
  <c r="RIZ53" i="9" s="1"/>
  <c r="RJA53" i="9" s="1"/>
  <c r="RJB53" i="9" s="1"/>
  <c r="RJC53" i="9" s="1"/>
  <c r="RJD53" i="9" s="1"/>
  <c r="RJE53" i="9" s="1"/>
  <c r="RJF53" i="9" s="1"/>
  <c r="RJG53" i="9" s="1"/>
  <c r="RJH53" i="9" s="1"/>
  <c r="RJI53" i="9" s="1"/>
  <c r="RJJ53" i="9" s="1"/>
  <c r="RJK53" i="9" s="1"/>
  <c r="RJL53" i="9" s="1"/>
  <c r="RJM53" i="9" s="1"/>
  <c r="RJN53" i="9" s="1"/>
  <c r="RJO53" i="9" s="1"/>
  <c r="RJP53" i="9" s="1"/>
  <c r="RJQ53" i="9" s="1"/>
  <c r="RJR53" i="9" s="1"/>
  <c r="RJS53" i="9" s="1"/>
  <c r="RJT53" i="9" s="1"/>
  <c r="RJU53" i="9" s="1"/>
  <c r="RJV53" i="9" s="1"/>
  <c r="RJW53" i="9" s="1"/>
  <c r="RJX53" i="9" s="1"/>
  <c r="RJY53" i="9" s="1"/>
  <c r="RJZ53" i="9" s="1"/>
  <c r="RKA53" i="9" s="1"/>
  <c r="RKB53" i="9" s="1"/>
  <c r="RKC53" i="9" s="1"/>
  <c r="RKD53" i="9" s="1"/>
  <c r="RKE53" i="9" s="1"/>
  <c r="RKF53" i="9" s="1"/>
  <c r="RKG53" i="9" s="1"/>
  <c r="RKH53" i="9" s="1"/>
  <c r="RKI53" i="9" s="1"/>
  <c r="RKJ53" i="9" s="1"/>
  <c r="RKK53" i="9" s="1"/>
  <c r="RKL53" i="9" s="1"/>
  <c r="RKM53" i="9" s="1"/>
  <c r="RKN53" i="9" s="1"/>
  <c r="RKO53" i="9" s="1"/>
  <c r="RKP53" i="9" s="1"/>
  <c r="RKQ53" i="9" s="1"/>
  <c r="RKR53" i="9" s="1"/>
  <c r="RKS53" i="9" s="1"/>
  <c r="RKT53" i="9" s="1"/>
  <c r="RKU53" i="9" s="1"/>
  <c r="RKV53" i="9" s="1"/>
  <c r="RKW53" i="9" s="1"/>
  <c r="RKX53" i="9" s="1"/>
  <c r="RKY53" i="9" s="1"/>
  <c r="RKZ53" i="9" s="1"/>
  <c r="RLA53" i="9" s="1"/>
  <c r="RLB53" i="9" s="1"/>
  <c r="RLC53" i="9" s="1"/>
  <c r="RLD53" i="9" s="1"/>
  <c r="RLE53" i="9" s="1"/>
  <c r="RLF53" i="9" s="1"/>
  <c r="RLG53" i="9" s="1"/>
  <c r="RLH53" i="9" s="1"/>
  <c r="RLI53" i="9" s="1"/>
  <c r="RLJ53" i="9" s="1"/>
  <c r="RLK53" i="9" s="1"/>
  <c r="RLL53" i="9" s="1"/>
  <c r="RLM53" i="9" s="1"/>
  <c r="RLN53" i="9" s="1"/>
  <c r="RLO53" i="9" s="1"/>
  <c r="RLP53" i="9" s="1"/>
  <c r="RLQ53" i="9" s="1"/>
  <c r="RLR53" i="9" s="1"/>
  <c r="RLS53" i="9" s="1"/>
  <c r="RLT53" i="9" s="1"/>
  <c r="RLU53" i="9" s="1"/>
  <c r="RLV53" i="9" s="1"/>
  <c r="RLW53" i="9" s="1"/>
  <c r="RLX53" i="9" s="1"/>
  <c r="RLY53" i="9" s="1"/>
  <c r="RLZ53" i="9" s="1"/>
  <c r="RMA53" i="9" s="1"/>
  <c r="RMB53" i="9" s="1"/>
  <c r="RMC53" i="9" s="1"/>
  <c r="RMD53" i="9" s="1"/>
  <c r="RME53" i="9" s="1"/>
  <c r="RMF53" i="9" s="1"/>
  <c r="RMG53" i="9" s="1"/>
  <c r="RMH53" i="9" s="1"/>
  <c r="RMI53" i="9" s="1"/>
  <c r="RMJ53" i="9" s="1"/>
  <c r="RMK53" i="9" s="1"/>
  <c r="RML53" i="9" s="1"/>
  <c r="RMM53" i="9" s="1"/>
  <c r="RMN53" i="9" s="1"/>
  <c r="RMO53" i="9" s="1"/>
  <c r="RMP53" i="9" s="1"/>
  <c r="RMQ53" i="9" s="1"/>
  <c r="RMR53" i="9" s="1"/>
  <c r="RMS53" i="9" s="1"/>
  <c r="RMT53" i="9" s="1"/>
  <c r="RMU53" i="9" s="1"/>
  <c r="RMV53" i="9" s="1"/>
  <c r="RMW53" i="9" s="1"/>
  <c r="RMX53" i="9" s="1"/>
  <c r="RMY53" i="9" s="1"/>
  <c r="RMZ53" i="9" s="1"/>
  <c r="RNA53" i="9" s="1"/>
  <c r="RNB53" i="9" s="1"/>
  <c r="RNC53" i="9" s="1"/>
  <c r="RND53" i="9" s="1"/>
  <c r="RNE53" i="9" s="1"/>
  <c r="RNF53" i="9" s="1"/>
  <c r="RNG53" i="9" s="1"/>
  <c r="RNH53" i="9" s="1"/>
  <c r="RNI53" i="9" s="1"/>
  <c r="RNJ53" i="9" s="1"/>
  <c r="RNK53" i="9" s="1"/>
  <c r="RNL53" i="9" s="1"/>
  <c r="RNM53" i="9" s="1"/>
  <c r="RNN53" i="9" s="1"/>
  <c r="RNO53" i="9" s="1"/>
  <c r="RNP53" i="9" s="1"/>
  <c r="RNQ53" i="9" s="1"/>
  <c r="RNR53" i="9" s="1"/>
  <c r="RNS53" i="9" s="1"/>
  <c r="RNT53" i="9" s="1"/>
  <c r="RNU53" i="9" s="1"/>
  <c r="RNV53" i="9" s="1"/>
  <c r="RNW53" i="9" s="1"/>
  <c r="RNX53" i="9" s="1"/>
  <c r="RNY53" i="9" s="1"/>
  <c r="RNZ53" i="9" s="1"/>
  <c r="ROA53" i="9" s="1"/>
  <c r="ROB53" i="9" s="1"/>
  <c r="ROC53" i="9" s="1"/>
  <c r="ROD53" i="9" s="1"/>
  <c r="ROE53" i="9" s="1"/>
  <c r="ROF53" i="9" s="1"/>
  <c r="ROG53" i="9" s="1"/>
  <c r="ROH53" i="9" s="1"/>
  <c r="ROI53" i="9" s="1"/>
  <c r="ROJ53" i="9" s="1"/>
  <c r="ROK53" i="9" s="1"/>
  <c r="ROL53" i="9" s="1"/>
  <c r="ROM53" i="9" s="1"/>
  <c r="RON53" i="9" s="1"/>
  <c r="ROO53" i="9" s="1"/>
  <c r="ROP53" i="9" s="1"/>
  <c r="ROQ53" i="9" s="1"/>
  <c r="ROR53" i="9" s="1"/>
  <c r="ROS53" i="9" s="1"/>
  <c r="ROT53" i="9" s="1"/>
  <c r="ROU53" i="9" s="1"/>
  <c r="ROV53" i="9" s="1"/>
  <c r="ROW53" i="9" s="1"/>
  <c r="ROX53" i="9" s="1"/>
  <c r="ROY53" i="9" s="1"/>
  <c r="ROZ53" i="9" s="1"/>
  <c r="RPA53" i="9" s="1"/>
  <c r="RPB53" i="9" s="1"/>
  <c r="RPC53" i="9" s="1"/>
  <c r="RPD53" i="9" s="1"/>
  <c r="RPE53" i="9" s="1"/>
  <c r="RPF53" i="9" s="1"/>
  <c r="RPG53" i="9" s="1"/>
  <c r="RPH53" i="9" s="1"/>
  <c r="RPI53" i="9" s="1"/>
  <c r="RPJ53" i="9" s="1"/>
  <c r="RPK53" i="9" s="1"/>
  <c r="RPL53" i="9" s="1"/>
  <c r="RPM53" i="9" s="1"/>
  <c r="RPN53" i="9" s="1"/>
  <c r="RPO53" i="9" s="1"/>
  <c r="RPP53" i="9" s="1"/>
  <c r="RPQ53" i="9" s="1"/>
  <c r="RPR53" i="9" s="1"/>
  <c r="RPS53" i="9" s="1"/>
  <c r="RPT53" i="9" s="1"/>
  <c r="RPU53" i="9" s="1"/>
  <c r="RPV53" i="9" s="1"/>
  <c r="RPW53" i="9" s="1"/>
  <c r="RPX53" i="9" s="1"/>
  <c r="RPY53" i="9" s="1"/>
  <c r="RPZ53" i="9" s="1"/>
  <c r="RQA53" i="9" s="1"/>
  <c r="RQB53" i="9" s="1"/>
  <c r="RQC53" i="9" s="1"/>
  <c r="RQD53" i="9" s="1"/>
  <c r="RQE53" i="9" s="1"/>
  <c r="RQF53" i="9" s="1"/>
  <c r="RQG53" i="9" s="1"/>
  <c r="RQH53" i="9" s="1"/>
  <c r="RQI53" i="9" s="1"/>
  <c r="RQJ53" i="9" s="1"/>
  <c r="RQK53" i="9" s="1"/>
  <c r="RQL53" i="9" s="1"/>
  <c r="RQM53" i="9" s="1"/>
  <c r="RQN53" i="9" s="1"/>
  <c r="RQO53" i="9" s="1"/>
  <c r="RQP53" i="9" s="1"/>
  <c r="RQQ53" i="9" s="1"/>
  <c r="RQR53" i="9" s="1"/>
  <c r="RQS53" i="9" s="1"/>
  <c r="RQT53" i="9" s="1"/>
  <c r="RQU53" i="9" s="1"/>
  <c r="RQV53" i="9" s="1"/>
  <c r="RQW53" i="9" s="1"/>
  <c r="RQX53" i="9" s="1"/>
  <c r="RQY53" i="9" s="1"/>
  <c r="RQZ53" i="9" s="1"/>
  <c r="RRA53" i="9" s="1"/>
  <c r="RRB53" i="9" s="1"/>
  <c r="RRC53" i="9" s="1"/>
  <c r="RRD53" i="9" s="1"/>
  <c r="RRE53" i="9" s="1"/>
  <c r="RRF53" i="9" s="1"/>
  <c r="RRG53" i="9" s="1"/>
  <c r="RRH53" i="9" s="1"/>
  <c r="RRI53" i="9" s="1"/>
  <c r="RRJ53" i="9" s="1"/>
  <c r="RRK53" i="9" s="1"/>
  <c r="RRL53" i="9" s="1"/>
  <c r="RRM53" i="9" s="1"/>
  <c r="RRN53" i="9" s="1"/>
  <c r="RRO53" i="9" s="1"/>
  <c r="RRP53" i="9" s="1"/>
  <c r="RRQ53" i="9" s="1"/>
  <c r="RRR53" i="9" s="1"/>
  <c r="RRS53" i="9" s="1"/>
  <c r="RRT53" i="9" s="1"/>
  <c r="RRU53" i="9" s="1"/>
  <c r="RRV53" i="9" s="1"/>
  <c r="RRW53" i="9" s="1"/>
  <c r="RRX53" i="9" s="1"/>
  <c r="RRY53" i="9" s="1"/>
  <c r="RRZ53" i="9" s="1"/>
  <c r="RSA53" i="9" s="1"/>
  <c r="RSB53" i="9" s="1"/>
  <c r="RSC53" i="9" s="1"/>
  <c r="RSD53" i="9" s="1"/>
  <c r="RSE53" i="9" s="1"/>
  <c r="RSF53" i="9" s="1"/>
  <c r="RSG53" i="9" s="1"/>
  <c r="RSH53" i="9" s="1"/>
  <c r="RSI53" i="9" s="1"/>
  <c r="RSJ53" i="9" s="1"/>
  <c r="RSK53" i="9" s="1"/>
  <c r="RSL53" i="9" s="1"/>
  <c r="RSM53" i="9" s="1"/>
  <c r="RSN53" i="9" s="1"/>
  <c r="RSO53" i="9" s="1"/>
  <c r="RSP53" i="9" s="1"/>
  <c r="RSQ53" i="9" s="1"/>
  <c r="RSR53" i="9" s="1"/>
  <c r="RSS53" i="9" s="1"/>
  <c r="RST53" i="9" s="1"/>
  <c r="RSU53" i="9" s="1"/>
  <c r="RSV53" i="9" s="1"/>
  <c r="RSW53" i="9" s="1"/>
  <c r="RSX53" i="9" s="1"/>
  <c r="RSY53" i="9" s="1"/>
  <c r="RSZ53" i="9" s="1"/>
  <c r="RTA53" i="9" s="1"/>
  <c r="RTB53" i="9" s="1"/>
  <c r="RTC53" i="9" s="1"/>
  <c r="RTD53" i="9" s="1"/>
  <c r="RTE53" i="9" s="1"/>
  <c r="RTF53" i="9" s="1"/>
  <c r="RTG53" i="9" s="1"/>
  <c r="RTH53" i="9" s="1"/>
  <c r="RTI53" i="9" s="1"/>
  <c r="RTJ53" i="9" s="1"/>
  <c r="RTK53" i="9" s="1"/>
  <c r="RTL53" i="9" s="1"/>
  <c r="RTM53" i="9" s="1"/>
  <c r="RTN53" i="9" s="1"/>
  <c r="RTO53" i="9" s="1"/>
  <c r="RTP53" i="9" s="1"/>
  <c r="RTQ53" i="9" s="1"/>
  <c r="RTR53" i="9" s="1"/>
  <c r="RTS53" i="9" s="1"/>
  <c r="RTT53" i="9" s="1"/>
  <c r="RTU53" i="9" s="1"/>
  <c r="RTV53" i="9" s="1"/>
  <c r="RTW53" i="9" s="1"/>
  <c r="RTX53" i="9" s="1"/>
  <c r="RTY53" i="9" s="1"/>
  <c r="RTZ53" i="9" s="1"/>
  <c r="RUA53" i="9" s="1"/>
  <c r="RUB53" i="9" s="1"/>
  <c r="RUC53" i="9" s="1"/>
  <c r="RUD53" i="9" s="1"/>
  <c r="RUE53" i="9" s="1"/>
  <c r="RUF53" i="9" s="1"/>
  <c r="RUG53" i="9" s="1"/>
  <c r="RUH53" i="9" s="1"/>
  <c r="RUI53" i="9" s="1"/>
  <c r="RUJ53" i="9" s="1"/>
  <c r="RUK53" i="9" s="1"/>
  <c r="RUL53" i="9" s="1"/>
  <c r="RUM53" i="9" s="1"/>
  <c r="RUN53" i="9" s="1"/>
  <c r="RUO53" i="9" s="1"/>
  <c r="RUP53" i="9" s="1"/>
  <c r="RUQ53" i="9" s="1"/>
  <c r="RUR53" i="9" s="1"/>
  <c r="RUS53" i="9" s="1"/>
  <c r="RUT53" i="9" s="1"/>
  <c r="RUU53" i="9" s="1"/>
  <c r="RUV53" i="9" s="1"/>
  <c r="RUW53" i="9" s="1"/>
  <c r="RUX53" i="9" s="1"/>
  <c r="RUY53" i="9" s="1"/>
  <c r="RUZ53" i="9" s="1"/>
  <c r="RVA53" i="9" s="1"/>
  <c r="RVB53" i="9" s="1"/>
  <c r="RVC53" i="9" s="1"/>
  <c r="RVD53" i="9" s="1"/>
  <c r="RVE53" i="9" s="1"/>
  <c r="RVF53" i="9" s="1"/>
  <c r="RVG53" i="9" s="1"/>
  <c r="RVH53" i="9" s="1"/>
  <c r="RVI53" i="9" s="1"/>
  <c r="RVJ53" i="9" s="1"/>
  <c r="RVK53" i="9" s="1"/>
  <c r="RVL53" i="9" s="1"/>
  <c r="RVM53" i="9" s="1"/>
  <c r="RVN53" i="9" s="1"/>
  <c r="RVO53" i="9" s="1"/>
  <c r="RVP53" i="9" s="1"/>
  <c r="RVQ53" i="9" s="1"/>
  <c r="RVR53" i="9" s="1"/>
  <c r="RVS53" i="9" s="1"/>
  <c r="RVT53" i="9" s="1"/>
  <c r="RVU53" i="9" s="1"/>
  <c r="RVV53" i="9" s="1"/>
  <c r="RVW53" i="9" s="1"/>
  <c r="RVX53" i="9" s="1"/>
  <c r="RVY53" i="9" s="1"/>
  <c r="RVZ53" i="9" s="1"/>
  <c r="RWA53" i="9" s="1"/>
  <c r="RWB53" i="9" s="1"/>
  <c r="RWC53" i="9" s="1"/>
  <c r="RWD53" i="9" s="1"/>
  <c r="RWE53" i="9" s="1"/>
  <c r="RWF53" i="9" s="1"/>
  <c r="RWG53" i="9" s="1"/>
  <c r="RWH53" i="9" s="1"/>
  <c r="RWI53" i="9" s="1"/>
  <c r="RWJ53" i="9" s="1"/>
  <c r="RWK53" i="9" s="1"/>
  <c r="RWL53" i="9" s="1"/>
  <c r="RWM53" i="9" s="1"/>
  <c r="RWN53" i="9" s="1"/>
  <c r="RWO53" i="9" s="1"/>
  <c r="RWP53" i="9" s="1"/>
  <c r="RWQ53" i="9" s="1"/>
  <c r="RWR53" i="9" s="1"/>
  <c r="RWS53" i="9" s="1"/>
  <c r="RWT53" i="9" s="1"/>
  <c r="RWU53" i="9" s="1"/>
  <c r="RWV53" i="9" s="1"/>
  <c r="RWW53" i="9" s="1"/>
  <c r="RWX53" i="9" s="1"/>
  <c r="RWY53" i="9" s="1"/>
  <c r="RWZ53" i="9" s="1"/>
  <c r="RXA53" i="9" s="1"/>
  <c r="RXB53" i="9" s="1"/>
  <c r="RXC53" i="9" s="1"/>
  <c r="RXD53" i="9" s="1"/>
  <c r="RXE53" i="9" s="1"/>
  <c r="RXF53" i="9" s="1"/>
  <c r="RXG53" i="9" s="1"/>
  <c r="RXH53" i="9" s="1"/>
  <c r="RXI53" i="9" s="1"/>
  <c r="RXJ53" i="9" s="1"/>
  <c r="RXK53" i="9" s="1"/>
  <c r="RXL53" i="9" s="1"/>
  <c r="RXM53" i="9" s="1"/>
  <c r="RXN53" i="9" s="1"/>
  <c r="RXO53" i="9" s="1"/>
  <c r="RXP53" i="9" s="1"/>
  <c r="RXQ53" i="9" s="1"/>
  <c r="RXR53" i="9" s="1"/>
  <c r="RXS53" i="9" s="1"/>
  <c r="RXT53" i="9" s="1"/>
  <c r="RXU53" i="9" s="1"/>
  <c r="RXV53" i="9" s="1"/>
  <c r="RXW53" i="9" s="1"/>
  <c r="RXX53" i="9" s="1"/>
  <c r="RXY53" i="9" s="1"/>
  <c r="RXZ53" i="9" s="1"/>
  <c r="RYA53" i="9" s="1"/>
  <c r="RYB53" i="9" s="1"/>
  <c r="RYC53" i="9" s="1"/>
  <c r="RYD53" i="9" s="1"/>
  <c r="RYE53" i="9" s="1"/>
  <c r="RYF53" i="9" s="1"/>
  <c r="RYG53" i="9" s="1"/>
  <c r="RYH53" i="9" s="1"/>
  <c r="RYI53" i="9" s="1"/>
  <c r="RYJ53" i="9" s="1"/>
  <c r="RYK53" i="9" s="1"/>
  <c r="RYL53" i="9" s="1"/>
  <c r="RYM53" i="9" s="1"/>
  <c r="RYN53" i="9" s="1"/>
  <c r="RYO53" i="9" s="1"/>
  <c r="RYP53" i="9" s="1"/>
  <c r="RYQ53" i="9" s="1"/>
  <c r="RYR53" i="9" s="1"/>
  <c r="RYS53" i="9" s="1"/>
  <c r="RYT53" i="9" s="1"/>
  <c r="RYU53" i="9" s="1"/>
  <c r="RYV53" i="9" s="1"/>
  <c r="RYW53" i="9" s="1"/>
  <c r="RYX53" i="9" s="1"/>
  <c r="RYY53" i="9" s="1"/>
  <c r="RYZ53" i="9" s="1"/>
  <c r="RZA53" i="9" s="1"/>
  <c r="RZB53" i="9" s="1"/>
  <c r="RZC53" i="9" s="1"/>
  <c r="RZD53" i="9" s="1"/>
  <c r="RZE53" i="9" s="1"/>
  <c r="RZF53" i="9" s="1"/>
  <c r="RZG53" i="9" s="1"/>
  <c r="RZH53" i="9" s="1"/>
  <c r="RZI53" i="9" s="1"/>
  <c r="RZJ53" i="9" s="1"/>
  <c r="RZK53" i="9" s="1"/>
  <c r="RZL53" i="9" s="1"/>
  <c r="RZM53" i="9" s="1"/>
  <c r="RZN53" i="9" s="1"/>
  <c r="RZO53" i="9" s="1"/>
  <c r="RZP53" i="9" s="1"/>
  <c r="RZQ53" i="9" s="1"/>
  <c r="RZR53" i="9" s="1"/>
  <c r="RZS53" i="9" s="1"/>
  <c r="RZT53" i="9" s="1"/>
  <c r="RZU53" i="9" s="1"/>
  <c r="RZV53" i="9" s="1"/>
  <c r="RZW53" i="9" s="1"/>
  <c r="RZX53" i="9" s="1"/>
  <c r="RZY53" i="9" s="1"/>
  <c r="RZZ53" i="9" s="1"/>
  <c r="SAA53" i="9" s="1"/>
  <c r="SAB53" i="9" s="1"/>
  <c r="SAC53" i="9" s="1"/>
  <c r="SAD53" i="9" s="1"/>
  <c r="SAE53" i="9" s="1"/>
  <c r="SAF53" i="9" s="1"/>
  <c r="SAG53" i="9" s="1"/>
  <c r="SAH53" i="9" s="1"/>
  <c r="SAI53" i="9" s="1"/>
  <c r="SAJ53" i="9" s="1"/>
  <c r="SAK53" i="9" s="1"/>
  <c r="SAL53" i="9" s="1"/>
  <c r="SAM53" i="9" s="1"/>
  <c r="SAN53" i="9" s="1"/>
  <c r="SAO53" i="9" s="1"/>
  <c r="SAP53" i="9" s="1"/>
  <c r="SAQ53" i="9" s="1"/>
  <c r="SAR53" i="9" s="1"/>
  <c r="SAS53" i="9" s="1"/>
  <c r="SAT53" i="9" s="1"/>
  <c r="SAU53" i="9" s="1"/>
  <c r="SAV53" i="9" s="1"/>
  <c r="SAW53" i="9" s="1"/>
  <c r="SAX53" i="9" s="1"/>
  <c r="SAY53" i="9" s="1"/>
  <c r="SAZ53" i="9" s="1"/>
  <c r="SBA53" i="9" s="1"/>
  <c r="SBB53" i="9" s="1"/>
  <c r="SBC53" i="9" s="1"/>
  <c r="SBD53" i="9" s="1"/>
  <c r="SBE53" i="9" s="1"/>
  <c r="SBF53" i="9" s="1"/>
  <c r="SBG53" i="9" s="1"/>
  <c r="SBH53" i="9" s="1"/>
  <c r="SBI53" i="9" s="1"/>
  <c r="SBJ53" i="9" s="1"/>
  <c r="SBK53" i="9" s="1"/>
  <c r="SBL53" i="9" s="1"/>
  <c r="SBM53" i="9" s="1"/>
  <c r="SBN53" i="9" s="1"/>
  <c r="SBO53" i="9" s="1"/>
  <c r="SBP53" i="9" s="1"/>
  <c r="SBQ53" i="9" s="1"/>
  <c r="SBR53" i="9" s="1"/>
  <c r="SBS53" i="9" s="1"/>
  <c r="SBT53" i="9" s="1"/>
  <c r="SBU53" i="9" s="1"/>
  <c r="SBV53" i="9" s="1"/>
  <c r="SBW53" i="9" s="1"/>
  <c r="SBX53" i="9" s="1"/>
  <c r="SBY53" i="9" s="1"/>
  <c r="SBZ53" i="9" s="1"/>
  <c r="SCA53" i="9" s="1"/>
  <c r="SCB53" i="9" s="1"/>
  <c r="SCC53" i="9" s="1"/>
  <c r="SCD53" i="9" s="1"/>
  <c r="SCE53" i="9" s="1"/>
  <c r="SCF53" i="9" s="1"/>
  <c r="SCG53" i="9" s="1"/>
  <c r="SCH53" i="9" s="1"/>
  <c r="SCI53" i="9" s="1"/>
  <c r="SCJ53" i="9" s="1"/>
  <c r="SCK53" i="9" s="1"/>
  <c r="SCL53" i="9" s="1"/>
  <c r="SCM53" i="9" s="1"/>
  <c r="SCN53" i="9" s="1"/>
  <c r="SCO53" i="9" s="1"/>
  <c r="SCP53" i="9" s="1"/>
  <c r="SCQ53" i="9" s="1"/>
  <c r="SCR53" i="9" s="1"/>
  <c r="SCS53" i="9" s="1"/>
  <c r="SCT53" i="9" s="1"/>
  <c r="SCU53" i="9" s="1"/>
  <c r="SCV53" i="9" s="1"/>
  <c r="SCW53" i="9" s="1"/>
  <c r="SCX53" i="9" s="1"/>
  <c r="SCY53" i="9" s="1"/>
  <c r="SCZ53" i="9" s="1"/>
  <c r="SDA53" i="9" s="1"/>
  <c r="SDB53" i="9" s="1"/>
  <c r="SDC53" i="9" s="1"/>
  <c r="SDD53" i="9" s="1"/>
  <c r="SDE53" i="9" s="1"/>
  <c r="SDF53" i="9" s="1"/>
  <c r="SDG53" i="9" s="1"/>
  <c r="SDH53" i="9" s="1"/>
  <c r="SDI53" i="9" s="1"/>
  <c r="SDJ53" i="9" s="1"/>
  <c r="SDK53" i="9" s="1"/>
  <c r="SDL53" i="9" s="1"/>
  <c r="SDM53" i="9" s="1"/>
  <c r="SDN53" i="9" s="1"/>
  <c r="SDO53" i="9" s="1"/>
  <c r="SDP53" i="9" s="1"/>
  <c r="SDQ53" i="9" s="1"/>
  <c r="SDR53" i="9" s="1"/>
  <c r="SDS53" i="9" s="1"/>
  <c r="SDT53" i="9" s="1"/>
  <c r="SDU53" i="9" s="1"/>
  <c r="SDV53" i="9" s="1"/>
  <c r="SDW53" i="9" s="1"/>
  <c r="SDX53" i="9" s="1"/>
  <c r="SDY53" i="9" s="1"/>
  <c r="SDZ53" i="9" s="1"/>
  <c r="SEA53" i="9" s="1"/>
  <c r="SEB53" i="9" s="1"/>
  <c r="SEC53" i="9" s="1"/>
  <c r="SED53" i="9" s="1"/>
  <c r="SEE53" i="9" s="1"/>
  <c r="SEF53" i="9" s="1"/>
  <c r="SEG53" i="9" s="1"/>
  <c r="SEH53" i="9" s="1"/>
  <c r="SEI53" i="9" s="1"/>
  <c r="SEJ53" i="9" s="1"/>
  <c r="SEK53" i="9" s="1"/>
  <c r="SEL53" i="9" s="1"/>
  <c r="SEM53" i="9" s="1"/>
  <c r="SEN53" i="9" s="1"/>
  <c r="SEO53" i="9" s="1"/>
  <c r="SEP53" i="9" s="1"/>
  <c r="SEQ53" i="9" s="1"/>
  <c r="SER53" i="9" s="1"/>
  <c r="SES53" i="9" s="1"/>
  <c r="SET53" i="9" s="1"/>
  <c r="SEU53" i="9" s="1"/>
  <c r="SEV53" i="9" s="1"/>
  <c r="SEW53" i="9" s="1"/>
  <c r="SEX53" i="9" s="1"/>
  <c r="SEY53" i="9" s="1"/>
  <c r="SEZ53" i="9" s="1"/>
  <c r="SFA53" i="9" s="1"/>
  <c r="SFB53" i="9" s="1"/>
  <c r="SFC53" i="9" s="1"/>
  <c r="SFD53" i="9" s="1"/>
  <c r="SFE53" i="9" s="1"/>
  <c r="SFF53" i="9" s="1"/>
  <c r="SFG53" i="9" s="1"/>
  <c r="SFH53" i="9" s="1"/>
  <c r="SFI53" i="9" s="1"/>
  <c r="SFJ53" i="9" s="1"/>
  <c r="SFK53" i="9" s="1"/>
  <c r="SFL53" i="9" s="1"/>
  <c r="SFM53" i="9" s="1"/>
  <c r="SFN53" i="9" s="1"/>
  <c r="SFO53" i="9" s="1"/>
  <c r="SFP53" i="9" s="1"/>
  <c r="SFQ53" i="9" s="1"/>
  <c r="SFR53" i="9" s="1"/>
  <c r="SFS53" i="9" s="1"/>
  <c r="SFT53" i="9" s="1"/>
  <c r="SFU53" i="9" s="1"/>
  <c r="SFV53" i="9" s="1"/>
  <c r="SFW53" i="9" s="1"/>
  <c r="SFX53" i="9" s="1"/>
  <c r="SFY53" i="9" s="1"/>
  <c r="SFZ53" i="9" s="1"/>
  <c r="SGA53" i="9" s="1"/>
  <c r="SGB53" i="9" s="1"/>
  <c r="SGC53" i="9" s="1"/>
  <c r="SGD53" i="9" s="1"/>
  <c r="SGE53" i="9" s="1"/>
  <c r="SGF53" i="9" s="1"/>
  <c r="SGG53" i="9" s="1"/>
  <c r="SGH53" i="9" s="1"/>
  <c r="SGI53" i="9" s="1"/>
  <c r="SGJ53" i="9" s="1"/>
  <c r="SGK53" i="9" s="1"/>
  <c r="SGL53" i="9" s="1"/>
  <c r="SGM53" i="9" s="1"/>
  <c r="SGN53" i="9" s="1"/>
  <c r="SGO53" i="9" s="1"/>
  <c r="SGP53" i="9" s="1"/>
  <c r="SGQ53" i="9" s="1"/>
  <c r="SGR53" i="9" s="1"/>
  <c r="SGS53" i="9" s="1"/>
  <c r="SGT53" i="9" s="1"/>
  <c r="SGU53" i="9" s="1"/>
  <c r="SGV53" i="9" s="1"/>
  <c r="SGW53" i="9" s="1"/>
  <c r="SGX53" i="9" s="1"/>
  <c r="SGY53" i="9" s="1"/>
  <c r="SGZ53" i="9" s="1"/>
  <c r="SHA53" i="9" s="1"/>
  <c r="SHB53" i="9" s="1"/>
  <c r="SHC53" i="9" s="1"/>
  <c r="SHD53" i="9" s="1"/>
  <c r="SHE53" i="9" s="1"/>
  <c r="SHF53" i="9" s="1"/>
  <c r="SHG53" i="9" s="1"/>
  <c r="SHH53" i="9" s="1"/>
  <c r="SHI53" i="9" s="1"/>
  <c r="SHJ53" i="9" s="1"/>
  <c r="SHK53" i="9" s="1"/>
  <c r="SHL53" i="9" s="1"/>
  <c r="SHM53" i="9" s="1"/>
  <c r="SHN53" i="9" s="1"/>
  <c r="SHO53" i="9" s="1"/>
  <c r="SHP53" i="9" s="1"/>
  <c r="SHQ53" i="9" s="1"/>
  <c r="SHR53" i="9" s="1"/>
  <c r="SHS53" i="9" s="1"/>
  <c r="SHT53" i="9" s="1"/>
  <c r="SHU53" i="9" s="1"/>
  <c r="SHV53" i="9" s="1"/>
  <c r="SHW53" i="9" s="1"/>
  <c r="SHX53" i="9" s="1"/>
  <c r="SHY53" i="9" s="1"/>
  <c r="SHZ53" i="9" s="1"/>
  <c r="SIA53" i="9" s="1"/>
  <c r="SIB53" i="9" s="1"/>
  <c r="SIC53" i="9" s="1"/>
  <c r="SID53" i="9" s="1"/>
  <c r="SIE53" i="9" s="1"/>
  <c r="SIF53" i="9" s="1"/>
  <c r="SIG53" i="9" s="1"/>
  <c r="SIH53" i="9" s="1"/>
  <c r="SII53" i="9" s="1"/>
  <c r="SIJ53" i="9" s="1"/>
  <c r="SIK53" i="9" s="1"/>
  <c r="SIL53" i="9" s="1"/>
  <c r="SIM53" i="9" s="1"/>
  <c r="SIN53" i="9" s="1"/>
  <c r="SIO53" i="9" s="1"/>
  <c r="SIP53" i="9" s="1"/>
  <c r="SIQ53" i="9" s="1"/>
  <c r="SIR53" i="9" s="1"/>
  <c r="SIS53" i="9" s="1"/>
  <c r="SIT53" i="9" s="1"/>
  <c r="SIU53" i="9" s="1"/>
  <c r="SIV53" i="9" s="1"/>
  <c r="SIW53" i="9" s="1"/>
  <c r="SIX53" i="9" s="1"/>
  <c r="SIY53" i="9" s="1"/>
  <c r="SIZ53" i="9" s="1"/>
  <c r="SJA53" i="9" s="1"/>
  <c r="SJB53" i="9" s="1"/>
  <c r="SJC53" i="9" s="1"/>
  <c r="SJD53" i="9" s="1"/>
  <c r="SJE53" i="9" s="1"/>
  <c r="SJF53" i="9" s="1"/>
  <c r="SJG53" i="9" s="1"/>
  <c r="SJH53" i="9" s="1"/>
  <c r="SJI53" i="9" s="1"/>
  <c r="SJJ53" i="9" s="1"/>
  <c r="SJK53" i="9" s="1"/>
  <c r="SJL53" i="9" s="1"/>
  <c r="SJM53" i="9" s="1"/>
  <c r="SJN53" i="9" s="1"/>
  <c r="SJO53" i="9" s="1"/>
  <c r="SJP53" i="9" s="1"/>
  <c r="SJQ53" i="9" s="1"/>
  <c r="SJR53" i="9" s="1"/>
  <c r="SJS53" i="9" s="1"/>
  <c r="SJT53" i="9" s="1"/>
  <c r="SJU53" i="9" s="1"/>
  <c r="SJV53" i="9" s="1"/>
  <c r="SJW53" i="9" s="1"/>
  <c r="SJX53" i="9" s="1"/>
  <c r="SJY53" i="9" s="1"/>
  <c r="SJZ53" i="9" s="1"/>
  <c r="SKA53" i="9" s="1"/>
  <c r="SKB53" i="9" s="1"/>
  <c r="SKC53" i="9" s="1"/>
  <c r="SKD53" i="9" s="1"/>
  <c r="SKE53" i="9" s="1"/>
  <c r="SKF53" i="9" s="1"/>
  <c r="SKG53" i="9" s="1"/>
  <c r="SKH53" i="9" s="1"/>
  <c r="SKI53" i="9" s="1"/>
  <c r="SKJ53" i="9" s="1"/>
  <c r="SKK53" i="9" s="1"/>
  <c r="SKL53" i="9" s="1"/>
  <c r="SKM53" i="9" s="1"/>
  <c r="SKN53" i="9" s="1"/>
  <c r="SKO53" i="9" s="1"/>
  <c r="SKP53" i="9" s="1"/>
  <c r="SKQ53" i="9" s="1"/>
  <c r="SKR53" i="9" s="1"/>
  <c r="SKS53" i="9" s="1"/>
  <c r="SKT53" i="9" s="1"/>
  <c r="SKU53" i="9" s="1"/>
  <c r="SKV53" i="9" s="1"/>
  <c r="SKW53" i="9" s="1"/>
  <c r="SKX53" i="9" s="1"/>
  <c r="SKY53" i="9" s="1"/>
  <c r="SKZ53" i="9" s="1"/>
  <c r="SLA53" i="9" s="1"/>
  <c r="SLB53" i="9" s="1"/>
  <c r="SLC53" i="9" s="1"/>
  <c r="SLD53" i="9" s="1"/>
  <c r="SLE53" i="9" s="1"/>
  <c r="SLF53" i="9" s="1"/>
  <c r="SLG53" i="9" s="1"/>
  <c r="SLH53" i="9" s="1"/>
  <c r="SLI53" i="9" s="1"/>
  <c r="SLJ53" i="9" s="1"/>
  <c r="SLK53" i="9" s="1"/>
  <c r="SLL53" i="9" s="1"/>
  <c r="SLM53" i="9" s="1"/>
  <c r="SLN53" i="9" s="1"/>
  <c r="SLO53" i="9" s="1"/>
  <c r="SLP53" i="9" s="1"/>
  <c r="SLQ53" i="9" s="1"/>
  <c r="SLR53" i="9" s="1"/>
  <c r="SLS53" i="9" s="1"/>
  <c r="SLT53" i="9" s="1"/>
  <c r="SLU53" i="9" s="1"/>
  <c r="SLV53" i="9" s="1"/>
  <c r="SLW53" i="9" s="1"/>
  <c r="SLX53" i="9" s="1"/>
  <c r="SLY53" i="9" s="1"/>
  <c r="SLZ53" i="9" s="1"/>
  <c r="SMA53" i="9" s="1"/>
  <c r="SMB53" i="9" s="1"/>
  <c r="SMC53" i="9" s="1"/>
  <c r="SMD53" i="9" s="1"/>
  <c r="SME53" i="9" s="1"/>
  <c r="SMF53" i="9" s="1"/>
  <c r="SMG53" i="9" s="1"/>
  <c r="SMH53" i="9" s="1"/>
  <c r="SMI53" i="9" s="1"/>
  <c r="SMJ53" i="9" s="1"/>
  <c r="SMK53" i="9" s="1"/>
  <c r="SML53" i="9" s="1"/>
  <c r="SMM53" i="9" s="1"/>
  <c r="SMN53" i="9" s="1"/>
  <c r="SMO53" i="9" s="1"/>
  <c r="SMP53" i="9" s="1"/>
  <c r="SMQ53" i="9" s="1"/>
  <c r="SMR53" i="9" s="1"/>
  <c r="SMS53" i="9" s="1"/>
  <c r="SMT53" i="9" s="1"/>
  <c r="SMU53" i="9" s="1"/>
  <c r="SMV53" i="9" s="1"/>
  <c r="SMW53" i="9" s="1"/>
  <c r="SMX53" i="9" s="1"/>
  <c r="SMY53" i="9" s="1"/>
  <c r="SMZ53" i="9" s="1"/>
  <c r="SNA53" i="9" s="1"/>
  <c r="SNB53" i="9" s="1"/>
  <c r="SNC53" i="9" s="1"/>
  <c r="SND53" i="9" s="1"/>
  <c r="SNE53" i="9" s="1"/>
  <c r="SNF53" i="9" s="1"/>
  <c r="SNG53" i="9" s="1"/>
  <c r="SNH53" i="9" s="1"/>
  <c r="SNI53" i="9" s="1"/>
  <c r="SNJ53" i="9" s="1"/>
  <c r="SNK53" i="9" s="1"/>
  <c r="SNL53" i="9" s="1"/>
  <c r="SNM53" i="9" s="1"/>
  <c r="SNN53" i="9" s="1"/>
  <c r="SNO53" i="9" s="1"/>
  <c r="SNP53" i="9" s="1"/>
  <c r="SNQ53" i="9" s="1"/>
  <c r="SNR53" i="9" s="1"/>
  <c r="SNS53" i="9" s="1"/>
  <c r="SNT53" i="9" s="1"/>
  <c r="SNU53" i="9" s="1"/>
  <c r="SNV53" i="9" s="1"/>
  <c r="SNW53" i="9" s="1"/>
  <c r="SNX53" i="9" s="1"/>
  <c r="SNY53" i="9" s="1"/>
  <c r="SNZ53" i="9" s="1"/>
  <c r="SOA53" i="9" s="1"/>
  <c r="SOB53" i="9" s="1"/>
  <c r="SOC53" i="9" s="1"/>
  <c r="SOD53" i="9" s="1"/>
  <c r="SOE53" i="9" s="1"/>
  <c r="SOF53" i="9" s="1"/>
  <c r="SOG53" i="9" s="1"/>
  <c r="SOH53" i="9" s="1"/>
  <c r="SOI53" i="9" s="1"/>
  <c r="SOJ53" i="9" s="1"/>
  <c r="SOK53" i="9" s="1"/>
  <c r="SOL53" i="9" s="1"/>
  <c r="SOM53" i="9" s="1"/>
  <c r="SON53" i="9" s="1"/>
  <c r="SOO53" i="9" s="1"/>
  <c r="SOP53" i="9" s="1"/>
  <c r="SOQ53" i="9" s="1"/>
  <c r="SOR53" i="9" s="1"/>
  <c r="SOS53" i="9" s="1"/>
  <c r="SOT53" i="9" s="1"/>
  <c r="SOU53" i="9" s="1"/>
  <c r="SOV53" i="9" s="1"/>
  <c r="SOW53" i="9" s="1"/>
  <c r="SOX53" i="9" s="1"/>
  <c r="SOY53" i="9" s="1"/>
  <c r="SOZ53" i="9" s="1"/>
  <c r="SPA53" i="9" s="1"/>
  <c r="SPB53" i="9" s="1"/>
  <c r="SPC53" i="9" s="1"/>
  <c r="SPD53" i="9" s="1"/>
  <c r="SPE53" i="9" s="1"/>
  <c r="SPF53" i="9" s="1"/>
  <c r="SPG53" i="9" s="1"/>
  <c r="SPH53" i="9" s="1"/>
  <c r="SPI53" i="9" s="1"/>
  <c r="SPJ53" i="9" s="1"/>
  <c r="SPK53" i="9" s="1"/>
  <c r="SPL53" i="9" s="1"/>
  <c r="SPM53" i="9" s="1"/>
  <c r="SPN53" i="9" s="1"/>
  <c r="SPO53" i="9" s="1"/>
  <c r="SPP53" i="9" s="1"/>
  <c r="SPQ53" i="9" s="1"/>
  <c r="SPR53" i="9" s="1"/>
  <c r="SPS53" i="9" s="1"/>
  <c r="SPT53" i="9" s="1"/>
  <c r="SPU53" i="9" s="1"/>
  <c r="SPV53" i="9" s="1"/>
  <c r="SPW53" i="9" s="1"/>
  <c r="SPX53" i="9" s="1"/>
  <c r="SPY53" i="9" s="1"/>
  <c r="SPZ53" i="9" s="1"/>
  <c r="SQA53" i="9" s="1"/>
  <c r="SQB53" i="9" s="1"/>
  <c r="SQC53" i="9" s="1"/>
  <c r="SQD53" i="9" s="1"/>
  <c r="SQE53" i="9" s="1"/>
  <c r="SQF53" i="9" s="1"/>
  <c r="SQG53" i="9" s="1"/>
  <c r="SQH53" i="9" s="1"/>
  <c r="SQI53" i="9" s="1"/>
  <c r="SQJ53" i="9" s="1"/>
  <c r="SQK53" i="9" s="1"/>
  <c r="SQL53" i="9" s="1"/>
  <c r="SQM53" i="9" s="1"/>
  <c r="SQN53" i="9" s="1"/>
  <c r="SQO53" i="9" s="1"/>
  <c r="SQP53" i="9" s="1"/>
  <c r="SQQ53" i="9" s="1"/>
  <c r="SQR53" i="9" s="1"/>
  <c r="SQS53" i="9" s="1"/>
  <c r="SQT53" i="9" s="1"/>
  <c r="SQU53" i="9" s="1"/>
  <c r="SQV53" i="9" s="1"/>
  <c r="SQW53" i="9" s="1"/>
  <c r="SQX53" i="9" s="1"/>
  <c r="SQY53" i="9" s="1"/>
  <c r="SQZ53" i="9" s="1"/>
  <c r="SRA53" i="9" s="1"/>
  <c r="SRB53" i="9" s="1"/>
  <c r="SRC53" i="9" s="1"/>
  <c r="SRD53" i="9" s="1"/>
  <c r="SRE53" i="9" s="1"/>
  <c r="SRF53" i="9" s="1"/>
  <c r="SRG53" i="9" s="1"/>
  <c r="SRH53" i="9" s="1"/>
  <c r="SRI53" i="9" s="1"/>
  <c r="SRJ53" i="9" s="1"/>
  <c r="SRK53" i="9" s="1"/>
  <c r="SRL53" i="9" s="1"/>
  <c r="SRM53" i="9" s="1"/>
  <c r="SRN53" i="9" s="1"/>
  <c r="SRO53" i="9" s="1"/>
  <c r="SRP53" i="9" s="1"/>
  <c r="SRQ53" i="9" s="1"/>
  <c r="SRR53" i="9" s="1"/>
  <c r="SRS53" i="9" s="1"/>
  <c r="SRT53" i="9" s="1"/>
  <c r="SRU53" i="9" s="1"/>
  <c r="SRV53" i="9" s="1"/>
  <c r="SRW53" i="9" s="1"/>
  <c r="SRX53" i="9" s="1"/>
  <c r="SRY53" i="9" s="1"/>
  <c r="SRZ53" i="9" s="1"/>
  <c r="SSA53" i="9" s="1"/>
  <c r="SSB53" i="9" s="1"/>
  <c r="SSC53" i="9" s="1"/>
  <c r="SSD53" i="9" s="1"/>
  <c r="SSE53" i="9" s="1"/>
  <c r="SSF53" i="9" s="1"/>
  <c r="SSG53" i="9" s="1"/>
  <c r="SSH53" i="9" s="1"/>
  <c r="SSI53" i="9" s="1"/>
  <c r="SSJ53" i="9" s="1"/>
  <c r="SSK53" i="9" s="1"/>
  <c r="SSL53" i="9" s="1"/>
  <c r="SSM53" i="9" s="1"/>
  <c r="SSN53" i="9" s="1"/>
  <c r="SSO53" i="9" s="1"/>
  <c r="SSP53" i="9" s="1"/>
  <c r="SSQ53" i="9" s="1"/>
  <c r="SSR53" i="9" s="1"/>
  <c r="SSS53" i="9" s="1"/>
  <c r="SST53" i="9" s="1"/>
  <c r="SSU53" i="9" s="1"/>
  <c r="SSV53" i="9" s="1"/>
  <c r="SSW53" i="9" s="1"/>
  <c r="SSX53" i="9" s="1"/>
  <c r="SSY53" i="9" s="1"/>
  <c r="SSZ53" i="9" s="1"/>
  <c r="STA53" i="9" s="1"/>
  <c r="STB53" i="9" s="1"/>
  <c r="STC53" i="9" s="1"/>
  <c r="STD53" i="9" s="1"/>
  <c r="STE53" i="9" s="1"/>
  <c r="STF53" i="9" s="1"/>
  <c r="STG53" i="9" s="1"/>
  <c r="STH53" i="9" s="1"/>
  <c r="STI53" i="9" s="1"/>
  <c r="STJ53" i="9" s="1"/>
  <c r="STK53" i="9" s="1"/>
  <c r="STL53" i="9" s="1"/>
  <c r="STM53" i="9" s="1"/>
  <c r="STN53" i="9" s="1"/>
  <c r="STO53" i="9" s="1"/>
  <c r="STP53" i="9" s="1"/>
  <c r="STQ53" i="9" s="1"/>
  <c r="STR53" i="9" s="1"/>
  <c r="STS53" i="9" s="1"/>
  <c r="STT53" i="9" s="1"/>
  <c r="STU53" i="9" s="1"/>
  <c r="STV53" i="9" s="1"/>
  <c r="STW53" i="9" s="1"/>
  <c r="STX53" i="9" s="1"/>
  <c r="STY53" i="9" s="1"/>
  <c r="STZ53" i="9" s="1"/>
  <c r="SUA53" i="9" s="1"/>
  <c r="SUB53" i="9" s="1"/>
  <c r="SUC53" i="9" s="1"/>
  <c r="SUD53" i="9" s="1"/>
  <c r="SUE53" i="9" s="1"/>
  <c r="SUF53" i="9" s="1"/>
  <c r="SUG53" i="9" s="1"/>
  <c r="SUH53" i="9" s="1"/>
  <c r="SUI53" i="9" s="1"/>
  <c r="SUJ53" i="9" s="1"/>
  <c r="SUK53" i="9" s="1"/>
  <c r="SUL53" i="9" s="1"/>
  <c r="SUM53" i="9" s="1"/>
  <c r="SUN53" i="9" s="1"/>
  <c r="SUO53" i="9" s="1"/>
  <c r="SUP53" i="9" s="1"/>
  <c r="SUQ53" i="9" s="1"/>
  <c r="SUR53" i="9" s="1"/>
  <c r="SUS53" i="9" s="1"/>
  <c r="SUT53" i="9" s="1"/>
  <c r="SUU53" i="9" s="1"/>
  <c r="SUV53" i="9" s="1"/>
  <c r="SUW53" i="9" s="1"/>
  <c r="SUX53" i="9" s="1"/>
  <c r="SUY53" i="9" s="1"/>
  <c r="SUZ53" i="9" s="1"/>
  <c r="SVA53" i="9" s="1"/>
  <c r="SVB53" i="9" s="1"/>
  <c r="SVC53" i="9" s="1"/>
  <c r="SVD53" i="9" s="1"/>
  <c r="SVE53" i="9" s="1"/>
  <c r="SVF53" i="9" s="1"/>
  <c r="SVG53" i="9" s="1"/>
  <c r="SVH53" i="9" s="1"/>
  <c r="SVI53" i="9" s="1"/>
  <c r="SVJ53" i="9" s="1"/>
  <c r="SVK53" i="9" s="1"/>
  <c r="SVL53" i="9" s="1"/>
  <c r="SVM53" i="9" s="1"/>
  <c r="SVN53" i="9" s="1"/>
  <c r="SVO53" i="9" s="1"/>
  <c r="SVP53" i="9" s="1"/>
  <c r="SVQ53" i="9" s="1"/>
  <c r="SVR53" i="9" s="1"/>
  <c r="SVS53" i="9" s="1"/>
  <c r="SVT53" i="9" s="1"/>
  <c r="SVU53" i="9" s="1"/>
  <c r="SVV53" i="9" s="1"/>
  <c r="SVW53" i="9" s="1"/>
  <c r="SVX53" i="9" s="1"/>
  <c r="SVY53" i="9" s="1"/>
  <c r="SVZ53" i="9" s="1"/>
  <c r="SWA53" i="9" s="1"/>
  <c r="SWB53" i="9" s="1"/>
  <c r="SWC53" i="9" s="1"/>
  <c r="SWD53" i="9" s="1"/>
  <c r="SWE53" i="9" s="1"/>
  <c r="SWF53" i="9" s="1"/>
  <c r="SWG53" i="9" s="1"/>
  <c r="SWH53" i="9" s="1"/>
  <c r="SWI53" i="9" s="1"/>
  <c r="SWJ53" i="9" s="1"/>
  <c r="SWK53" i="9" s="1"/>
  <c r="SWL53" i="9" s="1"/>
  <c r="SWM53" i="9" s="1"/>
  <c r="SWN53" i="9" s="1"/>
  <c r="SWO53" i="9" s="1"/>
  <c r="SWP53" i="9" s="1"/>
  <c r="SWQ53" i="9" s="1"/>
  <c r="SWR53" i="9" s="1"/>
  <c r="SWS53" i="9" s="1"/>
  <c r="SWT53" i="9" s="1"/>
  <c r="SWU53" i="9" s="1"/>
  <c r="SWV53" i="9" s="1"/>
  <c r="SWW53" i="9" s="1"/>
  <c r="SWX53" i="9" s="1"/>
  <c r="SWY53" i="9" s="1"/>
  <c r="SWZ53" i="9" s="1"/>
  <c r="SXA53" i="9" s="1"/>
  <c r="SXB53" i="9" s="1"/>
  <c r="SXC53" i="9" s="1"/>
  <c r="SXD53" i="9" s="1"/>
  <c r="SXE53" i="9" s="1"/>
  <c r="SXF53" i="9" s="1"/>
  <c r="SXG53" i="9" s="1"/>
  <c r="SXH53" i="9" s="1"/>
  <c r="SXI53" i="9" s="1"/>
  <c r="SXJ53" i="9" s="1"/>
  <c r="SXK53" i="9" s="1"/>
  <c r="SXL53" i="9" s="1"/>
  <c r="SXM53" i="9" s="1"/>
  <c r="SXN53" i="9" s="1"/>
  <c r="SXO53" i="9" s="1"/>
  <c r="SXP53" i="9" s="1"/>
  <c r="SXQ53" i="9" s="1"/>
  <c r="SXR53" i="9" s="1"/>
  <c r="SXS53" i="9" s="1"/>
  <c r="SXT53" i="9" s="1"/>
  <c r="SXU53" i="9" s="1"/>
  <c r="SXV53" i="9" s="1"/>
  <c r="SXW53" i="9" s="1"/>
  <c r="SXX53" i="9" s="1"/>
  <c r="SXY53" i="9" s="1"/>
  <c r="SXZ53" i="9" s="1"/>
  <c r="SYA53" i="9" s="1"/>
  <c r="SYB53" i="9" s="1"/>
  <c r="SYC53" i="9" s="1"/>
  <c r="SYD53" i="9" s="1"/>
  <c r="SYE53" i="9" s="1"/>
  <c r="SYF53" i="9" s="1"/>
  <c r="SYG53" i="9" s="1"/>
  <c r="SYH53" i="9" s="1"/>
  <c r="SYI53" i="9" s="1"/>
  <c r="SYJ53" i="9" s="1"/>
  <c r="SYK53" i="9" s="1"/>
  <c r="SYL53" i="9" s="1"/>
  <c r="SYM53" i="9" s="1"/>
  <c r="SYN53" i="9" s="1"/>
  <c r="SYO53" i="9" s="1"/>
  <c r="SYP53" i="9" s="1"/>
  <c r="SYQ53" i="9" s="1"/>
  <c r="SYR53" i="9" s="1"/>
  <c r="SYS53" i="9" s="1"/>
  <c r="SYT53" i="9" s="1"/>
  <c r="SYU53" i="9" s="1"/>
  <c r="SYV53" i="9" s="1"/>
  <c r="SYW53" i="9" s="1"/>
  <c r="SYX53" i="9" s="1"/>
  <c r="SYY53" i="9" s="1"/>
  <c r="SYZ53" i="9" s="1"/>
  <c r="SZA53" i="9" s="1"/>
  <c r="SZB53" i="9" s="1"/>
  <c r="SZC53" i="9" s="1"/>
  <c r="SZD53" i="9" s="1"/>
  <c r="SZE53" i="9" s="1"/>
  <c r="SZF53" i="9" s="1"/>
  <c r="SZG53" i="9" s="1"/>
  <c r="SZH53" i="9" s="1"/>
  <c r="SZI53" i="9" s="1"/>
  <c r="SZJ53" i="9" s="1"/>
  <c r="SZK53" i="9" s="1"/>
  <c r="SZL53" i="9" s="1"/>
  <c r="SZM53" i="9" s="1"/>
  <c r="SZN53" i="9" s="1"/>
  <c r="SZO53" i="9" s="1"/>
  <c r="SZP53" i="9" s="1"/>
  <c r="SZQ53" i="9" s="1"/>
  <c r="SZR53" i="9" s="1"/>
  <c r="SZS53" i="9" s="1"/>
  <c r="SZT53" i="9" s="1"/>
  <c r="SZU53" i="9" s="1"/>
  <c r="SZV53" i="9" s="1"/>
  <c r="SZW53" i="9" s="1"/>
  <c r="SZX53" i="9" s="1"/>
  <c r="SZY53" i="9" s="1"/>
  <c r="SZZ53" i="9" s="1"/>
  <c r="TAA53" i="9" s="1"/>
  <c r="TAB53" i="9" s="1"/>
  <c r="TAC53" i="9" s="1"/>
  <c r="TAD53" i="9" s="1"/>
  <c r="TAE53" i="9" s="1"/>
  <c r="TAF53" i="9" s="1"/>
  <c r="TAG53" i="9" s="1"/>
  <c r="TAH53" i="9" s="1"/>
  <c r="TAI53" i="9" s="1"/>
  <c r="TAJ53" i="9" s="1"/>
  <c r="TAK53" i="9" s="1"/>
  <c r="TAL53" i="9" s="1"/>
  <c r="TAM53" i="9" s="1"/>
  <c r="TAN53" i="9" s="1"/>
  <c r="TAO53" i="9" s="1"/>
  <c r="TAP53" i="9" s="1"/>
  <c r="TAQ53" i="9" s="1"/>
  <c r="TAR53" i="9" s="1"/>
  <c r="TAS53" i="9" s="1"/>
  <c r="TAT53" i="9" s="1"/>
  <c r="TAU53" i="9" s="1"/>
  <c r="TAV53" i="9" s="1"/>
  <c r="TAW53" i="9" s="1"/>
  <c r="TAX53" i="9" s="1"/>
  <c r="TAY53" i="9" s="1"/>
  <c r="TAZ53" i="9" s="1"/>
  <c r="TBA53" i="9" s="1"/>
  <c r="TBB53" i="9" s="1"/>
  <c r="TBC53" i="9" s="1"/>
  <c r="TBD53" i="9" s="1"/>
  <c r="TBE53" i="9" s="1"/>
  <c r="TBF53" i="9" s="1"/>
  <c r="TBG53" i="9" s="1"/>
  <c r="TBH53" i="9" s="1"/>
  <c r="TBI53" i="9" s="1"/>
  <c r="TBJ53" i="9" s="1"/>
  <c r="TBK53" i="9" s="1"/>
  <c r="TBL53" i="9" s="1"/>
  <c r="TBM53" i="9" s="1"/>
  <c r="TBN53" i="9" s="1"/>
  <c r="TBO53" i="9" s="1"/>
  <c r="TBP53" i="9" s="1"/>
  <c r="TBQ53" i="9" s="1"/>
  <c r="TBR53" i="9" s="1"/>
  <c r="TBS53" i="9" s="1"/>
  <c r="TBT53" i="9" s="1"/>
  <c r="TBU53" i="9" s="1"/>
  <c r="TBV53" i="9" s="1"/>
  <c r="TBW53" i="9" s="1"/>
  <c r="TBX53" i="9" s="1"/>
  <c r="TBY53" i="9" s="1"/>
  <c r="TBZ53" i="9" s="1"/>
  <c r="TCA53" i="9" s="1"/>
  <c r="TCB53" i="9" s="1"/>
  <c r="TCC53" i="9" s="1"/>
  <c r="TCD53" i="9" s="1"/>
  <c r="TCE53" i="9" s="1"/>
  <c r="TCF53" i="9" s="1"/>
  <c r="TCG53" i="9" s="1"/>
  <c r="TCH53" i="9" s="1"/>
  <c r="TCI53" i="9" s="1"/>
  <c r="TCJ53" i="9" s="1"/>
  <c r="TCK53" i="9" s="1"/>
  <c r="TCL53" i="9" s="1"/>
  <c r="TCM53" i="9" s="1"/>
  <c r="TCN53" i="9" s="1"/>
  <c r="TCO53" i="9" s="1"/>
  <c r="TCP53" i="9" s="1"/>
  <c r="TCQ53" i="9" s="1"/>
  <c r="TCR53" i="9" s="1"/>
  <c r="TCS53" i="9" s="1"/>
  <c r="TCT53" i="9" s="1"/>
  <c r="TCU53" i="9" s="1"/>
  <c r="TCV53" i="9" s="1"/>
  <c r="TCW53" i="9" s="1"/>
  <c r="TCX53" i="9" s="1"/>
  <c r="TCY53" i="9" s="1"/>
  <c r="TCZ53" i="9" s="1"/>
  <c r="TDA53" i="9" s="1"/>
  <c r="TDB53" i="9" s="1"/>
  <c r="TDC53" i="9" s="1"/>
  <c r="TDD53" i="9" s="1"/>
  <c r="TDE53" i="9" s="1"/>
  <c r="TDF53" i="9" s="1"/>
  <c r="TDG53" i="9" s="1"/>
  <c r="TDH53" i="9" s="1"/>
  <c r="TDI53" i="9" s="1"/>
  <c r="TDJ53" i="9" s="1"/>
  <c r="TDK53" i="9" s="1"/>
  <c r="TDL53" i="9" s="1"/>
  <c r="TDM53" i="9" s="1"/>
  <c r="TDN53" i="9" s="1"/>
  <c r="TDO53" i="9" s="1"/>
  <c r="TDP53" i="9" s="1"/>
  <c r="TDQ53" i="9" s="1"/>
  <c r="TDR53" i="9" s="1"/>
  <c r="TDS53" i="9" s="1"/>
  <c r="TDT53" i="9" s="1"/>
  <c r="TDU53" i="9" s="1"/>
  <c r="TDV53" i="9" s="1"/>
  <c r="TDW53" i="9" s="1"/>
  <c r="TDX53" i="9" s="1"/>
  <c r="TDY53" i="9" s="1"/>
  <c r="TDZ53" i="9" s="1"/>
  <c r="TEA53" i="9" s="1"/>
  <c r="TEB53" i="9" s="1"/>
  <c r="TEC53" i="9" s="1"/>
  <c r="TED53" i="9" s="1"/>
  <c r="TEE53" i="9" s="1"/>
  <c r="TEF53" i="9" s="1"/>
  <c r="TEG53" i="9" s="1"/>
  <c r="TEH53" i="9" s="1"/>
  <c r="TEI53" i="9" s="1"/>
  <c r="TEJ53" i="9" s="1"/>
  <c r="TEK53" i="9" s="1"/>
  <c r="TEL53" i="9" s="1"/>
  <c r="TEM53" i="9" s="1"/>
  <c r="TEN53" i="9" s="1"/>
  <c r="TEO53" i="9" s="1"/>
  <c r="TEP53" i="9" s="1"/>
  <c r="TEQ53" i="9" s="1"/>
  <c r="TER53" i="9" s="1"/>
  <c r="TES53" i="9" s="1"/>
  <c r="TET53" i="9" s="1"/>
  <c r="TEU53" i="9" s="1"/>
  <c r="TEV53" i="9" s="1"/>
  <c r="TEW53" i="9" s="1"/>
  <c r="TEX53" i="9" s="1"/>
  <c r="TEY53" i="9" s="1"/>
  <c r="TEZ53" i="9" s="1"/>
  <c r="TFA53" i="9" s="1"/>
  <c r="TFB53" i="9" s="1"/>
  <c r="TFC53" i="9" s="1"/>
  <c r="TFD53" i="9" s="1"/>
  <c r="TFE53" i="9" s="1"/>
  <c r="TFF53" i="9" s="1"/>
  <c r="TFG53" i="9" s="1"/>
  <c r="TFH53" i="9" s="1"/>
  <c r="TFI53" i="9" s="1"/>
  <c r="TFJ53" i="9" s="1"/>
  <c r="TFK53" i="9" s="1"/>
  <c r="TFL53" i="9" s="1"/>
  <c r="TFM53" i="9" s="1"/>
  <c r="TFN53" i="9" s="1"/>
  <c r="TFO53" i="9" s="1"/>
  <c r="TFP53" i="9" s="1"/>
  <c r="TFQ53" i="9" s="1"/>
  <c r="TFR53" i="9" s="1"/>
  <c r="TFS53" i="9" s="1"/>
  <c r="TFT53" i="9" s="1"/>
  <c r="TFU53" i="9" s="1"/>
  <c r="TFV53" i="9" s="1"/>
  <c r="TFW53" i="9" s="1"/>
  <c r="TFX53" i="9" s="1"/>
  <c r="TFY53" i="9" s="1"/>
  <c r="TFZ53" i="9" s="1"/>
  <c r="TGA53" i="9" s="1"/>
  <c r="TGB53" i="9" s="1"/>
  <c r="TGC53" i="9" s="1"/>
  <c r="TGD53" i="9" s="1"/>
  <c r="TGE53" i="9" s="1"/>
  <c r="TGF53" i="9" s="1"/>
  <c r="TGG53" i="9" s="1"/>
  <c r="TGH53" i="9" s="1"/>
  <c r="TGI53" i="9" s="1"/>
  <c r="TGJ53" i="9" s="1"/>
  <c r="TGK53" i="9" s="1"/>
  <c r="TGL53" i="9" s="1"/>
  <c r="TGM53" i="9" s="1"/>
  <c r="TGN53" i="9" s="1"/>
  <c r="TGO53" i="9" s="1"/>
  <c r="TGP53" i="9" s="1"/>
  <c r="TGQ53" i="9" s="1"/>
  <c r="TGR53" i="9" s="1"/>
  <c r="TGS53" i="9" s="1"/>
  <c r="TGT53" i="9" s="1"/>
  <c r="TGU53" i="9" s="1"/>
  <c r="TGV53" i="9" s="1"/>
  <c r="TGW53" i="9" s="1"/>
  <c r="TGX53" i="9" s="1"/>
  <c r="TGY53" i="9" s="1"/>
  <c r="TGZ53" i="9" s="1"/>
  <c r="THA53" i="9" s="1"/>
  <c r="THB53" i="9" s="1"/>
  <c r="THC53" i="9" s="1"/>
  <c r="THD53" i="9" s="1"/>
  <c r="THE53" i="9" s="1"/>
  <c r="THF53" i="9" s="1"/>
  <c r="THG53" i="9" s="1"/>
  <c r="THH53" i="9" s="1"/>
  <c r="THI53" i="9" s="1"/>
  <c r="THJ53" i="9" s="1"/>
  <c r="THK53" i="9" s="1"/>
  <c r="THL53" i="9" s="1"/>
  <c r="THM53" i="9" s="1"/>
  <c r="THN53" i="9" s="1"/>
  <c r="THO53" i="9" s="1"/>
  <c r="THP53" i="9" s="1"/>
  <c r="THQ53" i="9" s="1"/>
  <c r="THR53" i="9" s="1"/>
  <c r="THS53" i="9" s="1"/>
  <c r="THT53" i="9" s="1"/>
  <c r="THU53" i="9" s="1"/>
  <c r="THV53" i="9" s="1"/>
  <c r="THW53" i="9" s="1"/>
  <c r="THX53" i="9" s="1"/>
  <c r="THY53" i="9" s="1"/>
  <c r="THZ53" i="9" s="1"/>
  <c r="TIA53" i="9" s="1"/>
  <c r="TIB53" i="9" s="1"/>
  <c r="TIC53" i="9" s="1"/>
  <c r="TID53" i="9" s="1"/>
  <c r="TIE53" i="9" s="1"/>
  <c r="TIF53" i="9" s="1"/>
  <c r="TIG53" i="9" s="1"/>
  <c r="TIH53" i="9" s="1"/>
  <c r="TII53" i="9" s="1"/>
  <c r="TIJ53" i="9" s="1"/>
  <c r="TIK53" i="9" s="1"/>
  <c r="TIL53" i="9" s="1"/>
  <c r="TIM53" i="9" s="1"/>
  <c r="TIN53" i="9" s="1"/>
  <c r="TIO53" i="9" s="1"/>
  <c r="TIP53" i="9" s="1"/>
  <c r="TIQ53" i="9" s="1"/>
  <c r="TIR53" i="9" s="1"/>
  <c r="TIS53" i="9" s="1"/>
  <c r="TIT53" i="9" s="1"/>
  <c r="TIU53" i="9" s="1"/>
  <c r="TIV53" i="9" s="1"/>
  <c r="TIW53" i="9" s="1"/>
  <c r="TIX53" i="9" s="1"/>
  <c r="TIY53" i="9" s="1"/>
  <c r="TIZ53" i="9" s="1"/>
  <c r="TJA53" i="9" s="1"/>
  <c r="TJB53" i="9" s="1"/>
  <c r="TJC53" i="9" s="1"/>
  <c r="TJD53" i="9" s="1"/>
  <c r="TJE53" i="9" s="1"/>
  <c r="TJF53" i="9" s="1"/>
  <c r="TJG53" i="9" s="1"/>
  <c r="TJH53" i="9" s="1"/>
  <c r="TJI53" i="9" s="1"/>
  <c r="TJJ53" i="9" s="1"/>
  <c r="TJK53" i="9" s="1"/>
  <c r="TJL53" i="9" s="1"/>
  <c r="TJM53" i="9" s="1"/>
  <c r="TJN53" i="9" s="1"/>
  <c r="TJO53" i="9" s="1"/>
  <c r="TJP53" i="9" s="1"/>
  <c r="TJQ53" i="9" s="1"/>
  <c r="TJR53" i="9" s="1"/>
  <c r="TJS53" i="9" s="1"/>
  <c r="TJT53" i="9" s="1"/>
  <c r="TJU53" i="9" s="1"/>
  <c r="TJV53" i="9" s="1"/>
  <c r="TJW53" i="9" s="1"/>
  <c r="TJX53" i="9" s="1"/>
  <c r="TJY53" i="9" s="1"/>
  <c r="TJZ53" i="9" s="1"/>
  <c r="TKA53" i="9" s="1"/>
  <c r="TKB53" i="9" s="1"/>
  <c r="TKC53" i="9" s="1"/>
  <c r="TKD53" i="9" s="1"/>
  <c r="TKE53" i="9" s="1"/>
  <c r="TKF53" i="9" s="1"/>
  <c r="TKG53" i="9" s="1"/>
  <c r="TKH53" i="9" s="1"/>
  <c r="TKI53" i="9" s="1"/>
  <c r="TKJ53" i="9" s="1"/>
  <c r="TKK53" i="9" s="1"/>
  <c r="TKL53" i="9" s="1"/>
  <c r="TKM53" i="9" s="1"/>
  <c r="TKN53" i="9" s="1"/>
  <c r="TKO53" i="9" s="1"/>
  <c r="TKP53" i="9" s="1"/>
  <c r="TKQ53" i="9" s="1"/>
  <c r="TKR53" i="9" s="1"/>
  <c r="TKS53" i="9" s="1"/>
  <c r="TKT53" i="9" s="1"/>
  <c r="TKU53" i="9" s="1"/>
  <c r="TKV53" i="9" s="1"/>
  <c r="TKW53" i="9" s="1"/>
  <c r="TKX53" i="9" s="1"/>
  <c r="TKY53" i="9" s="1"/>
  <c r="TKZ53" i="9" s="1"/>
  <c r="TLA53" i="9" s="1"/>
  <c r="TLB53" i="9" s="1"/>
  <c r="TLC53" i="9" s="1"/>
  <c r="TLD53" i="9" s="1"/>
  <c r="TLE53" i="9" s="1"/>
  <c r="TLF53" i="9" s="1"/>
  <c r="TLG53" i="9" s="1"/>
  <c r="TLH53" i="9" s="1"/>
  <c r="TLI53" i="9" s="1"/>
  <c r="TLJ53" i="9" s="1"/>
  <c r="TLK53" i="9" s="1"/>
  <c r="TLL53" i="9" s="1"/>
  <c r="TLM53" i="9" s="1"/>
  <c r="TLN53" i="9" s="1"/>
  <c r="TLO53" i="9" s="1"/>
  <c r="TLP53" i="9" s="1"/>
  <c r="TLQ53" i="9" s="1"/>
  <c r="TLR53" i="9" s="1"/>
  <c r="TLS53" i="9" s="1"/>
  <c r="TLT53" i="9" s="1"/>
  <c r="TLU53" i="9" s="1"/>
  <c r="TLV53" i="9" s="1"/>
  <c r="TLW53" i="9" s="1"/>
  <c r="TLX53" i="9" s="1"/>
  <c r="TLY53" i="9" s="1"/>
  <c r="TLZ53" i="9" s="1"/>
  <c r="TMA53" i="9" s="1"/>
  <c r="TMB53" i="9" s="1"/>
  <c r="TMC53" i="9" s="1"/>
  <c r="TMD53" i="9" s="1"/>
  <c r="TME53" i="9" s="1"/>
  <c r="TMF53" i="9" s="1"/>
  <c r="TMG53" i="9" s="1"/>
  <c r="TMH53" i="9" s="1"/>
  <c r="TMI53" i="9" s="1"/>
  <c r="TMJ53" i="9" s="1"/>
  <c r="TMK53" i="9" s="1"/>
  <c r="TML53" i="9" s="1"/>
  <c r="TMM53" i="9" s="1"/>
  <c r="TMN53" i="9" s="1"/>
  <c r="TMO53" i="9" s="1"/>
  <c r="TMP53" i="9" s="1"/>
  <c r="TMQ53" i="9" s="1"/>
  <c r="TMR53" i="9" s="1"/>
  <c r="TMS53" i="9" s="1"/>
  <c r="TMT53" i="9" s="1"/>
  <c r="TMU53" i="9" s="1"/>
  <c r="TMV53" i="9" s="1"/>
  <c r="TMW53" i="9" s="1"/>
  <c r="TMX53" i="9" s="1"/>
  <c r="TMY53" i="9" s="1"/>
  <c r="TMZ53" i="9" s="1"/>
  <c r="TNA53" i="9" s="1"/>
  <c r="TNB53" i="9" s="1"/>
  <c r="TNC53" i="9" s="1"/>
  <c r="TND53" i="9" s="1"/>
  <c r="TNE53" i="9" s="1"/>
  <c r="TNF53" i="9" s="1"/>
  <c r="TNG53" i="9" s="1"/>
  <c r="TNH53" i="9" s="1"/>
  <c r="TNI53" i="9" s="1"/>
  <c r="TNJ53" i="9" s="1"/>
  <c r="TNK53" i="9" s="1"/>
  <c r="TNL53" i="9" s="1"/>
  <c r="TNM53" i="9" s="1"/>
  <c r="TNN53" i="9" s="1"/>
  <c r="TNO53" i="9" s="1"/>
  <c r="TNP53" i="9" s="1"/>
  <c r="TNQ53" i="9" s="1"/>
  <c r="TNR53" i="9" s="1"/>
  <c r="TNS53" i="9" s="1"/>
  <c r="TNT53" i="9" s="1"/>
  <c r="TNU53" i="9" s="1"/>
  <c r="TNV53" i="9" s="1"/>
  <c r="TNW53" i="9" s="1"/>
  <c r="TNX53" i="9" s="1"/>
  <c r="TNY53" i="9" s="1"/>
  <c r="TNZ53" i="9" s="1"/>
  <c r="TOA53" i="9" s="1"/>
  <c r="TOB53" i="9" s="1"/>
  <c r="TOC53" i="9" s="1"/>
  <c r="TOD53" i="9" s="1"/>
  <c r="TOE53" i="9" s="1"/>
  <c r="TOF53" i="9" s="1"/>
  <c r="TOG53" i="9" s="1"/>
  <c r="TOH53" i="9" s="1"/>
  <c r="TOI53" i="9" s="1"/>
  <c r="TOJ53" i="9" s="1"/>
  <c r="TOK53" i="9" s="1"/>
  <c r="TOL53" i="9" s="1"/>
  <c r="TOM53" i="9" s="1"/>
  <c r="TON53" i="9" s="1"/>
  <c r="TOO53" i="9" s="1"/>
  <c r="TOP53" i="9" s="1"/>
  <c r="TOQ53" i="9" s="1"/>
  <c r="TOR53" i="9" s="1"/>
  <c r="TOS53" i="9" s="1"/>
  <c r="TOT53" i="9" s="1"/>
  <c r="TOU53" i="9" s="1"/>
  <c r="TOV53" i="9" s="1"/>
  <c r="TOW53" i="9" s="1"/>
  <c r="TOX53" i="9" s="1"/>
  <c r="TOY53" i="9" s="1"/>
  <c r="TOZ53" i="9" s="1"/>
  <c r="TPA53" i="9" s="1"/>
  <c r="TPB53" i="9" s="1"/>
  <c r="TPC53" i="9" s="1"/>
  <c r="TPD53" i="9" s="1"/>
  <c r="TPE53" i="9" s="1"/>
  <c r="TPF53" i="9" s="1"/>
  <c r="TPG53" i="9" s="1"/>
  <c r="TPH53" i="9" s="1"/>
  <c r="TPI53" i="9" s="1"/>
  <c r="TPJ53" i="9" s="1"/>
  <c r="TPK53" i="9" s="1"/>
  <c r="TPL53" i="9" s="1"/>
  <c r="TPM53" i="9" s="1"/>
  <c r="TPN53" i="9" s="1"/>
  <c r="TPO53" i="9" s="1"/>
  <c r="TPP53" i="9" s="1"/>
  <c r="TPQ53" i="9" s="1"/>
  <c r="TPR53" i="9" s="1"/>
  <c r="TPS53" i="9" s="1"/>
  <c r="TPT53" i="9" s="1"/>
  <c r="TPU53" i="9" s="1"/>
  <c r="TPV53" i="9" s="1"/>
  <c r="TPW53" i="9" s="1"/>
  <c r="TPX53" i="9" s="1"/>
  <c r="TPY53" i="9" s="1"/>
  <c r="TPZ53" i="9" s="1"/>
  <c r="TQA53" i="9" s="1"/>
  <c r="TQB53" i="9" s="1"/>
  <c r="TQC53" i="9" s="1"/>
  <c r="TQD53" i="9" s="1"/>
  <c r="TQE53" i="9" s="1"/>
  <c r="TQF53" i="9" s="1"/>
  <c r="TQG53" i="9" s="1"/>
  <c r="TQH53" i="9" s="1"/>
  <c r="TQI53" i="9" s="1"/>
  <c r="TQJ53" i="9" s="1"/>
  <c r="TQK53" i="9" s="1"/>
  <c r="TQL53" i="9" s="1"/>
  <c r="TQM53" i="9" s="1"/>
  <c r="TQN53" i="9" s="1"/>
  <c r="TQO53" i="9" s="1"/>
  <c r="TQP53" i="9" s="1"/>
  <c r="TQQ53" i="9" s="1"/>
  <c r="TQR53" i="9" s="1"/>
  <c r="TQS53" i="9" s="1"/>
  <c r="TQT53" i="9" s="1"/>
  <c r="TQU53" i="9" s="1"/>
  <c r="TQV53" i="9" s="1"/>
  <c r="TQW53" i="9" s="1"/>
  <c r="TQX53" i="9" s="1"/>
  <c r="TQY53" i="9" s="1"/>
  <c r="TQZ53" i="9" s="1"/>
  <c r="TRA53" i="9" s="1"/>
  <c r="TRB53" i="9" s="1"/>
  <c r="TRC53" i="9" s="1"/>
  <c r="TRD53" i="9" s="1"/>
  <c r="TRE53" i="9" s="1"/>
  <c r="TRF53" i="9" s="1"/>
  <c r="TRG53" i="9" s="1"/>
  <c r="TRH53" i="9" s="1"/>
  <c r="TRI53" i="9" s="1"/>
  <c r="TRJ53" i="9" s="1"/>
  <c r="TRK53" i="9" s="1"/>
  <c r="TRL53" i="9" s="1"/>
  <c r="TRM53" i="9" s="1"/>
  <c r="TRN53" i="9" s="1"/>
  <c r="TRO53" i="9" s="1"/>
  <c r="TRP53" i="9" s="1"/>
  <c r="TRQ53" i="9" s="1"/>
  <c r="TRR53" i="9" s="1"/>
  <c r="TRS53" i="9" s="1"/>
  <c r="TRT53" i="9" s="1"/>
  <c r="TRU53" i="9" s="1"/>
  <c r="TRV53" i="9" s="1"/>
  <c r="TRW53" i="9" s="1"/>
  <c r="TRX53" i="9" s="1"/>
  <c r="TRY53" i="9" s="1"/>
  <c r="TRZ53" i="9" s="1"/>
  <c r="TSA53" i="9" s="1"/>
  <c r="TSB53" i="9" s="1"/>
  <c r="TSC53" i="9" s="1"/>
  <c r="TSD53" i="9" s="1"/>
  <c r="TSE53" i="9" s="1"/>
  <c r="TSF53" i="9" s="1"/>
  <c r="TSG53" i="9" s="1"/>
  <c r="TSH53" i="9" s="1"/>
  <c r="TSI53" i="9" s="1"/>
  <c r="TSJ53" i="9" s="1"/>
  <c r="TSK53" i="9" s="1"/>
  <c r="TSL53" i="9" s="1"/>
  <c r="TSM53" i="9" s="1"/>
  <c r="TSN53" i="9" s="1"/>
  <c r="TSO53" i="9" s="1"/>
  <c r="TSP53" i="9" s="1"/>
  <c r="TSQ53" i="9" s="1"/>
  <c r="TSR53" i="9" s="1"/>
  <c r="TSS53" i="9" s="1"/>
  <c r="TST53" i="9" s="1"/>
  <c r="TSU53" i="9" s="1"/>
  <c r="TSV53" i="9" s="1"/>
  <c r="TSW53" i="9" s="1"/>
  <c r="TSX53" i="9" s="1"/>
  <c r="TSY53" i="9" s="1"/>
  <c r="TSZ53" i="9" s="1"/>
  <c r="TTA53" i="9" s="1"/>
  <c r="TTB53" i="9" s="1"/>
  <c r="TTC53" i="9" s="1"/>
  <c r="TTD53" i="9" s="1"/>
  <c r="TTE53" i="9" s="1"/>
  <c r="TTF53" i="9" s="1"/>
  <c r="TTG53" i="9" s="1"/>
  <c r="TTH53" i="9" s="1"/>
  <c r="TTI53" i="9" s="1"/>
  <c r="TTJ53" i="9" s="1"/>
  <c r="TTK53" i="9" s="1"/>
  <c r="TTL53" i="9" s="1"/>
  <c r="TTM53" i="9" s="1"/>
  <c r="TTN53" i="9" s="1"/>
  <c r="TTO53" i="9" s="1"/>
  <c r="TTP53" i="9" s="1"/>
  <c r="TTQ53" i="9" s="1"/>
  <c r="TTR53" i="9" s="1"/>
  <c r="TTS53" i="9" s="1"/>
  <c r="TTT53" i="9" s="1"/>
  <c r="TTU53" i="9" s="1"/>
  <c r="TTV53" i="9" s="1"/>
  <c r="TTW53" i="9" s="1"/>
  <c r="TTX53" i="9" s="1"/>
  <c r="TTY53" i="9" s="1"/>
  <c r="TTZ53" i="9" s="1"/>
  <c r="TUA53" i="9" s="1"/>
  <c r="TUB53" i="9" s="1"/>
  <c r="TUC53" i="9" s="1"/>
  <c r="TUD53" i="9" s="1"/>
  <c r="TUE53" i="9" s="1"/>
  <c r="TUF53" i="9" s="1"/>
  <c r="TUG53" i="9" s="1"/>
  <c r="TUH53" i="9" s="1"/>
  <c r="TUI53" i="9" s="1"/>
  <c r="TUJ53" i="9" s="1"/>
  <c r="TUK53" i="9" s="1"/>
  <c r="TUL53" i="9" s="1"/>
  <c r="TUM53" i="9" s="1"/>
  <c r="TUN53" i="9" s="1"/>
  <c r="TUO53" i="9" s="1"/>
  <c r="TUP53" i="9" s="1"/>
  <c r="TUQ53" i="9" s="1"/>
  <c r="TUR53" i="9" s="1"/>
  <c r="TUS53" i="9" s="1"/>
  <c r="TUT53" i="9" s="1"/>
  <c r="TUU53" i="9" s="1"/>
  <c r="TUV53" i="9" s="1"/>
  <c r="TUW53" i="9" s="1"/>
  <c r="TUX53" i="9" s="1"/>
  <c r="TUY53" i="9" s="1"/>
  <c r="TUZ53" i="9" s="1"/>
  <c r="TVA53" i="9" s="1"/>
  <c r="TVB53" i="9" s="1"/>
  <c r="TVC53" i="9" s="1"/>
  <c r="TVD53" i="9" s="1"/>
  <c r="TVE53" i="9" s="1"/>
  <c r="TVF53" i="9" s="1"/>
  <c r="TVG53" i="9" s="1"/>
  <c r="TVH53" i="9" s="1"/>
  <c r="TVI53" i="9" s="1"/>
  <c r="TVJ53" i="9" s="1"/>
  <c r="TVK53" i="9" s="1"/>
  <c r="TVL53" i="9" s="1"/>
  <c r="TVM53" i="9" s="1"/>
  <c r="TVN53" i="9" s="1"/>
  <c r="TVO53" i="9" s="1"/>
  <c r="TVP53" i="9" s="1"/>
  <c r="TVQ53" i="9" s="1"/>
  <c r="TVR53" i="9" s="1"/>
  <c r="TVS53" i="9" s="1"/>
  <c r="TVT53" i="9" s="1"/>
  <c r="TVU53" i="9" s="1"/>
  <c r="TVV53" i="9" s="1"/>
  <c r="TVW53" i="9" s="1"/>
  <c r="TVX53" i="9" s="1"/>
  <c r="TVY53" i="9" s="1"/>
  <c r="TVZ53" i="9" s="1"/>
  <c r="TWA53" i="9" s="1"/>
  <c r="TWB53" i="9" s="1"/>
  <c r="TWC53" i="9" s="1"/>
  <c r="TWD53" i="9" s="1"/>
  <c r="TWE53" i="9" s="1"/>
  <c r="TWF53" i="9" s="1"/>
  <c r="TWG53" i="9" s="1"/>
  <c r="TWH53" i="9" s="1"/>
  <c r="TWI53" i="9" s="1"/>
  <c r="TWJ53" i="9" s="1"/>
  <c r="TWK53" i="9" s="1"/>
  <c r="TWL53" i="9" s="1"/>
  <c r="TWM53" i="9" s="1"/>
  <c r="TWN53" i="9" s="1"/>
  <c r="TWO53" i="9" s="1"/>
  <c r="TWP53" i="9" s="1"/>
  <c r="TWQ53" i="9" s="1"/>
  <c r="TWR53" i="9" s="1"/>
  <c r="TWS53" i="9" s="1"/>
  <c r="TWT53" i="9" s="1"/>
  <c r="TWU53" i="9" s="1"/>
  <c r="TWV53" i="9" s="1"/>
  <c r="TWW53" i="9" s="1"/>
  <c r="TWX53" i="9" s="1"/>
  <c r="TWY53" i="9" s="1"/>
  <c r="TWZ53" i="9" s="1"/>
  <c r="TXA53" i="9" s="1"/>
  <c r="TXB53" i="9" s="1"/>
  <c r="TXC53" i="9" s="1"/>
  <c r="TXD53" i="9" s="1"/>
  <c r="TXE53" i="9" s="1"/>
  <c r="TXF53" i="9" s="1"/>
  <c r="TXG53" i="9" s="1"/>
  <c r="TXH53" i="9" s="1"/>
  <c r="TXI53" i="9" s="1"/>
  <c r="TXJ53" i="9" s="1"/>
  <c r="TXK53" i="9" s="1"/>
  <c r="TXL53" i="9" s="1"/>
  <c r="TXM53" i="9" s="1"/>
  <c r="TXN53" i="9" s="1"/>
  <c r="TXO53" i="9" s="1"/>
  <c r="TXP53" i="9" s="1"/>
  <c r="TXQ53" i="9" s="1"/>
  <c r="TXR53" i="9" s="1"/>
  <c r="TXS53" i="9" s="1"/>
  <c r="TXT53" i="9" s="1"/>
  <c r="TXU53" i="9" s="1"/>
  <c r="TXV53" i="9" s="1"/>
  <c r="TXW53" i="9" s="1"/>
  <c r="TXX53" i="9" s="1"/>
  <c r="TXY53" i="9" s="1"/>
  <c r="TXZ53" i="9" s="1"/>
  <c r="TYA53" i="9" s="1"/>
  <c r="TYB53" i="9" s="1"/>
  <c r="TYC53" i="9" s="1"/>
  <c r="TYD53" i="9" s="1"/>
  <c r="TYE53" i="9" s="1"/>
  <c r="TYF53" i="9" s="1"/>
  <c r="TYG53" i="9" s="1"/>
  <c r="TYH53" i="9" s="1"/>
  <c r="TYI53" i="9" s="1"/>
  <c r="TYJ53" i="9" s="1"/>
  <c r="TYK53" i="9" s="1"/>
  <c r="TYL53" i="9" s="1"/>
  <c r="TYM53" i="9" s="1"/>
  <c r="TYN53" i="9" s="1"/>
  <c r="TYO53" i="9" s="1"/>
  <c r="TYP53" i="9" s="1"/>
  <c r="TYQ53" i="9" s="1"/>
  <c r="TYR53" i="9" s="1"/>
  <c r="TYS53" i="9" s="1"/>
  <c r="TYT53" i="9" s="1"/>
  <c r="TYU53" i="9" s="1"/>
  <c r="TYV53" i="9" s="1"/>
  <c r="TYW53" i="9" s="1"/>
  <c r="TYX53" i="9" s="1"/>
  <c r="TYY53" i="9" s="1"/>
  <c r="TYZ53" i="9" s="1"/>
  <c r="TZA53" i="9" s="1"/>
  <c r="TZB53" i="9" s="1"/>
  <c r="TZC53" i="9" s="1"/>
  <c r="TZD53" i="9" s="1"/>
  <c r="TZE53" i="9" s="1"/>
  <c r="TZF53" i="9" s="1"/>
  <c r="TZG53" i="9" s="1"/>
  <c r="TZH53" i="9" s="1"/>
  <c r="TZI53" i="9" s="1"/>
  <c r="TZJ53" i="9" s="1"/>
  <c r="TZK53" i="9" s="1"/>
  <c r="TZL53" i="9" s="1"/>
  <c r="TZM53" i="9" s="1"/>
  <c r="TZN53" i="9" s="1"/>
  <c r="TZO53" i="9" s="1"/>
  <c r="TZP53" i="9" s="1"/>
  <c r="TZQ53" i="9" s="1"/>
  <c r="TZR53" i="9" s="1"/>
  <c r="TZS53" i="9" s="1"/>
  <c r="TZT53" i="9" s="1"/>
  <c r="TZU53" i="9" s="1"/>
  <c r="TZV53" i="9" s="1"/>
  <c r="TZW53" i="9" s="1"/>
  <c r="TZX53" i="9" s="1"/>
  <c r="TZY53" i="9" s="1"/>
  <c r="TZZ53" i="9" s="1"/>
  <c r="UAA53" i="9" s="1"/>
  <c r="UAB53" i="9" s="1"/>
  <c r="UAC53" i="9" s="1"/>
  <c r="UAD53" i="9" s="1"/>
  <c r="UAE53" i="9" s="1"/>
  <c r="UAF53" i="9" s="1"/>
  <c r="UAG53" i="9" s="1"/>
  <c r="UAH53" i="9" s="1"/>
  <c r="UAI53" i="9" s="1"/>
  <c r="UAJ53" i="9" s="1"/>
  <c r="UAK53" i="9" s="1"/>
  <c r="UAL53" i="9" s="1"/>
  <c r="UAM53" i="9" s="1"/>
  <c r="UAN53" i="9" s="1"/>
  <c r="UAO53" i="9" s="1"/>
  <c r="UAP53" i="9" s="1"/>
  <c r="UAQ53" i="9" s="1"/>
  <c r="UAR53" i="9" s="1"/>
  <c r="UAS53" i="9" s="1"/>
  <c r="UAT53" i="9" s="1"/>
  <c r="UAU53" i="9" s="1"/>
  <c r="UAV53" i="9" s="1"/>
  <c r="UAW53" i="9" s="1"/>
  <c r="UAX53" i="9" s="1"/>
  <c r="UAY53" i="9" s="1"/>
  <c r="UAZ53" i="9" s="1"/>
  <c r="UBA53" i="9" s="1"/>
  <c r="UBB53" i="9" s="1"/>
  <c r="UBC53" i="9" s="1"/>
  <c r="UBD53" i="9" s="1"/>
  <c r="UBE53" i="9" s="1"/>
  <c r="UBF53" i="9" s="1"/>
  <c r="UBG53" i="9" s="1"/>
  <c r="UBH53" i="9" s="1"/>
  <c r="UBI53" i="9" s="1"/>
  <c r="UBJ53" i="9" s="1"/>
  <c r="UBK53" i="9" s="1"/>
  <c r="UBL53" i="9" s="1"/>
  <c r="UBM53" i="9" s="1"/>
  <c r="UBN53" i="9" s="1"/>
  <c r="UBO53" i="9" s="1"/>
  <c r="UBP53" i="9" s="1"/>
  <c r="UBQ53" i="9" s="1"/>
  <c r="UBR53" i="9" s="1"/>
  <c r="UBS53" i="9" s="1"/>
  <c r="UBT53" i="9" s="1"/>
  <c r="UBU53" i="9" s="1"/>
  <c r="UBV53" i="9" s="1"/>
  <c r="UBW53" i="9" s="1"/>
  <c r="UBX53" i="9" s="1"/>
  <c r="UBY53" i="9" s="1"/>
  <c r="UBZ53" i="9" s="1"/>
  <c r="UCA53" i="9" s="1"/>
  <c r="UCB53" i="9" s="1"/>
  <c r="UCC53" i="9" s="1"/>
  <c r="UCD53" i="9" s="1"/>
  <c r="UCE53" i="9" s="1"/>
  <c r="UCF53" i="9" s="1"/>
  <c r="UCG53" i="9" s="1"/>
  <c r="UCH53" i="9" s="1"/>
  <c r="UCI53" i="9" s="1"/>
  <c r="UCJ53" i="9" s="1"/>
  <c r="UCK53" i="9" s="1"/>
  <c r="UCL53" i="9" s="1"/>
  <c r="UCM53" i="9" s="1"/>
  <c r="UCN53" i="9" s="1"/>
  <c r="UCO53" i="9" s="1"/>
  <c r="UCP53" i="9" s="1"/>
  <c r="UCQ53" i="9" s="1"/>
  <c r="UCR53" i="9" s="1"/>
  <c r="UCS53" i="9" s="1"/>
  <c r="UCT53" i="9" s="1"/>
  <c r="UCU53" i="9" s="1"/>
  <c r="UCV53" i="9" s="1"/>
  <c r="UCW53" i="9" s="1"/>
  <c r="UCX53" i="9" s="1"/>
  <c r="UCY53" i="9" s="1"/>
  <c r="UCZ53" i="9" s="1"/>
  <c r="UDA53" i="9" s="1"/>
  <c r="UDB53" i="9" s="1"/>
  <c r="UDC53" i="9" s="1"/>
  <c r="UDD53" i="9" s="1"/>
  <c r="UDE53" i="9" s="1"/>
  <c r="UDF53" i="9" s="1"/>
  <c r="UDG53" i="9" s="1"/>
  <c r="UDH53" i="9" s="1"/>
  <c r="UDI53" i="9" s="1"/>
  <c r="UDJ53" i="9" s="1"/>
  <c r="UDK53" i="9" s="1"/>
  <c r="UDL53" i="9" s="1"/>
  <c r="UDM53" i="9" s="1"/>
  <c r="UDN53" i="9" s="1"/>
  <c r="UDO53" i="9" s="1"/>
  <c r="UDP53" i="9" s="1"/>
  <c r="UDQ53" i="9" s="1"/>
  <c r="UDR53" i="9" s="1"/>
  <c r="UDS53" i="9" s="1"/>
  <c r="UDT53" i="9" s="1"/>
  <c r="UDU53" i="9" s="1"/>
  <c r="UDV53" i="9" s="1"/>
  <c r="UDW53" i="9" s="1"/>
  <c r="UDX53" i="9" s="1"/>
  <c r="UDY53" i="9" s="1"/>
  <c r="UDZ53" i="9" s="1"/>
  <c r="UEA53" i="9" s="1"/>
  <c r="UEB53" i="9" s="1"/>
  <c r="UEC53" i="9" s="1"/>
  <c r="UED53" i="9" s="1"/>
  <c r="UEE53" i="9" s="1"/>
  <c r="UEF53" i="9" s="1"/>
  <c r="UEG53" i="9" s="1"/>
  <c r="UEH53" i="9" s="1"/>
  <c r="UEI53" i="9" s="1"/>
  <c r="UEJ53" i="9" s="1"/>
  <c r="UEK53" i="9" s="1"/>
  <c r="UEL53" i="9" s="1"/>
  <c r="UEM53" i="9" s="1"/>
  <c r="UEN53" i="9" s="1"/>
  <c r="UEO53" i="9" s="1"/>
  <c r="UEP53" i="9" s="1"/>
  <c r="UEQ53" i="9" s="1"/>
  <c r="UER53" i="9" s="1"/>
  <c r="UES53" i="9" s="1"/>
  <c r="UET53" i="9" s="1"/>
  <c r="UEU53" i="9" s="1"/>
  <c r="UEV53" i="9" s="1"/>
  <c r="UEW53" i="9" s="1"/>
  <c r="UEX53" i="9" s="1"/>
  <c r="UEY53" i="9" s="1"/>
  <c r="UEZ53" i="9" s="1"/>
  <c r="UFA53" i="9" s="1"/>
  <c r="UFB53" i="9" s="1"/>
  <c r="UFC53" i="9" s="1"/>
  <c r="UFD53" i="9" s="1"/>
  <c r="UFE53" i="9" s="1"/>
  <c r="UFF53" i="9" s="1"/>
  <c r="UFG53" i="9" s="1"/>
  <c r="UFH53" i="9" s="1"/>
  <c r="UFI53" i="9" s="1"/>
  <c r="UFJ53" i="9" s="1"/>
  <c r="UFK53" i="9" s="1"/>
  <c r="UFL53" i="9" s="1"/>
  <c r="UFM53" i="9" s="1"/>
  <c r="UFN53" i="9" s="1"/>
  <c r="UFO53" i="9" s="1"/>
  <c r="UFP53" i="9" s="1"/>
  <c r="UFQ53" i="9" s="1"/>
  <c r="UFR53" i="9" s="1"/>
  <c r="UFS53" i="9" s="1"/>
  <c r="UFT53" i="9" s="1"/>
  <c r="UFU53" i="9" s="1"/>
  <c r="UFV53" i="9" s="1"/>
  <c r="UFW53" i="9" s="1"/>
  <c r="UFX53" i="9" s="1"/>
  <c r="UFY53" i="9" s="1"/>
  <c r="UFZ53" i="9" s="1"/>
  <c r="UGA53" i="9" s="1"/>
  <c r="UGB53" i="9" s="1"/>
  <c r="UGC53" i="9" s="1"/>
  <c r="UGD53" i="9" s="1"/>
  <c r="UGE53" i="9" s="1"/>
  <c r="UGF53" i="9" s="1"/>
  <c r="UGG53" i="9" s="1"/>
  <c r="UGH53" i="9" s="1"/>
  <c r="UGI53" i="9" s="1"/>
  <c r="UGJ53" i="9" s="1"/>
  <c r="UGK53" i="9" s="1"/>
  <c r="UGL53" i="9" s="1"/>
  <c r="UGM53" i="9" s="1"/>
  <c r="UGN53" i="9" s="1"/>
  <c r="UGO53" i="9" s="1"/>
  <c r="UGP53" i="9" s="1"/>
  <c r="UGQ53" i="9" s="1"/>
  <c r="UGR53" i="9" s="1"/>
  <c r="UGS53" i="9" s="1"/>
  <c r="UGT53" i="9" s="1"/>
  <c r="UGU53" i="9" s="1"/>
  <c r="UGV53" i="9" s="1"/>
  <c r="UGW53" i="9" s="1"/>
  <c r="UGX53" i="9" s="1"/>
  <c r="UGY53" i="9" s="1"/>
  <c r="UGZ53" i="9" s="1"/>
  <c r="UHA53" i="9" s="1"/>
  <c r="UHB53" i="9" s="1"/>
  <c r="UHC53" i="9" s="1"/>
  <c r="UHD53" i="9" s="1"/>
  <c r="UHE53" i="9" s="1"/>
  <c r="UHF53" i="9" s="1"/>
  <c r="UHG53" i="9" s="1"/>
  <c r="UHH53" i="9" s="1"/>
  <c r="UHI53" i="9" s="1"/>
  <c r="UHJ53" i="9" s="1"/>
  <c r="UHK53" i="9" s="1"/>
  <c r="UHL53" i="9" s="1"/>
  <c r="UHM53" i="9" s="1"/>
  <c r="UHN53" i="9" s="1"/>
  <c r="UHO53" i="9" s="1"/>
  <c r="UHP53" i="9" s="1"/>
  <c r="UHQ53" i="9" s="1"/>
  <c r="UHR53" i="9" s="1"/>
  <c r="UHS53" i="9" s="1"/>
  <c r="UHT53" i="9" s="1"/>
  <c r="UHU53" i="9" s="1"/>
  <c r="UHV53" i="9" s="1"/>
  <c r="UHW53" i="9" s="1"/>
  <c r="UHX53" i="9" s="1"/>
  <c r="UHY53" i="9" s="1"/>
  <c r="UHZ53" i="9" s="1"/>
  <c r="UIA53" i="9" s="1"/>
  <c r="UIB53" i="9" s="1"/>
  <c r="UIC53" i="9" s="1"/>
  <c r="UID53" i="9" s="1"/>
  <c r="UIE53" i="9" s="1"/>
  <c r="UIF53" i="9" s="1"/>
  <c r="UIG53" i="9" s="1"/>
  <c r="UIH53" i="9" s="1"/>
  <c r="UII53" i="9" s="1"/>
  <c r="UIJ53" i="9" s="1"/>
  <c r="UIK53" i="9" s="1"/>
  <c r="UIL53" i="9" s="1"/>
  <c r="UIM53" i="9" s="1"/>
  <c r="UIN53" i="9" s="1"/>
  <c r="UIO53" i="9" s="1"/>
  <c r="UIP53" i="9" s="1"/>
  <c r="UIQ53" i="9" s="1"/>
  <c r="UIR53" i="9" s="1"/>
  <c r="UIS53" i="9" s="1"/>
  <c r="UIT53" i="9" s="1"/>
  <c r="UIU53" i="9" s="1"/>
  <c r="UIV53" i="9" s="1"/>
  <c r="UIW53" i="9" s="1"/>
  <c r="UIX53" i="9" s="1"/>
  <c r="UIY53" i="9" s="1"/>
  <c r="UIZ53" i="9" s="1"/>
  <c r="UJA53" i="9" s="1"/>
  <c r="UJB53" i="9" s="1"/>
  <c r="UJC53" i="9" s="1"/>
  <c r="UJD53" i="9" s="1"/>
  <c r="UJE53" i="9" s="1"/>
  <c r="UJF53" i="9" s="1"/>
  <c r="UJG53" i="9" s="1"/>
  <c r="UJH53" i="9" s="1"/>
  <c r="UJI53" i="9" s="1"/>
  <c r="UJJ53" i="9" s="1"/>
  <c r="UJK53" i="9" s="1"/>
  <c r="UJL53" i="9" s="1"/>
  <c r="UJM53" i="9" s="1"/>
  <c r="UJN53" i="9" s="1"/>
  <c r="UJO53" i="9" s="1"/>
  <c r="UJP53" i="9" s="1"/>
  <c r="UJQ53" i="9" s="1"/>
  <c r="UJR53" i="9" s="1"/>
  <c r="UJS53" i="9" s="1"/>
  <c r="UJT53" i="9" s="1"/>
  <c r="UJU53" i="9" s="1"/>
  <c r="UJV53" i="9" s="1"/>
  <c r="UJW53" i="9" s="1"/>
  <c r="UJX53" i="9" s="1"/>
  <c r="UJY53" i="9" s="1"/>
  <c r="UJZ53" i="9" s="1"/>
  <c r="UKA53" i="9" s="1"/>
  <c r="UKB53" i="9" s="1"/>
  <c r="UKC53" i="9" s="1"/>
  <c r="UKD53" i="9" s="1"/>
  <c r="UKE53" i="9" s="1"/>
  <c r="UKF53" i="9" s="1"/>
  <c r="UKG53" i="9" s="1"/>
  <c r="UKH53" i="9" s="1"/>
  <c r="UKI53" i="9" s="1"/>
  <c r="UKJ53" i="9" s="1"/>
  <c r="UKK53" i="9" s="1"/>
  <c r="UKL53" i="9" s="1"/>
  <c r="UKM53" i="9" s="1"/>
  <c r="UKN53" i="9" s="1"/>
  <c r="UKO53" i="9" s="1"/>
  <c r="UKP53" i="9" s="1"/>
  <c r="UKQ53" i="9" s="1"/>
  <c r="UKR53" i="9" s="1"/>
  <c r="UKS53" i="9" s="1"/>
  <c r="UKT53" i="9" s="1"/>
  <c r="UKU53" i="9" s="1"/>
  <c r="UKV53" i="9" s="1"/>
  <c r="UKW53" i="9" s="1"/>
  <c r="UKX53" i="9" s="1"/>
  <c r="UKY53" i="9" s="1"/>
  <c r="UKZ53" i="9" s="1"/>
  <c r="ULA53" i="9" s="1"/>
  <c r="ULB53" i="9" s="1"/>
  <c r="ULC53" i="9" s="1"/>
  <c r="ULD53" i="9" s="1"/>
  <c r="ULE53" i="9" s="1"/>
  <c r="ULF53" i="9" s="1"/>
  <c r="ULG53" i="9" s="1"/>
  <c r="ULH53" i="9" s="1"/>
  <c r="ULI53" i="9" s="1"/>
  <c r="ULJ53" i="9" s="1"/>
  <c r="ULK53" i="9" s="1"/>
  <c r="ULL53" i="9" s="1"/>
  <c r="ULM53" i="9" s="1"/>
  <c r="ULN53" i="9" s="1"/>
  <c r="ULO53" i="9" s="1"/>
  <c r="ULP53" i="9" s="1"/>
  <c r="ULQ53" i="9" s="1"/>
  <c r="ULR53" i="9" s="1"/>
  <c r="ULS53" i="9" s="1"/>
  <c r="ULT53" i="9" s="1"/>
  <c r="ULU53" i="9" s="1"/>
  <c r="ULV53" i="9" s="1"/>
  <c r="ULW53" i="9" s="1"/>
  <c r="ULX53" i="9" s="1"/>
  <c r="ULY53" i="9" s="1"/>
  <c r="ULZ53" i="9" s="1"/>
  <c r="UMA53" i="9" s="1"/>
  <c r="UMB53" i="9" s="1"/>
  <c r="UMC53" i="9" s="1"/>
  <c r="UMD53" i="9" s="1"/>
  <c r="UME53" i="9" s="1"/>
  <c r="UMF53" i="9" s="1"/>
  <c r="UMG53" i="9" s="1"/>
  <c r="UMH53" i="9" s="1"/>
  <c r="UMI53" i="9" s="1"/>
  <c r="UMJ53" i="9" s="1"/>
  <c r="UMK53" i="9" s="1"/>
  <c r="UML53" i="9" s="1"/>
  <c r="UMM53" i="9" s="1"/>
  <c r="UMN53" i="9" s="1"/>
  <c r="UMO53" i="9" s="1"/>
  <c r="UMP53" i="9" s="1"/>
  <c r="UMQ53" i="9" s="1"/>
  <c r="UMR53" i="9" s="1"/>
  <c r="UMS53" i="9" s="1"/>
  <c r="UMT53" i="9" s="1"/>
  <c r="UMU53" i="9" s="1"/>
  <c r="UMV53" i="9" s="1"/>
  <c r="UMW53" i="9" s="1"/>
  <c r="UMX53" i="9" s="1"/>
  <c r="UMY53" i="9" s="1"/>
  <c r="UMZ53" i="9" s="1"/>
  <c r="UNA53" i="9" s="1"/>
  <c r="UNB53" i="9" s="1"/>
  <c r="UNC53" i="9" s="1"/>
  <c r="UND53" i="9" s="1"/>
  <c r="UNE53" i="9" s="1"/>
  <c r="UNF53" i="9" s="1"/>
  <c r="UNG53" i="9" s="1"/>
  <c r="UNH53" i="9" s="1"/>
  <c r="UNI53" i="9" s="1"/>
  <c r="UNJ53" i="9" s="1"/>
  <c r="UNK53" i="9" s="1"/>
  <c r="UNL53" i="9" s="1"/>
  <c r="UNM53" i="9" s="1"/>
  <c r="UNN53" i="9" s="1"/>
  <c r="UNO53" i="9" s="1"/>
  <c r="UNP53" i="9" s="1"/>
  <c r="UNQ53" i="9" s="1"/>
  <c r="UNR53" i="9" s="1"/>
  <c r="UNS53" i="9" s="1"/>
  <c r="UNT53" i="9" s="1"/>
  <c r="UNU53" i="9" s="1"/>
  <c r="UNV53" i="9" s="1"/>
  <c r="UNW53" i="9" s="1"/>
  <c r="UNX53" i="9" s="1"/>
  <c r="UNY53" i="9" s="1"/>
  <c r="UNZ53" i="9" s="1"/>
  <c r="UOA53" i="9" s="1"/>
  <c r="UOB53" i="9" s="1"/>
  <c r="UOC53" i="9" s="1"/>
  <c r="UOD53" i="9" s="1"/>
  <c r="UOE53" i="9" s="1"/>
  <c r="UOF53" i="9" s="1"/>
  <c r="UOG53" i="9" s="1"/>
  <c r="UOH53" i="9" s="1"/>
  <c r="UOI53" i="9" s="1"/>
  <c r="UOJ53" i="9" s="1"/>
  <c r="UOK53" i="9" s="1"/>
  <c r="UOL53" i="9" s="1"/>
  <c r="UOM53" i="9" s="1"/>
  <c r="UON53" i="9" s="1"/>
  <c r="UOO53" i="9" s="1"/>
  <c r="UOP53" i="9" s="1"/>
  <c r="UOQ53" i="9" s="1"/>
  <c r="UOR53" i="9" s="1"/>
  <c r="UOS53" i="9" s="1"/>
  <c r="UOT53" i="9" s="1"/>
  <c r="UOU53" i="9" s="1"/>
  <c r="UOV53" i="9" s="1"/>
  <c r="UOW53" i="9" s="1"/>
  <c r="UOX53" i="9" s="1"/>
  <c r="UOY53" i="9" s="1"/>
  <c r="UOZ53" i="9" s="1"/>
  <c r="UPA53" i="9" s="1"/>
  <c r="UPB53" i="9" s="1"/>
  <c r="UPC53" i="9" s="1"/>
  <c r="UPD53" i="9" s="1"/>
  <c r="UPE53" i="9" s="1"/>
  <c r="UPF53" i="9" s="1"/>
  <c r="UPG53" i="9" s="1"/>
  <c r="UPH53" i="9" s="1"/>
  <c r="UPI53" i="9" s="1"/>
  <c r="UPJ53" i="9" s="1"/>
  <c r="UPK53" i="9" s="1"/>
  <c r="UPL53" i="9" s="1"/>
  <c r="UPM53" i="9" s="1"/>
  <c r="UPN53" i="9" s="1"/>
  <c r="UPO53" i="9" s="1"/>
  <c r="UPP53" i="9" s="1"/>
  <c r="UPQ53" i="9" s="1"/>
  <c r="UPR53" i="9" s="1"/>
  <c r="UPS53" i="9" s="1"/>
  <c r="UPT53" i="9" s="1"/>
  <c r="UPU53" i="9" s="1"/>
  <c r="UPV53" i="9" s="1"/>
  <c r="UPW53" i="9" s="1"/>
  <c r="UPX53" i="9" s="1"/>
  <c r="UPY53" i="9" s="1"/>
  <c r="UPZ53" i="9" s="1"/>
  <c r="UQA53" i="9" s="1"/>
  <c r="UQB53" i="9" s="1"/>
  <c r="UQC53" i="9" s="1"/>
  <c r="UQD53" i="9" s="1"/>
  <c r="UQE53" i="9" s="1"/>
  <c r="UQF53" i="9" s="1"/>
  <c r="UQG53" i="9" s="1"/>
  <c r="UQH53" i="9" s="1"/>
  <c r="UQI53" i="9" s="1"/>
  <c r="UQJ53" i="9" s="1"/>
  <c r="UQK53" i="9" s="1"/>
  <c r="UQL53" i="9" s="1"/>
  <c r="UQM53" i="9" s="1"/>
  <c r="UQN53" i="9" s="1"/>
  <c r="UQO53" i="9" s="1"/>
  <c r="UQP53" i="9" s="1"/>
  <c r="UQQ53" i="9" s="1"/>
  <c r="UQR53" i="9" s="1"/>
  <c r="UQS53" i="9" s="1"/>
  <c r="UQT53" i="9" s="1"/>
  <c r="UQU53" i="9" s="1"/>
  <c r="UQV53" i="9" s="1"/>
  <c r="UQW53" i="9" s="1"/>
  <c r="UQX53" i="9" s="1"/>
  <c r="UQY53" i="9" s="1"/>
  <c r="UQZ53" i="9" s="1"/>
  <c r="URA53" i="9" s="1"/>
  <c r="URB53" i="9" s="1"/>
  <c r="URC53" i="9" s="1"/>
  <c r="URD53" i="9" s="1"/>
  <c r="URE53" i="9" s="1"/>
  <c r="URF53" i="9" s="1"/>
  <c r="URG53" i="9" s="1"/>
  <c r="URH53" i="9" s="1"/>
  <c r="URI53" i="9" s="1"/>
  <c r="URJ53" i="9" s="1"/>
  <c r="URK53" i="9" s="1"/>
  <c r="URL53" i="9" s="1"/>
  <c r="URM53" i="9" s="1"/>
  <c r="URN53" i="9" s="1"/>
  <c r="URO53" i="9" s="1"/>
  <c r="URP53" i="9" s="1"/>
  <c r="URQ53" i="9" s="1"/>
  <c r="URR53" i="9" s="1"/>
  <c r="URS53" i="9" s="1"/>
  <c r="URT53" i="9" s="1"/>
  <c r="URU53" i="9" s="1"/>
  <c r="URV53" i="9" s="1"/>
  <c r="URW53" i="9" s="1"/>
  <c r="URX53" i="9" s="1"/>
  <c r="URY53" i="9" s="1"/>
  <c r="URZ53" i="9" s="1"/>
  <c r="USA53" i="9" s="1"/>
  <c r="USB53" i="9" s="1"/>
  <c r="USC53" i="9" s="1"/>
  <c r="USD53" i="9" s="1"/>
  <c r="USE53" i="9" s="1"/>
  <c r="USF53" i="9" s="1"/>
  <c r="USG53" i="9" s="1"/>
  <c r="USH53" i="9" s="1"/>
  <c r="USI53" i="9" s="1"/>
  <c r="USJ53" i="9" s="1"/>
  <c r="USK53" i="9" s="1"/>
  <c r="USL53" i="9" s="1"/>
  <c r="USM53" i="9" s="1"/>
  <c r="USN53" i="9" s="1"/>
  <c r="USO53" i="9" s="1"/>
  <c r="USP53" i="9" s="1"/>
  <c r="USQ53" i="9" s="1"/>
  <c r="USR53" i="9" s="1"/>
  <c r="USS53" i="9" s="1"/>
  <c r="UST53" i="9" s="1"/>
  <c r="USU53" i="9" s="1"/>
  <c r="USV53" i="9" s="1"/>
  <c r="USW53" i="9" s="1"/>
  <c r="USX53" i="9" s="1"/>
  <c r="USY53" i="9" s="1"/>
  <c r="USZ53" i="9" s="1"/>
  <c r="UTA53" i="9" s="1"/>
  <c r="UTB53" i="9" s="1"/>
  <c r="UTC53" i="9" s="1"/>
  <c r="UTD53" i="9" s="1"/>
  <c r="UTE53" i="9" s="1"/>
  <c r="UTF53" i="9" s="1"/>
  <c r="UTG53" i="9" s="1"/>
  <c r="UTH53" i="9" s="1"/>
  <c r="UTI53" i="9" s="1"/>
  <c r="UTJ53" i="9" s="1"/>
  <c r="UTK53" i="9" s="1"/>
  <c r="UTL53" i="9" s="1"/>
  <c r="UTM53" i="9" s="1"/>
  <c r="UTN53" i="9" s="1"/>
  <c r="UTO53" i="9" s="1"/>
  <c r="UTP53" i="9" s="1"/>
  <c r="UTQ53" i="9" s="1"/>
  <c r="UTR53" i="9" s="1"/>
  <c r="UTS53" i="9" s="1"/>
  <c r="UTT53" i="9" s="1"/>
  <c r="UTU53" i="9" s="1"/>
  <c r="UTV53" i="9" s="1"/>
  <c r="UTW53" i="9" s="1"/>
  <c r="UTX53" i="9" s="1"/>
  <c r="UTY53" i="9" s="1"/>
  <c r="UTZ53" i="9" s="1"/>
  <c r="UUA53" i="9" s="1"/>
  <c r="UUB53" i="9" s="1"/>
  <c r="UUC53" i="9" s="1"/>
  <c r="UUD53" i="9" s="1"/>
  <c r="UUE53" i="9" s="1"/>
  <c r="UUF53" i="9" s="1"/>
  <c r="UUG53" i="9" s="1"/>
  <c r="UUH53" i="9" s="1"/>
  <c r="UUI53" i="9" s="1"/>
  <c r="UUJ53" i="9" s="1"/>
  <c r="UUK53" i="9" s="1"/>
  <c r="UUL53" i="9" s="1"/>
  <c r="UUM53" i="9" s="1"/>
  <c r="UUN53" i="9" s="1"/>
  <c r="UUO53" i="9" s="1"/>
  <c r="UUP53" i="9" s="1"/>
  <c r="UUQ53" i="9" s="1"/>
  <c r="UUR53" i="9" s="1"/>
  <c r="UUS53" i="9" s="1"/>
  <c r="UUT53" i="9" s="1"/>
  <c r="UUU53" i="9" s="1"/>
  <c r="UUV53" i="9" s="1"/>
  <c r="UUW53" i="9" s="1"/>
  <c r="UUX53" i="9" s="1"/>
  <c r="UUY53" i="9" s="1"/>
  <c r="UUZ53" i="9" s="1"/>
  <c r="UVA53" i="9" s="1"/>
  <c r="UVB53" i="9" s="1"/>
  <c r="UVC53" i="9" s="1"/>
  <c r="UVD53" i="9" s="1"/>
  <c r="UVE53" i="9" s="1"/>
  <c r="UVF53" i="9" s="1"/>
  <c r="UVG53" i="9" s="1"/>
  <c r="UVH53" i="9" s="1"/>
  <c r="UVI53" i="9" s="1"/>
  <c r="UVJ53" i="9" s="1"/>
  <c r="UVK53" i="9" s="1"/>
  <c r="UVL53" i="9" s="1"/>
  <c r="UVM53" i="9" s="1"/>
  <c r="UVN53" i="9" s="1"/>
  <c r="UVO53" i="9" s="1"/>
  <c r="UVP53" i="9" s="1"/>
  <c r="UVQ53" i="9" s="1"/>
  <c r="UVR53" i="9" s="1"/>
  <c r="UVS53" i="9" s="1"/>
  <c r="UVT53" i="9" s="1"/>
  <c r="UVU53" i="9" s="1"/>
  <c r="UVV53" i="9" s="1"/>
  <c r="UVW53" i="9" s="1"/>
  <c r="UVX53" i="9" s="1"/>
  <c r="UVY53" i="9" s="1"/>
  <c r="UVZ53" i="9" s="1"/>
  <c r="UWA53" i="9" s="1"/>
  <c r="UWB53" i="9" s="1"/>
  <c r="UWC53" i="9" s="1"/>
  <c r="UWD53" i="9" s="1"/>
  <c r="UWE53" i="9" s="1"/>
  <c r="UWF53" i="9" s="1"/>
  <c r="UWG53" i="9" s="1"/>
  <c r="UWH53" i="9" s="1"/>
  <c r="UWI53" i="9" s="1"/>
  <c r="UWJ53" i="9" s="1"/>
  <c r="UWK53" i="9" s="1"/>
  <c r="UWL53" i="9" s="1"/>
  <c r="UWM53" i="9" s="1"/>
  <c r="UWN53" i="9" s="1"/>
  <c r="UWO53" i="9" s="1"/>
  <c r="UWP53" i="9" s="1"/>
  <c r="UWQ53" i="9" s="1"/>
  <c r="UWR53" i="9" s="1"/>
  <c r="UWS53" i="9" s="1"/>
  <c r="UWT53" i="9" s="1"/>
  <c r="UWU53" i="9" s="1"/>
  <c r="UWV53" i="9" s="1"/>
  <c r="UWW53" i="9" s="1"/>
  <c r="UWX53" i="9" s="1"/>
  <c r="UWY53" i="9" s="1"/>
  <c r="UWZ53" i="9" s="1"/>
  <c r="UXA53" i="9" s="1"/>
  <c r="UXB53" i="9" s="1"/>
  <c r="UXC53" i="9" s="1"/>
  <c r="UXD53" i="9" s="1"/>
  <c r="UXE53" i="9" s="1"/>
  <c r="UXF53" i="9" s="1"/>
  <c r="UXG53" i="9" s="1"/>
  <c r="UXH53" i="9" s="1"/>
  <c r="UXI53" i="9" s="1"/>
  <c r="UXJ53" i="9" s="1"/>
  <c r="UXK53" i="9" s="1"/>
  <c r="UXL53" i="9" s="1"/>
  <c r="UXM53" i="9" s="1"/>
  <c r="UXN53" i="9" s="1"/>
  <c r="UXO53" i="9" s="1"/>
  <c r="UXP53" i="9" s="1"/>
  <c r="UXQ53" i="9" s="1"/>
  <c r="UXR53" i="9" s="1"/>
  <c r="UXS53" i="9" s="1"/>
  <c r="UXT53" i="9" s="1"/>
  <c r="UXU53" i="9" s="1"/>
  <c r="UXV53" i="9" s="1"/>
  <c r="UXW53" i="9" s="1"/>
  <c r="UXX53" i="9" s="1"/>
  <c r="UXY53" i="9" s="1"/>
  <c r="UXZ53" i="9" s="1"/>
  <c r="UYA53" i="9" s="1"/>
  <c r="UYB53" i="9" s="1"/>
  <c r="UYC53" i="9" s="1"/>
  <c r="UYD53" i="9" s="1"/>
  <c r="UYE53" i="9" s="1"/>
  <c r="UYF53" i="9" s="1"/>
  <c r="UYG53" i="9" s="1"/>
  <c r="UYH53" i="9" s="1"/>
  <c r="UYI53" i="9" s="1"/>
  <c r="UYJ53" i="9" s="1"/>
  <c r="UYK53" i="9" s="1"/>
  <c r="UYL53" i="9" s="1"/>
  <c r="UYM53" i="9" s="1"/>
  <c r="UYN53" i="9" s="1"/>
  <c r="UYO53" i="9" s="1"/>
  <c r="UYP53" i="9" s="1"/>
  <c r="UYQ53" i="9" s="1"/>
  <c r="UYR53" i="9" s="1"/>
  <c r="UYS53" i="9" s="1"/>
  <c r="UYT53" i="9" s="1"/>
  <c r="UYU53" i="9" s="1"/>
  <c r="UYV53" i="9" s="1"/>
  <c r="UYW53" i="9" s="1"/>
  <c r="UYX53" i="9" s="1"/>
  <c r="UYY53" i="9" s="1"/>
  <c r="UYZ53" i="9" s="1"/>
  <c r="UZA53" i="9" s="1"/>
  <c r="UZB53" i="9" s="1"/>
  <c r="UZC53" i="9" s="1"/>
  <c r="UZD53" i="9" s="1"/>
  <c r="UZE53" i="9" s="1"/>
  <c r="UZF53" i="9" s="1"/>
  <c r="UZG53" i="9" s="1"/>
  <c r="UZH53" i="9" s="1"/>
  <c r="UZI53" i="9" s="1"/>
  <c r="UZJ53" i="9" s="1"/>
  <c r="UZK53" i="9" s="1"/>
  <c r="UZL53" i="9" s="1"/>
  <c r="UZM53" i="9" s="1"/>
  <c r="UZN53" i="9" s="1"/>
  <c r="UZO53" i="9" s="1"/>
  <c r="UZP53" i="9" s="1"/>
  <c r="UZQ53" i="9" s="1"/>
  <c r="UZR53" i="9" s="1"/>
  <c r="UZS53" i="9" s="1"/>
  <c r="UZT53" i="9" s="1"/>
  <c r="UZU53" i="9" s="1"/>
  <c r="UZV53" i="9" s="1"/>
  <c r="UZW53" i="9" s="1"/>
  <c r="UZX53" i="9" s="1"/>
  <c r="UZY53" i="9" s="1"/>
  <c r="UZZ53" i="9" s="1"/>
  <c r="VAA53" i="9" s="1"/>
  <c r="VAB53" i="9" s="1"/>
  <c r="VAC53" i="9" s="1"/>
  <c r="VAD53" i="9" s="1"/>
  <c r="VAE53" i="9" s="1"/>
  <c r="VAF53" i="9" s="1"/>
  <c r="VAG53" i="9" s="1"/>
  <c r="VAH53" i="9" s="1"/>
  <c r="VAI53" i="9" s="1"/>
  <c r="VAJ53" i="9" s="1"/>
  <c r="VAK53" i="9" s="1"/>
  <c r="VAL53" i="9" s="1"/>
  <c r="VAM53" i="9" s="1"/>
  <c r="VAN53" i="9" s="1"/>
  <c r="VAO53" i="9" s="1"/>
  <c r="VAP53" i="9" s="1"/>
  <c r="VAQ53" i="9" s="1"/>
  <c r="VAR53" i="9" s="1"/>
  <c r="VAS53" i="9" s="1"/>
  <c r="VAT53" i="9" s="1"/>
  <c r="VAU53" i="9" s="1"/>
  <c r="VAV53" i="9" s="1"/>
  <c r="VAW53" i="9" s="1"/>
  <c r="VAX53" i="9" s="1"/>
  <c r="VAY53" i="9" s="1"/>
  <c r="VAZ53" i="9" s="1"/>
  <c r="VBA53" i="9" s="1"/>
  <c r="VBB53" i="9" s="1"/>
  <c r="VBC53" i="9" s="1"/>
  <c r="VBD53" i="9" s="1"/>
  <c r="VBE53" i="9" s="1"/>
  <c r="VBF53" i="9" s="1"/>
  <c r="VBG53" i="9" s="1"/>
  <c r="VBH53" i="9" s="1"/>
  <c r="VBI53" i="9" s="1"/>
  <c r="VBJ53" i="9" s="1"/>
  <c r="VBK53" i="9" s="1"/>
  <c r="VBL53" i="9" s="1"/>
  <c r="VBM53" i="9" s="1"/>
  <c r="VBN53" i="9" s="1"/>
  <c r="VBO53" i="9" s="1"/>
  <c r="VBP53" i="9" s="1"/>
  <c r="VBQ53" i="9" s="1"/>
  <c r="VBR53" i="9" s="1"/>
  <c r="VBS53" i="9" s="1"/>
  <c r="VBT53" i="9" s="1"/>
  <c r="VBU53" i="9" s="1"/>
  <c r="VBV53" i="9" s="1"/>
  <c r="VBW53" i="9" s="1"/>
  <c r="VBX53" i="9" s="1"/>
  <c r="VBY53" i="9" s="1"/>
  <c r="VBZ53" i="9" s="1"/>
  <c r="VCA53" i="9" s="1"/>
  <c r="VCB53" i="9" s="1"/>
  <c r="VCC53" i="9" s="1"/>
  <c r="VCD53" i="9" s="1"/>
  <c r="VCE53" i="9" s="1"/>
  <c r="VCF53" i="9" s="1"/>
  <c r="VCG53" i="9" s="1"/>
  <c r="VCH53" i="9" s="1"/>
  <c r="VCI53" i="9" s="1"/>
  <c r="VCJ53" i="9" s="1"/>
  <c r="VCK53" i="9" s="1"/>
  <c r="VCL53" i="9" s="1"/>
  <c r="VCM53" i="9" s="1"/>
  <c r="VCN53" i="9" s="1"/>
  <c r="VCO53" i="9" s="1"/>
  <c r="VCP53" i="9" s="1"/>
  <c r="VCQ53" i="9" s="1"/>
  <c r="VCR53" i="9" s="1"/>
  <c r="VCS53" i="9" s="1"/>
  <c r="VCT53" i="9" s="1"/>
  <c r="VCU53" i="9" s="1"/>
  <c r="VCV53" i="9" s="1"/>
  <c r="VCW53" i="9" s="1"/>
  <c r="VCX53" i="9" s="1"/>
  <c r="VCY53" i="9" s="1"/>
  <c r="VCZ53" i="9" s="1"/>
  <c r="VDA53" i="9" s="1"/>
  <c r="VDB53" i="9" s="1"/>
  <c r="VDC53" i="9" s="1"/>
  <c r="VDD53" i="9" s="1"/>
  <c r="VDE53" i="9" s="1"/>
  <c r="VDF53" i="9" s="1"/>
  <c r="VDG53" i="9" s="1"/>
  <c r="VDH53" i="9" s="1"/>
  <c r="VDI53" i="9" s="1"/>
  <c r="VDJ53" i="9" s="1"/>
  <c r="VDK53" i="9" s="1"/>
  <c r="VDL53" i="9" s="1"/>
  <c r="VDM53" i="9" s="1"/>
  <c r="VDN53" i="9" s="1"/>
  <c r="VDO53" i="9" s="1"/>
  <c r="VDP53" i="9" s="1"/>
  <c r="VDQ53" i="9" s="1"/>
  <c r="VDR53" i="9" s="1"/>
  <c r="VDS53" i="9" s="1"/>
  <c r="VDT53" i="9" s="1"/>
  <c r="VDU53" i="9" s="1"/>
  <c r="VDV53" i="9" s="1"/>
  <c r="VDW53" i="9" s="1"/>
  <c r="VDX53" i="9" s="1"/>
  <c r="VDY53" i="9" s="1"/>
  <c r="VDZ53" i="9" s="1"/>
  <c r="VEA53" i="9" s="1"/>
  <c r="VEB53" i="9" s="1"/>
  <c r="VEC53" i="9" s="1"/>
  <c r="VED53" i="9" s="1"/>
  <c r="VEE53" i="9" s="1"/>
  <c r="VEF53" i="9" s="1"/>
  <c r="VEG53" i="9" s="1"/>
  <c r="VEH53" i="9" s="1"/>
  <c r="VEI53" i="9" s="1"/>
  <c r="VEJ53" i="9" s="1"/>
  <c r="VEK53" i="9" s="1"/>
  <c r="VEL53" i="9" s="1"/>
  <c r="VEM53" i="9" s="1"/>
  <c r="VEN53" i="9" s="1"/>
  <c r="VEO53" i="9" s="1"/>
  <c r="VEP53" i="9" s="1"/>
  <c r="VEQ53" i="9" s="1"/>
  <c r="VER53" i="9" s="1"/>
  <c r="VES53" i="9" s="1"/>
  <c r="VET53" i="9" s="1"/>
  <c r="VEU53" i="9" s="1"/>
  <c r="VEV53" i="9" s="1"/>
  <c r="VEW53" i="9" s="1"/>
  <c r="VEX53" i="9" s="1"/>
  <c r="VEY53" i="9" s="1"/>
  <c r="VEZ53" i="9" s="1"/>
  <c r="VFA53" i="9" s="1"/>
  <c r="VFB53" i="9" s="1"/>
  <c r="VFC53" i="9" s="1"/>
  <c r="VFD53" i="9" s="1"/>
  <c r="VFE53" i="9" s="1"/>
  <c r="VFF53" i="9" s="1"/>
  <c r="VFG53" i="9" s="1"/>
  <c r="VFH53" i="9" s="1"/>
  <c r="VFI53" i="9" s="1"/>
  <c r="VFJ53" i="9" s="1"/>
  <c r="VFK53" i="9" s="1"/>
  <c r="VFL53" i="9" s="1"/>
  <c r="VFM53" i="9" s="1"/>
  <c r="VFN53" i="9" s="1"/>
  <c r="VFO53" i="9" s="1"/>
  <c r="VFP53" i="9" s="1"/>
  <c r="VFQ53" i="9" s="1"/>
  <c r="VFR53" i="9" s="1"/>
  <c r="VFS53" i="9" s="1"/>
  <c r="VFT53" i="9" s="1"/>
  <c r="VFU53" i="9" s="1"/>
  <c r="VFV53" i="9" s="1"/>
  <c r="VFW53" i="9" s="1"/>
  <c r="VFX53" i="9" s="1"/>
  <c r="VFY53" i="9" s="1"/>
  <c r="VFZ53" i="9" s="1"/>
  <c r="VGA53" i="9" s="1"/>
  <c r="VGB53" i="9" s="1"/>
  <c r="VGC53" i="9" s="1"/>
  <c r="VGD53" i="9" s="1"/>
  <c r="VGE53" i="9" s="1"/>
  <c r="VGF53" i="9" s="1"/>
  <c r="VGG53" i="9" s="1"/>
  <c r="VGH53" i="9" s="1"/>
  <c r="VGI53" i="9" s="1"/>
  <c r="VGJ53" i="9" s="1"/>
  <c r="VGK53" i="9" s="1"/>
  <c r="VGL53" i="9" s="1"/>
  <c r="VGM53" i="9" s="1"/>
  <c r="VGN53" i="9" s="1"/>
  <c r="VGO53" i="9" s="1"/>
  <c r="VGP53" i="9" s="1"/>
  <c r="VGQ53" i="9" s="1"/>
  <c r="VGR53" i="9" s="1"/>
  <c r="VGS53" i="9" s="1"/>
  <c r="VGT53" i="9" s="1"/>
  <c r="VGU53" i="9" s="1"/>
  <c r="VGV53" i="9" s="1"/>
  <c r="VGW53" i="9" s="1"/>
  <c r="VGX53" i="9" s="1"/>
  <c r="VGY53" i="9" s="1"/>
  <c r="VGZ53" i="9" s="1"/>
  <c r="VHA53" i="9" s="1"/>
  <c r="VHB53" i="9" s="1"/>
  <c r="VHC53" i="9" s="1"/>
  <c r="VHD53" i="9" s="1"/>
  <c r="VHE53" i="9" s="1"/>
  <c r="VHF53" i="9" s="1"/>
  <c r="VHG53" i="9" s="1"/>
  <c r="VHH53" i="9" s="1"/>
  <c r="VHI53" i="9" s="1"/>
  <c r="VHJ53" i="9" s="1"/>
  <c r="VHK53" i="9" s="1"/>
  <c r="VHL53" i="9" s="1"/>
  <c r="VHM53" i="9" s="1"/>
  <c r="VHN53" i="9" s="1"/>
  <c r="VHO53" i="9" s="1"/>
  <c r="VHP53" i="9" s="1"/>
  <c r="VHQ53" i="9" s="1"/>
  <c r="VHR53" i="9" s="1"/>
  <c r="VHS53" i="9" s="1"/>
  <c r="VHT53" i="9" s="1"/>
  <c r="VHU53" i="9" s="1"/>
  <c r="VHV53" i="9" s="1"/>
  <c r="VHW53" i="9" s="1"/>
  <c r="VHX53" i="9" s="1"/>
  <c r="VHY53" i="9" s="1"/>
  <c r="VHZ53" i="9" s="1"/>
  <c r="VIA53" i="9" s="1"/>
  <c r="VIB53" i="9" s="1"/>
  <c r="VIC53" i="9" s="1"/>
  <c r="VID53" i="9" s="1"/>
  <c r="VIE53" i="9" s="1"/>
  <c r="VIF53" i="9" s="1"/>
  <c r="VIG53" i="9" s="1"/>
  <c r="VIH53" i="9" s="1"/>
  <c r="VII53" i="9" s="1"/>
  <c r="VIJ53" i="9" s="1"/>
  <c r="VIK53" i="9" s="1"/>
  <c r="VIL53" i="9" s="1"/>
  <c r="VIM53" i="9" s="1"/>
  <c r="VIN53" i="9" s="1"/>
  <c r="VIO53" i="9" s="1"/>
  <c r="VIP53" i="9" s="1"/>
  <c r="VIQ53" i="9" s="1"/>
  <c r="VIR53" i="9" s="1"/>
  <c r="VIS53" i="9" s="1"/>
  <c r="VIT53" i="9" s="1"/>
  <c r="VIU53" i="9" s="1"/>
  <c r="VIV53" i="9" s="1"/>
  <c r="VIW53" i="9" s="1"/>
  <c r="VIX53" i="9" s="1"/>
  <c r="VIY53" i="9" s="1"/>
  <c r="VIZ53" i="9" s="1"/>
  <c r="VJA53" i="9" s="1"/>
  <c r="VJB53" i="9" s="1"/>
  <c r="VJC53" i="9" s="1"/>
  <c r="VJD53" i="9" s="1"/>
  <c r="VJE53" i="9" s="1"/>
  <c r="VJF53" i="9" s="1"/>
  <c r="VJG53" i="9" s="1"/>
  <c r="VJH53" i="9" s="1"/>
  <c r="VJI53" i="9" s="1"/>
  <c r="VJJ53" i="9" s="1"/>
  <c r="VJK53" i="9" s="1"/>
  <c r="VJL53" i="9" s="1"/>
  <c r="VJM53" i="9" s="1"/>
  <c r="VJN53" i="9" s="1"/>
  <c r="VJO53" i="9" s="1"/>
  <c r="VJP53" i="9" s="1"/>
  <c r="VJQ53" i="9" s="1"/>
  <c r="VJR53" i="9" s="1"/>
  <c r="VJS53" i="9" s="1"/>
  <c r="VJT53" i="9" s="1"/>
  <c r="VJU53" i="9" s="1"/>
  <c r="VJV53" i="9" s="1"/>
  <c r="VJW53" i="9" s="1"/>
  <c r="VJX53" i="9" s="1"/>
  <c r="VJY53" i="9" s="1"/>
  <c r="VJZ53" i="9" s="1"/>
  <c r="VKA53" i="9" s="1"/>
  <c r="VKB53" i="9" s="1"/>
  <c r="VKC53" i="9" s="1"/>
  <c r="VKD53" i="9" s="1"/>
  <c r="VKE53" i="9" s="1"/>
  <c r="VKF53" i="9" s="1"/>
  <c r="VKG53" i="9" s="1"/>
  <c r="VKH53" i="9" s="1"/>
  <c r="VKI53" i="9" s="1"/>
  <c r="VKJ53" i="9" s="1"/>
  <c r="VKK53" i="9" s="1"/>
  <c r="VKL53" i="9" s="1"/>
  <c r="VKM53" i="9" s="1"/>
  <c r="VKN53" i="9" s="1"/>
  <c r="VKO53" i="9" s="1"/>
  <c r="VKP53" i="9" s="1"/>
  <c r="VKQ53" i="9" s="1"/>
  <c r="VKR53" i="9" s="1"/>
  <c r="VKS53" i="9" s="1"/>
  <c r="VKT53" i="9" s="1"/>
  <c r="VKU53" i="9" s="1"/>
  <c r="VKV53" i="9" s="1"/>
  <c r="VKW53" i="9" s="1"/>
  <c r="VKX53" i="9" s="1"/>
  <c r="VKY53" i="9" s="1"/>
  <c r="VKZ53" i="9" s="1"/>
  <c r="VLA53" i="9" s="1"/>
  <c r="VLB53" i="9" s="1"/>
  <c r="VLC53" i="9" s="1"/>
  <c r="VLD53" i="9" s="1"/>
  <c r="VLE53" i="9" s="1"/>
  <c r="VLF53" i="9" s="1"/>
  <c r="VLG53" i="9" s="1"/>
  <c r="VLH53" i="9" s="1"/>
  <c r="VLI53" i="9" s="1"/>
  <c r="VLJ53" i="9" s="1"/>
  <c r="VLK53" i="9" s="1"/>
  <c r="VLL53" i="9" s="1"/>
  <c r="VLM53" i="9" s="1"/>
  <c r="VLN53" i="9" s="1"/>
  <c r="VLO53" i="9" s="1"/>
  <c r="VLP53" i="9" s="1"/>
  <c r="VLQ53" i="9" s="1"/>
  <c r="VLR53" i="9" s="1"/>
  <c r="VLS53" i="9" s="1"/>
  <c r="VLT53" i="9" s="1"/>
  <c r="VLU53" i="9" s="1"/>
  <c r="VLV53" i="9" s="1"/>
  <c r="VLW53" i="9" s="1"/>
  <c r="VLX53" i="9" s="1"/>
  <c r="VLY53" i="9" s="1"/>
  <c r="VLZ53" i="9" s="1"/>
  <c r="VMA53" i="9" s="1"/>
  <c r="VMB53" i="9" s="1"/>
  <c r="VMC53" i="9" s="1"/>
  <c r="VMD53" i="9" s="1"/>
  <c r="VME53" i="9" s="1"/>
  <c r="VMF53" i="9" s="1"/>
  <c r="VMG53" i="9" s="1"/>
  <c r="VMH53" i="9" s="1"/>
  <c r="VMI53" i="9" s="1"/>
  <c r="VMJ53" i="9" s="1"/>
  <c r="VMK53" i="9" s="1"/>
  <c r="VML53" i="9" s="1"/>
  <c r="VMM53" i="9" s="1"/>
  <c r="VMN53" i="9" s="1"/>
  <c r="VMO53" i="9" s="1"/>
  <c r="VMP53" i="9" s="1"/>
  <c r="VMQ53" i="9" s="1"/>
  <c r="VMR53" i="9" s="1"/>
  <c r="VMS53" i="9" s="1"/>
  <c r="VMT53" i="9" s="1"/>
  <c r="VMU53" i="9" s="1"/>
  <c r="VMV53" i="9" s="1"/>
  <c r="VMW53" i="9" s="1"/>
  <c r="VMX53" i="9" s="1"/>
  <c r="VMY53" i="9" s="1"/>
  <c r="VMZ53" i="9" s="1"/>
  <c r="VNA53" i="9" s="1"/>
  <c r="VNB53" i="9" s="1"/>
  <c r="VNC53" i="9" s="1"/>
  <c r="VND53" i="9" s="1"/>
  <c r="VNE53" i="9" s="1"/>
  <c r="VNF53" i="9" s="1"/>
  <c r="VNG53" i="9" s="1"/>
  <c r="VNH53" i="9" s="1"/>
  <c r="VNI53" i="9" s="1"/>
  <c r="VNJ53" i="9" s="1"/>
  <c r="VNK53" i="9" s="1"/>
  <c r="VNL53" i="9" s="1"/>
  <c r="VNM53" i="9" s="1"/>
  <c r="VNN53" i="9" s="1"/>
  <c r="VNO53" i="9" s="1"/>
  <c r="VNP53" i="9" s="1"/>
  <c r="VNQ53" i="9" s="1"/>
  <c r="VNR53" i="9" s="1"/>
  <c r="VNS53" i="9" s="1"/>
  <c r="VNT53" i="9" s="1"/>
  <c r="VNU53" i="9" s="1"/>
  <c r="VNV53" i="9" s="1"/>
  <c r="VNW53" i="9" s="1"/>
  <c r="VNX53" i="9" s="1"/>
  <c r="VNY53" i="9" s="1"/>
  <c r="VNZ53" i="9" s="1"/>
  <c r="VOA53" i="9" s="1"/>
  <c r="VOB53" i="9" s="1"/>
  <c r="VOC53" i="9" s="1"/>
  <c r="VOD53" i="9" s="1"/>
  <c r="VOE53" i="9" s="1"/>
  <c r="VOF53" i="9" s="1"/>
  <c r="VOG53" i="9" s="1"/>
  <c r="VOH53" i="9" s="1"/>
  <c r="VOI53" i="9" s="1"/>
  <c r="VOJ53" i="9" s="1"/>
  <c r="VOK53" i="9" s="1"/>
  <c r="VOL53" i="9" s="1"/>
  <c r="VOM53" i="9" s="1"/>
  <c r="VON53" i="9" s="1"/>
  <c r="VOO53" i="9" s="1"/>
  <c r="VOP53" i="9" s="1"/>
  <c r="VOQ53" i="9" s="1"/>
  <c r="VOR53" i="9" s="1"/>
  <c r="VOS53" i="9" s="1"/>
  <c r="VOT53" i="9" s="1"/>
  <c r="VOU53" i="9" s="1"/>
  <c r="VOV53" i="9" s="1"/>
  <c r="VOW53" i="9" s="1"/>
  <c r="VOX53" i="9" s="1"/>
  <c r="VOY53" i="9" s="1"/>
  <c r="VOZ53" i="9" s="1"/>
  <c r="VPA53" i="9" s="1"/>
  <c r="VPB53" i="9" s="1"/>
  <c r="VPC53" i="9" s="1"/>
  <c r="VPD53" i="9" s="1"/>
  <c r="VPE53" i="9" s="1"/>
  <c r="VPF53" i="9" s="1"/>
  <c r="VPG53" i="9" s="1"/>
  <c r="VPH53" i="9" s="1"/>
  <c r="VPI53" i="9" s="1"/>
  <c r="VPJ53" i="9" s="1"/>
  <c r="VPK53" i="9" s="1"/>
  <c r="VPL53" i="9" s="1"/>
  <c r="VPM53" i="9" s="1"/>
  <c r="VPN53" i="9" s="1"/>
  <c r="VPO53" i="9" s="1"/>
  <c r="VPP53" i="9" s="1"/>
  <c r="VPQ53" i="9" s="1"/>
  <c r="VPR53" i="9" s="1"/>
  <c r="VPS53" i="9" s="1"/>
  <c r="VPT53" i="9" s="1"/>
  <c r="VPU53" i="9" s="1"/>
  <c r="VPV53" i="9" s="1"/>
  <c r="VPW53" i="9" s="1"/>
  <c r="VPX53" i="9" s="1"/>
  <c r="VPY53" i="9" s="1"/>
  <c r="VPZ53" i="9" s="1"/>
  <c r="VQA53" i="9" s="1"/>
  <c r="VQB53" i="9" s="1"/>
  <c r="VQC53" i="9" s="1"/>
  <c r="VQD53" i="9" s="1"/>
  <c r="VQE53" i="9" s="1"/>
  <c r="VQF53" i="9" s="1"/>
  <c r="VQG53" i="9" s="1"/>
  <c r="VQH53" i="9" s="1"/>
  <c r="VQI53" i="9" s="1"/>
  <c r="VQJ53" i="9" s="1"/>
  <c r="VQK53" i="9" s="1"/>
  <c r="VQL53" i="9" s="1"/>
  <c r="VQM53" i="9" s="1"/>
  <c r="VQN53" i="9" s="1"/>
  <c r="VQO53" i="9" s="1"/>
  <c r="VQP53" i="9" s="1"/>
  <c r="VQQ53" i="9" s="1"/>
  <c r="VQR53" i="9" s="1"/>
  <c r="VQS53" i="9" s="1"/>
  <c r="VQT53" i="9" s="1"/>
  <c r="VQU53" i="9" s="1"/>
  <c r="VQV53" i="9" s="1"/>
  <c r="VQW53" i="9" s="1"/>
  <c r="VQX53" i="9" s="1"/>
  <c r="VQY53" i="9" s="1"/>
  <c r="VQZ53" i="9" s="1"/>
  <c r="VRA53" i="9" s="1"/>
  <c r="VRB53" i="9" s="1"/>
  <c r="VRC53" i="9" s="1"/>
  <c r="VRD53" i="9" s="1"/>
  <c r="VRE53" i="9" s="1"/>
  <c r="VRF53" i="9" s="1"/>
  <c r="VRG53" i="9" s="1"/>
  <c r="VRH53" i="9" s="1"/>
  <c r="VRI53" i="9" s="1"/>
  <c r="VRJ53" i="9" s="1"/>
  <c r="VRK53" i="9" s="1"/>
  <c r="VRL53" i="9" s="1"/>
  <c r="VRM53" i="9" s="1"/>
  <c r="VRN53" i="9" s="1"/>
  <c r="VRO53" i="9" s="1"/>
  <c r="VRP53" i="9" s="1"/>
  <c r="VRQ53" i="9" s="1"/>
  <c r="VRR53" i="9" s="1"/>
  <c r="VRS53" i="9" s="1"/>
  <c r="VRT53" i="9" s="1"/>
  <c r="VRU53" i="9" s="1"/>
  <c r="VRV53" i="9" s="1"/>
  <c r="VRW53" i="9" s="1"/>
  <c r="VRX53" i="9" s="1"/>
  <c r="VRY53" i="9" s="1"/>
  <c r="VRZ53" i="9" s="1"/>
  <c r="VSA53" i="9" s="1"/>
  <c r="VSB53" i="9" s="1"/>
  <c r="VSC53" i="9" s="1"/>
  <c r="VSD53" i="9" s="1"/>
  <c r="VSE53" i="9" s="1"/>
  <c r="VSF53" i="9" s="1"/>
  <c r="VSG53" i="9" s="1"/>
  <c r="VSH53" i="9" s="1"/>
  <c r="VSI53" i="9" s="1"/>
  <c r="VSJ53" i="9" s="1"/>
  <c r="VSK53" i="9" s="1"/>
  <c r="VSL53" i="9" s="1"/>
  <c r="VSM53" i="9" s="1"/>
  <c r="VSN53" i="9" s="1"/>
  <c r="VSO53" i="9" s="1"/>
  <c r="VSP53" i="9" s="1"/>
  <c r="VSQ53" i="9" s="1"/>
  <c r="VSR53" i="9" s="1"/>
  <c r="VSS53" i="9" s="1"/>
  <c r="VST53" i="9" s="1"/>
  <c r="VSU53" i="9" s="1"/>
  <c r="VSV53" i="9" s="1"/>
  <c r="VSW53" i="9" s="1"/>
  <c r="VSX53" i="9" s="1"/>
  <c r="VSY53" i="9" s="1"/>
  <c r="VSZ53" i="9" s="1"/>
  <c r="VTA53" i="9" s="1"/>
  <c r="VTB53" i="9" s="1"/>
  <c r="VTC53" i="9" s="1"/>
  <c r="VTD53" i="9" s="1"/>
  <c r="VTE53" i="9" s="1"/>
  <c r="VTF53" i="9" s="1"/>
  <c r="VTG53" i="9" s="1"/>
  <c r="VTH53" i="9" s="1"/>
  <c r="VTI53" i="9" s="1"/>
  <c r="VTJ53" i="9" s="1"/>
  <c r="VTK53" i="9" s="1"/>
  <c r="VTL53" i="9" s="1"/>
  <c r="VTM53" i="9" s="1"/>
  <c r="VTN53" i="9" s="1"/>
  <c r="VTO53" i="9" s="1"/>
  <c r="VTP53" i="9" s="1"/>
  <c r="VTQ53" i="9" s="1"/>
  <c r="VTR53" i="9" s="1"/>
  <c r="VTS53" i="9" s="1"/>
  <c r="VTT53" i="9" s="1"/>
  <c r="VTU53" i="9" s="1"/>
  <c r="VTV53" i="9" s="1"/>
  <c r="VTW53" i="9" s="1"/>
  <c r="VTX53" i="9" s="1"/>
  <c r="VTY53" i="9" s="1"/>
  <c r="VTZ53" i="9" s="1"/>
  <c r="VUA53" i="9" s="1"/>
  <c r="VUB53" i="9" s="1"/>
  <c r="VUC53" i="9" s="1"/>
  <c r="VUD53" i="9" s="1"/>
  <c r="VUE53" i="9" s="1"/>
  <c r="VUF53" i="9" s="1"/>
  <c r="VUG53" i="9" s="1"/>
  <c r="VUH53" i="9" s="1"/>
  <c r="VUI53" i="9" s="1"/>
  <c r="VUJ53" i="9" s="1"/>
  <c r="VUK53" i="9" s="1"/>
  <c r="VUL53" i="9" s="1"/>
  <c r="VUM53" i="9" s="1"/>
  <c r="VUN53" i="9" s="1"/>
  <c r="VUO53" i="9" s="1"/>
  <c r="VUP53" i="9" s="1"/>
  <c r="VUQ53" i="9" s="1"/>
  <c r="VUR53" i="9" s="1"/>
  <c r="VUS53" i="9" s="1"/>
  <c r="VUT53" i="9" s="1"/>
  <c r="VUU53" i="9" s="1"/>
  <c r="VUV53" i="9" s="1"/>
  <c r="VUW53" i="9" s="1"/>
  <c r="VUX53" i="9" s="1"/>
  <c r="VUY53" i="9" s="1"/>
  <c r="VUZ53" i="9" s="1"/>
  <c r="VVA53" i="9" s="1"/>
  <c r="VVB53" i="9" s="1"/>
  <c r="VVC53" i="9" s="1"/>
  <c r="VVD53" i="9" s="1"/>
  <c r="VVE53" i="9" s="1"/>
  <c r="VVF53" i="9" s="1"/>
  <c r="VVG53" i="9" s="1"/>
  <c r="VVH53" i="9" s="1"/>
  <c r="VVI53" i="9" s="1"/>
  <c r="VVJ53" i="9" s="1"/>
  <c r="VVK53" i="9" s="1"/>
  <c r="VVL53" i="9" s="1"/>
  <c r="VVM53" i="9" s="1"/>
  <c r="VVN53" i="9" s="1"/>
  <c r="VVO53" i="9" s="1"/>
  <c r="VVP53" i="9" s="1"/>
  <c r="VVQ53" i="9" s="1"/>
  <c r="VVR53" i="9" s="1"/>
  <c r="VVS53" i="9" s="1"/>
  <c r="VVT53" i="9" s="1"/>
  <c r="VVU53" i="9" s="1"/>
  <c r="VVV53" i="9" s="1"/>
  <c r="VVW53" i="9" s="1"/>
  <c r="VVX53" i="9" s="1"/>
  <c r="VVY53" i="9" s="1"/>
  <c r="VVZ53" i="9" s="1"/>
  <c r="VWA53" i="9" s="1"/>
  <c r="VWB53" i="9" s="1"/>
  <c r="VWC53" i="9" s="1"/>
  <c r="VWD53" i="9" s="1"/>
  <c r="VWE53" i="9" s="1"/>
  <c r="VWF53" i="9" s="1"/>
  <c r="VWG53" i="9" s="1"/>
  <c r="VWH53" i="9" s="1"/>
  <c r="VWI53" i="9" s="1"/>
  <c r="VWJ53" i="9" s="1"/>
  <c r="VWK53" i="9" s="1"/>
  <c r="VWL53" i="9" s="1"/>
  <c r="VWM53" i="9" s="1"/>
  <c r="VWN53" i="9" s="1"/>
  <c r="VWO53" i="9" s="1"/>
  <c r="VWP53" i="9" s="1"/>
  <c r="VWQ53" i="9" s="1"/>
  <c r="VWR53" i="9" s="1"/>
  <c r="VWS53" i="9" s="1"/>
  <c r="VWT53" i="9" s="1"/>
  <c r="VWU53" i="9" s="1"/>
  <c r="VWV53" i="9" s="1"/>
  <c r="VWW53" i="9" s="1"/>
  <c r="VWX53" i="9" s="1"/>
  <c r="VWY53" i="9" s="1"/>
  <c r="VWZ53" i="9" s="1"/>
  <c r="VXA53" i="9" s="1"/>
  <c r="VXB53" i="9" s="1"/>
  <c r="VXC53" i="9" s="1"/>
  <c r="VXD53" i="9" s="1"/>
  <c r="VXE53" i="9" s="1"/>
  <c r="VXF53" i="9" s="1"/>
  <c r="VXG53" i="9" s="1"/>
  <c r="VXH53" i="9" s="1"/>
  <c r="VXI53" i="9" s="1"/>
  <c r="VXJ53" i="9" s="1"/>
  <c r="VXK53" i="9" s="1"/>
  <c r="VXL53" i="9" s="1"/>
  <c r="VXM53" i="9" s="1"/>
  <c r="VXN53" i="9" s="1"/>
  <c r="VXO53" i="9" s="1"/>
  <c r="VXP53" i="9" s="1"/>
  <c r="VXQ53" i="9" s="1"/>
  <c r="VXR53" i="9" s="1"/>
  <c r="VXS53" i="9" s="1"/>
  <c r="VXT53" i="9" s="1"/>
  <c r="VXU53" i="9" s="1"/>
  <c r="VXV53" i="9" s="1"/>
  <c r="VXW53" i="9" s="1"/>
  <c r="VXX53" i="9" s="1"/>
  <c r="VXY53" i="9" s="1"/>
  <c r="VXZ53" i="9" s="1"/>
  <c r="VYA53" i="9" s="1"/>
  <c r="VYB53" i="9" s="1"/>
  <c r="VYC53" i="9" s="1"/>
  <c r="VYD53" i="9" s="1"/>
  <c r="VYE53" i="9" s="1"/>
  <c r="VYF53" i="9" s="1"/>
  <c r="VYG53" i="9" s="1"/>
  <c r="VYH53" i="9" s="1"/>
  <c r="VYI53" i="9" s="1"/>
  <c r="VYJ53" i="9" s="1"/>
  <c r="VYK53" i="9" s="1"/>
  <c r="VYL53" i="9" s="1"/>
  <c r="VYM53" i="9" s="1"/>
  <c r="VYN53" i="9" s="1"/>
  <c r="VYO53" i="9" s="1"/>
  <c r="VYP53" i="9" s="1"/>
  <c r="VYQ53" i="9" s="1"/>
  <c r="VYR53" i="9" s="1"/>
  <c r="VYS53" i="9" s="1"/>
  <c r="VYT53" i="9" s="1"/>
  <c r="VYU53" i="9" s="1"/>
  <c r="VYV53" i="9" s="1"/>
  <c r="VYW53" i="9" s="1"/>
  <c r="VYX53" i="9" s="1"/>
  <c r="VYY53" i="9" s="1"/>
  <c r="VYZ53" i="9" s="1"/>
  <c r="VZA53" i="9" s="1"/>
  <c r="VZB53" i="9" s="1"/>
  <c r="VZC53" i="9" s="1"/>
  <c r="VZD53" i="9" s="1"/>
  <c r="VZE53" i="9" s="1"/>
  <c r="VZF53" i="9" s="1"/>
  <c r="VZG53" i="9" s="1"/>
  <c r="VZH53" i="9" s="1"/>
  <c r="VZI53" i="9" s="1"/>
  <c r="VZJ53" i="9" s="1"/>
  <c r="VZK53" i="9" s="1"/>
  <c r="VZL53" i="9" s="1"/>
  <c r="VZM53" i="9" s="1"/>
  <c r="VZN53" i="9" s="1"/>
  <c r="VZO53" i="9" s="1"/>
  <c r="VZP53" i="9" s="1"/>
  <c r="VZQ53" i="9" s="1"/>
  <c r="VZR53" i="9" s="1"/>
  <c r="VZS53" i="9" s="1"/>
  <c r="VZT53" i="9" s="1"/>
  <c r="VZU53" i="9" s="1"/>
  <c r="VZV53" i="9" s="1"/>
  <c r="VZW53" i="9" s="1"/>
  <c r="VZX53" i="9" s="1"/>
  <c r="VZY53" i="9" s="1"/>
  <c r="VZZ53" i="9" s="1"/>
  <c r="WAA53" i="9" s="1"/>
  <c r="WAB53" i="9" s="1"/>
  <c r="WAC53" i="9" s="1"/>
  <c r="WAD53" i="9" s="1"/>
  <c r="WAE53" i="9" s="1"/>
  <c r="WAF53" i="9" s="1"/>
  <c r="WAG53" i="9" s="1"/>
  <c r="WAH53" i="9" s="1"/>
  <c r="WAI53" i="9" s="1"/>
  <c r="WAJ53" i="9" s="1"/>
  <c r="WAK53" i="9" s="1"/>
  <c r="WAL53" i="9" s="1"/>
  <c r="WAM53" i="9" s="1"/>
  <c r="WAN53" i="9" s="1"/>
  <c r="WAO53" i="9" s="1"/>
  <c r="WAP53" i="9" s="1"/>
  <c r="WAQ53" i="9" s="1"/>
  <c r="WAR53" i="9" s="1"/>
  <c r="WAS53" i="9" s="1"/>
  <c r="WAT53" i="9" s="1"/>
  <c r="WAU53" i="9" s="1"/>
  <c r="WAV53" i="9" s="1"/>
  <c r="WAW53" i="9" s="1"/>
  <c r="WAX53" i="9" s="1"/>
  <c r="WAY53" i="9" s="1"/>
  <c r="WAZ53" i="9" s="1"/>
  <c r="WBA53" i="9" s="1"/>
  <c r="WBB53" i="9" s="1"/>
  <c r="WBC53" i="9" s="1"/>
  <c r="WBD53" i="9" s="1"/>
  <c r="WBE53" i="9" s="1"/>
  <c r="WBF53" i="9" s="1"/>
  <c r="WBG53" i="9" s="1"/>
  <c r="WBH53" i="9" s="1"/>
  <c r="WBI53" i="9" s="1"/>
  <c r="WBJ53" i="9" s="1"/>
  <c r="WBK53" i="9" s="1"/>
  <c r="WBL53" i="9" s="1"/>
  <c r="WBM53" i="9" s="1"/>
  <c r="WBN53" i="9" s="1"/>
  <c r="WBO53" i="9" s="1"/>
  <c r="WBP53" i="9" s="1"/>
  <c r="WBQ53" i="9" s="1"/>
  <c r="WBR53" i="9" s="1"/>
  <c r="WBS53" i="9" s="1"/>
  <c r="WBT53" i="9" s="1"/>
  <c r="WBU53" i="9" s="1"/>
  <c r="WBV53" i="9" s="1"/>
  <c r="WBW53" i="9" s="1"/>
  <c r="WBX53" i="9" s="1"/>
  <c r="WBY53" i="9" s="1"/>
  <c r="WBZ53" i="9" s="1"/>
  <c r="WCA53" i="9" s="1"/>
  <c r="WCB53" i="9" s="1"/>
  <c r="WCC53" i="9" s="1"/>
  <c r="WCD53" i="9" s="1"/>
  <c r="WCE53" i="9" s="1"/>
  <c r="WCF53" i="9" s="1"/>
  <c r="WCG53" i="9" s="1"/>
  <c r="WCH53" i="9" s="1"/>
  <c r="WCI53" i="9" s="1"/>
  <c r="WCJ53" i="9" s="1"/>
  <c r="WCK53" i="9" s="1"/>
  <c r="WCL53" i="9" s="1"/>
  <c r="WCM53" i="9" s="1"/>
  <c r="WCN53" i="9" s="1"/>
  <c r="WCO53" i="9" s="1"/>
  <c r="WCP53" i="9" s="1"/>
  <c r="WCQ53" i="9" s="1"/>
  <c r="WCR53" i="9" s="1"/>
  <c r="WCS53" i="9" s="1"/>
  <c r="WCT53" i="9" s="1"/>
  <c r="WCU53" i="9" s="1"/>
  <c r="WCV53" i="9" s="1"/>
  <c r="WCW53" i="9" s="1"/>
  <c r="WCX53" i="9" s="1"/>
  <c r="WCY53" i="9" s="1"/>
  <c r="WCZ53" i="9" s="1"/>
  <c r="WDA53" i="9" s="1"/>
  <c r="WDB53" i="9" s="1"/>
  <c r="WDC53" i="9" s="1"/>
  <c r="WDD53" i="9" s="1"/>
  <c r="WDE53" i="9" s="1"/>
  <c r="WDF53" i="9" s="1"/>
  <c r="WDG53" i="9" s="1"/>
  <c r="WDH53" i="9" s="1"/>
  <c r="WDI53" i="9" s="1"/>
  <c r="WDJ53" i="9" s="1"/>
  <c r="WDK53" i="9" s="1"/>
  <c r="WDL53" i="9" s="1"/>
  <c r="WDM53" i="9" s="1"/>
  <c r="WDN53" i="9" s="1"/>
  <c r="WDO53" i="9" s="1"/>
  <c r="WDP53" i="9" s="1"/>
  <c r="WDQ53" i="9" s="1"/>
  <c r="WDR53" i="9" s="1"/>
  <c r="WDS53" i="9" s="1"/>
  <c r="WDT53" i="9" s="1"/>
  <c r="WDU53" i="9" s="1"/>
  <c r="WDV53" i="9" s="1"/>
  <c r="WDW53" i="9" s="1"/>
  <c r="WDX53" i="9" s="1"/>
  <c r="WDY53" i="9" s="1"/>
  <c r="WDZ53" i="9" s="1"/>
  <c r="WEA53" i="9" s="1"/>
  <c r="WEB53" i="9" s="1"/>
  <c r="WEC53" i="9" s="1"/>
  <c r="WED53" i="9" s="1"/>
  <c r="WEE53" i="9" s="1"/>
  <c r="WEF53" i="9" s="1"/>
  <c r="WEG53" i="9" s="1"/>
  <c r="WEH53" i="9" s="1"/>
  <c r="WEI53" i="9" s="1"/>
  <c r="WEJ53" i="9" s="1"/>
  <c r="WEK53" i="9" s="1"/>
  <c r="WEL53" i="9" s="1"/>
  <c r="WEM53" i="9" s="1"/>
  <c r="WEN53" i="9" s="1"/>
  <c r="WEO53" i="9" s="1"/>
  <c r="WEP53" i="9" s="1"/>
  <c r="WEQ53" i="9" s="1"/>
  <c r="WER53" i="9" s="1"/>
  <c r="WES53" i="9" s="1"/>
  <c r="WET53" i="9" s="1"/>
  <c r="WEU53" i="9" s="1"/>
  <c r="WEV53" i="9" s="1"/>
  <c r="WEW53" i="9" s="1"/>
  <c r="WEX53" i="9" s="1"/>
  <c r="WEY53" i="9" s="1"/>
  <c r="WEZ53" i="9" s="1"/>
  <c r="WFA53" i="9" s="1"/>
  <c r="WFB53" i="9" s="1"/>
  <c r="WFC53" i="9" s="1"/>
  <c r="WFD53" i="9" s="1"/>
  <c r="WFE53" i="9" s="1"/>
  <c r="WFF53" i="9" s="1"/>
  <c r="WFG53" i="9" s="1"/>
  <c r="WFH53" i="9" s="1"/>
  <c r="WFI53" i="9" s="1"/>
  <c r="WFJ53" i="9" s="1"/>
  <c r="WFK53" i="9" s="1"/>
  <c r="WFL53" i="9" s="1"/>
  <c r="WFM53" i="9" s="1"/>
  <c r="WFN53" i="9" s="1"/>
  <c r="WFO53" i="9" s="1"/>
  <c r="WFP53" i="9" s="1"/>
  <c r="WFQ53" i="9" s="1"/>
  <c r="WFR53" i="9" s="1"/>
  <c r="WFS53" i="9" s="1"/>
  <c r="WFT53" i="9" s="1"/>
  <c r="WFU53" i="9" s="1"/>
  <c r="WFV53" i="9" s="1"/>
  <c r="WFW53" i="9" s="1"/>
  <c r="WFX53" i="9" s="1"/>
  <c r="WFY53" i="9" s="1"/>
  <c r="WFZ53" i="9" s="1"/>
  <c r="WGA53" i="9" s="1"/>
  <c r="WGB53" i="9" s="1"/>
  <c r="WGC53" i="9" s="1"/>
  <c r="WGD53" i="9" s="1"/>
  <c r="WGE53" i="9" s="1"/>
  <c r="WGF53" i="9" s="1"/>
  <c r="WGG53" i="9" s="1"/>
  <c r="WGH53" i="9" s="1"/>
  <c r="WGI53" i="9" s="1"/>
  <c r="WGJ53" i="9" s="1"/>
  <c r="WGK53" i="9" s="1"/>
  <c r="WGL53" i="9" s="1"/>
  <c r="WGM53" i="9" s="1"/>
  <c r="WGN53" i="9" s="1"/>
  <c r="WGO53" i="9" s="1"/>
  <c r="WGP53" i="9" s="1"/>
  <c r="WGQ53" i="9" s="1"/>
  <c r="WGR53" i="9" s="1"/>
  <c r="WGS53" i="9" s="1"/>
  <c r="WGT53" i="9" s="1"/>
  <c r="WGU53" i="9" s="1"/>
  <c r="WGV53" i="9" s="1"/>
  <c r="WGW53" i="9" s="1"/>
  <c r="WGX53" i="9" s="1"/>
  <c r="WGY53" i="9" s="1"/>
  <c r="WGZ53" i="9" s="1"/>
  <c r="WHA53" i="9" s="1"/>
  <c r="WHB53" i="9" s="1"/>
  <c r="WHC53" i="9" s="1"/>
  <c r="WHD53" i="9" s="1"/>
  <c r="WHE53" i="9" s="1"/>
  <c r="WHF53" i="9" s="1"/>
  <c r="WHG53" i="9" s="1"/>
  <c r="WHH53" i="9" s="1"/>
  <c r="WHI53" i="9" s="1"/>
  <c r="WHJ53" i="9" s="1"/>
  <c r="WHK53" i="9" s="1"/>
  <c r="WHL53" i="9" s="1"/>
  <c r="WHM53" i="9" s="1"/>
  <c r="WHN53" i="9" s="1"/>
  <c r="WHO53" i="9" s="1"/>
  <c r="WHP53" i="9" s="1"/>
  <c r="WHQ53" i="9" s="1"/>
  <c r="WHR53" i="9" s="1"/>
  <c r="WHS53" i="9" s="1"/>
  <c r="WHT53" i="9" s="1"/>
  <c r="WHU53" i="9" s="1"/>
  <c r="WHV53" i="9" s="1"/>
  <c r="WHW53" i="9" s="1"/>
  <c r="WHX53" i="9" s="1"/>
  <c r="WHY53" i="9" s="1"/>
  <c r="WHZ53" i="9" s="1"/>
  <c r="WIA53" i="9" s="1"/>
  <c r="WIB53" i="9" s="1"/>
  <c r="WIC53" i="9" s="1"/>
  <c r="WID53" i="9" s="1"/>
  <c r="WIE53" i="9" s="1"/>
  <c r="WIF53" i="9" s="1"/>
  <c r="WIG53" i="9" s="1"/>
  <c r="WIH53" i="9" s="1"/>
  <c r="WII53" i="9" s="1"/>
  <c r="WIJ53" i="9" s="1"/>
  <c r="WIK53" i="9" s="1"/>
  <c r="WIL53" i="9" s="1"/>
  <c r="WIM53" i="9" s="1"/>
  <c r="WIN53" i="9" s="1"/>
  <c r="WIO53" i="9" s="1"/>
  <c r="WIP53" i="9" s="1"/>
  <c r="WIQ53" i="9" s="1"/>
  <c r="WIR53" i="9" s="1"/>
  <c r="WIS53" i="9" s="1"/>
  <c r="WIT53" i="9" s="1"/>
  <c r="WIU53" i="9" s="1"/>
  <c r="WIV53" i="9" s="1"/>
  <c r="WIW53" i="9" s="1"/>
  <c r="WIX53" i="9" s="1"/>
  <c r="WIY53" i="9" s="1"/>
  <c r="WIZ53" i="9" s="1"/>
  <c r="WJA53" i="9" s="1"/>
  <c r="WJB53" i="9" s="1"/>
  <c r="WJC53" i="9" s="1"/>
  <c r="WJD53" i="9" s="1"/>
  <c r="WJE53" i="9" s="1"/>
  <c r="WJF53" i="9" s="1"/>
  <c r="WJG53" i="9" s="1"/>
  <c r="WJH53" i="9" s="1"/>
  <c r="WJI53" i="9" s="1"/>
  <c r="WJJ53" i="9" s="1"/>
  <c r="WJK53" i="9" s="1"/>
  <c r="WJL53" i="9" s="1"/>
  <c r="WJM53" i="9" s="1"/>
  <c r="WJN53" i="9" s="1"/>
  <c r="WJO53" i="9" s="1"/>
  <c r="WJP53" i="9" s="1"/>
  <c r="WJQ53" i="9" s="1"/>
  <c r="WJR53" i="9" s="1"/>
  <c r="WJS53" i="9" s="1"/>
  <c r="WJT53" i="9" s="1"/>
  <c r="WJU53" i="9" s="1"/>
  <c r="WJV53" i="9" s="1"/>
  <c r="WJW53" i="9" s="1"/>
  <c r="WJX53" i="9" s="1"/>
  <c r="WJY53" i="9" s="1"/>
  <c r="WJZ53" i="9" s="1"/>
  <c r="WKA53" i="9" s="1"/>
  <c r="WKB53" i="9" s="1"/>
  <c r="WKC53" i="9" s="1"/>
  <c r="WKD53" i="9" s="1"/>
  <c r="WKE53" i="9" s="1"/>
  <c r="WKF53" i="9" s="1"/>
  <c r="WKG53" i="9" s="1"/>
  <c r="WKH53" i="9" s="1"/>
  <c r="WKI53" i="9" s="1"/>
  <c r="WKJ53" i="9" s="1"/>
  <c r="WKK53" i="9" s="1"/>
  <c r="WKL53" i="9" s="1"/>
  <c r="WKM53" i="9" s="1"/>
  <c r="WKN53" i="9" s="1"/>
  <c r="WKO53" i="9" s="1"/>
  <c r="WKP53" i="9" s="1"/>
  <c r="WKQ53" i="9" s="1"/>
  <c r="WKR53" i="9" s="1"/>
  <c r="WKS53" i="9" s="1"/>
  <c r="WKT53" i="9" s="1"/>
  <c r="WKU53" i="9" s="1"/>
  <c r="WKV53" i="9" s="1"/>
  <c r="WKW53" i="9" s="1"/>
  <c r="WKX53" i="9" s="1"/>
  <c r="WKY53" i="9" s="1"/>
  <c r="WKZ53" i="9" s="1"/>
  <c r="WLA53" i="9" s="1"/>
  <c r="WLB53" i="9" s="1"/>
  <c r="WLC53" i="9" s="1"/>
  <c r="WLD53" i="9" s="1"/>
  <c r="WLE53" i="9" s="1"/>
  <c r="WLF53" i="9" s="1"/>
  <c r="WLG53" i="9" s="1"/>
  <c r="WLH53" i="9" s="1"/>
  <c r="WLI53" i="9" s="1"/>
  <c r="WLJ53" i="9" s="1"/>
  <c r="WLK53" i="9" s="1"/>
  <c r="WLL53" i="9" s="1"/>
  <c r="WLM53" i="9" s="1"/>
  <c r="WLN53" i="9" s="1"/>
  <c r="WLO53" i="9" s="1"/>
  <c r="WLP53" i="9" s="1"/>
  <c r="WLQ53" i="9" s="1"/>
  <c r="WLR53" i="9" s="1"/>
  <c r="WLS53" i="9" s="1"/>
  <c r="WLT53" i="9" s="1"/>
  <c r="WLU53" i="9" s="1"/>
  <c r="WLV53" i="9" s="1"/>
  <c r="WLW53" i="9" s="1"/>
  <c r="WLX53" i="9" s="1"/>
  <c r="WLY53" i="9" s="1"/>
  <c r="WLZ53" i="9" s="1"/>
  <c r="WMA53" i="9" s="1"/>
  <c r="WMB53" i="9" s="1"/>
  <c r="WMC53" i="9" s="1"/>
  <c r="WMD53" i="9" s="1"/>
  <c r="WME53" i="9" s="1"/>
  <c r="WMF53" i="9" s="1"/>
  <c r="WMG53" i="9" s="1"/>
  <c r="WMH53" i="9" s="1"/>
  <c r="WMI53" i="9" s="1"/>
  <c r="WMJ53" i="9" s="1"/>
  <c r="WMK53" i="9" s="1"/>
  <c r="WML53" i="9" s="1"/>
  <c r="WMM53" i="9" s="1"/>
  <c r="WMN53" i="9" s="1"/>
  <c r="WMO53" i="9" s="1"/>
  <c r="WMP53" i="9" s="1"/>
  <c r="WMQ53" i="9" s="1"/>
  <c r="WMR53" i="9" s="1"/>
  <c r="WMS53" i="9" s="1"/>
  <c r="WMT53" i="9" s="1"/>
  <c r="WMU53" i="9" s="1"/>
  <c r="WMV53" i="9" s="1"/>
  <c r="WMW53" i="9" s="1"/>
  <c r="WMX53" i="9" s="1"/>
  <c r="WMY53" i="9" s="1"/>
  <c r="WMZ53" i="9" s="1"/>
  <c r="WNA53" i="9" s="1"/>
  <c r="WNB53" i="9" s="1"/>
  <c r="WNC53" i="9" s="1"/>
  <c r="WND53" i="9" s="1"/>
  <c r="WNE53" i="9" s="1"/>
  <c r="WNF53" i="9" s="1"/>
  <c r="WNG53" i="9" s="1"/>
  <c r="WNH53" i="9" s="1"/>
  <c r="WNI53" i="9" s="1"/>
  <c r="WNJ53" i="9" s="1"/>
  <c r="WNK53" i="9" s="1"/>
  <c r="WNL53" i="9" s="1"/>
  <c r="WNM53" i="9" s="1"/>
  <c r="WNN53" i="9" s="1"/>
  <c r="WNO53" i="9" s="1"/>
  <c r="WNP53" i="9" s="1"/>
  <c r="WNQ53" i="9" s="1"/>
  <c r="WNR53" i="9" s="1"/>
  <c r="WNS53" i="9" s="1"/>
  <c r="WNT53" i="9" s="1"/>
  <c r="WNU53" i="9" s="1"/>
  <c r="WNV53" i="9" s="1"/>
  <c r="WNW53" i="9" s="1"/>
  <c r="WNX53" i="9" s="1"/>
  <c r="WNY53" i="9" s="1"/>
  <c r="WNZ53" i="9" s="1"/>
  <c r="WOA53" i="9" s="1"/>
  <c r="WOB53" i="9" s="1"/>
  <c r="WOC53" i="9" s="1"/>
  <c r="WOD53" i="9" s="1"/>
  <c r="WOE53" i="9" s="1"/>
  <c r="WOF53" i="9" s="1"/>
  <c r="WOG53" i="9" s="1"/>
  <c r="WOH53" i="9" s="1"/>
  <c r="WOI53" i="9" s="1"/>
  <c r="WOJ53" i="9" s="1"/>
  <c r="WOK53" i="9" s="1"/>
  <c r="WOL53" i="9" s="1"/>
  <c r="WOM53" i="9" s="1"/>
  <c r="WON53" i="9" s="1"/>
  <c r="WOO53" i="9" s="1"/>
  <c r="WOP53" i="9" s="1"/>
  <c r="WOQ53" i="9" s="1"/>
  <c r="WOR53" i="9" s="1"/>
  <c r="WOS53" i="9" s="1"/>
  <c r="WOT53" i="9" s="1"/>
  <c r="WOU53" i="9" s="1"/>
  <c r="WOV53" i="9" s="1"/>
  <c r="WOW53" i="9" s="1"/>
  <c r="WOX53" i="9" s="1"/>
  <c r="WOY53" i="9" s="1"/>
  <c r="WOZ53" i="9" s="1"/>
  <c r="WPA53" i="9" s="1"/>
  <c r="WPB53" i="9" s="1"/>
  <c r="WPC53" i="9" s="1"/>
  <c r="WPD53" i="9" s="1"/>
  <c r="WPE53" i="9" s="1"/>
  <c r="WPF53" i="9" s="1"/>
  <c r="WPG53" i="9" s="1"/>
  <c r="WPH53" i="9" s="1"/>
  <c r="WPI53" i="9" s="1"/>
  <c r="WPJ53" i="9" s="1"/>
  <c r="WPK53" i="9" s="1"/>
  <c r="WPL53" i="9" s="1"/>
  <c r="WPM53" i="9" s="1"/>
  <c r="WPN53" i="9" s="1"/>
  <c r="WPO53" i="9" s="1"/>
  <c r="WPP53" i="9" s="1"/>
  <c r="WPQ53" i="9" s="1"/>
  <c r="WPR53" i="9" s="1"/>
  <c r="WPS53" i="9" s="1"/>
  <c r="WPT53" i="9" s="1"/>
  <c r="WPU53" i="9" s="1"/>
  <c r="WPV53" i="9" s="1"/>
  <c r="WPW53" i="9" s="1"/>
  <c r="WPX53" i="9" s="1"/>
  <c r="WPY53" i="9" s="1"/>
  <c r="WPZ53" i="9" s="1"/>
  <c r="WQA53" i="9" s="1"/>
  <c r="WQB53" i="9" s="1"/>
  <c r="WQC53" i="9" s="1"/>
  <c r="WQD53" i="9" s="1"/>
  <c r="WQE53" i="9" s="1"/>
  <c r="WQF53" i="9" s="1"/>
  <c r="WQG53" i="9" s="1"/>
  <c r="WQH53" i="9" s="1"/>
  <c r="WQI53" i="9" s="1"/>
  <c r="WQJ53" i="9" s="1"/>
  <c r="WQK53" i="9" s="1"/>
  <c r="WQL53" i="9" s="1"/>
  <c r="WQM53" i="9" s="1"/>
  <c r="WQN53" i="9" s="1"/>
  <c r="WQO53" i="9" s="1"/>
  <c r="WQP53" i="9" s="1"/>
  <c r="WQQ53" i="9" s="1"/>
  <c r="WQR53" i="9" s="1"/>
  <c r="WQS53" i="9" s="1"/>
  <c r="WQT53" i="9" s="1"/>
  <c r="WQU53" i="9" s="1"/>
  <c r="WQV53" i="9" s="1"/>
  <c r="WQW53" i="9" s="1"/>
  <c r="WQX53" i="9" s="1"/>
  <c r="WQY53" i="9" s="1"/>
  <c r="WQZ53" i="9" s="1"/>
  <c r="WRA53" i="9" s="1"/>
  <c r="WRB53" i="9" s="1"/>
  <c r="WRC53" i="9" s="1"/>
  <c r="WRD53" i="9" s="1"/>
  <c r="WRE53" i="9" s="1"/>
  <c r="WRF53" i="9" s="1"/>
  <c r="WRG53" i="9" s="1"/>
  <c r="WRH53" i="9" s="1"/>
  <c r="WRI53" i="9" s="1"/>
  <c r="WRJ53" i="9" s="1"/>
  <c r="WRK53" i="9" s="1"/>
  <c r="WRL53" i="9" s="1"/>
  <c r="WRM53" i="9" s="1"/>
  <c r="WRN53" i="9" s="1"/>
  <c r="WRO53" i="9" s="1"/>
  <c r="WRP53" i="9" s="1"/>
  <c r="WRQ53" i="9" s="1"/>
  <c r="WRR53" i="9" s="1"/>
  <c r="WRS53" i="9" s="1"/>
  <c r="WRT53" i="9" s="1"/>
  <c r="WRU53" i="9" s="1"/>
  <c r="WRV53" i="9" s="1"/>
  <c r="WRW53" i="9" s="1"/>
  <c r="WRX53" i="9" s="1"/>
  <c r="WRY53" i="9" s="1"/>
  <c r="WRZ53" i="9" s="1"/>
  <c r="WSA53" i="9" s="1"/>
  <c r="WSB53" i="9" s="1"/>
  <c r="WSC53" i="9" s="1"/>
  <c r="WSD53" i="9" s="1"/>
  <c r="WSE53" i="9" s="1"/>
  <c r="WSF53" i="9" s="1"/>
  <c r="WSG53" i="9" s="1"/>
  <c r="WSH53" i="9" s="1"/>
  <c r="WSI53" i="9" s="1"/>
  <c r="WSJ53" i="9" s="1"/>
  <c r="WSK53" i="9" s="1"/>
  <c r="WSL53" i="9" s="1"/>
  <c r="WSM53" i="9" s="1"/>
  <c r="WSN53" i="9" s="1"/>
  <c r="WSO53" i="9" s="1"/>
  <c r="WSP53" i="9" s="1"/>
  <c r="WSQ53" i="9" s="1"/>
  <c r="WSR53" i="9" s="1"/>
  <c r="WSS53" i="9" s="1"/>
  <c r="WST53" i="9" s="1"/>
  <c r="WSU53" i="9" s="1"/>
  <c r="WSV53" i="9" s="1"/>
  <c r="WSW53" i="9" s="1"/>
  <c r="WSX53" i="9" s="1"/>
  <c r="WSY53" i="9" s="1"/>
  <c r="WSZ53" i="9" s="1"/>
  <c r="WTA53" i="9" s="1"/>
  <c r="WTB53" i="9" s="1"/>
  <c r="WTC53" i="9" s="1"/>
  <c r="WTD53" i="9" s="1"/>
  <c r="WTE53" i="9" s="1"/>
  <c r="WTF53" i="9" s="1"/>
  <c r="WTG53" i="9" s="1"/>
  <c r="WTH53" i="9" s="1"/>
  <c r="WTI53" i="9" s="1"/>
  <c r="WTJ53" i="9" s="1"/>
  <c r="WTK53" i="9" s="1"/>
  <c r="WTL53" i="9" s="1"/>
  <c r="WTM53" i="9" s="1"/>
  <c r="WTN53" i="9" s="1"/>
  <c r="WTO53" i="9" s="1"/>
  <c r="WTP53" i="9" s="1"/>
  <c r="WTQ53" i="9" s="1"/>
  <c r="WTR53" i="9" s="1"/>
  <c r="WTS53" i="9" s="1"/>
  <c r="WTT53" i="9" s="1"/>
  <c r="WTU53" i="9" s="1"/>
  <c r="WTV53" i="9" s="1"/>
  <c r="WTW53" i="9" s="1"/>
  <c r="WTX53" i="9" s="1"/>
  <c r="WTY53" i="9" s="1"/>
  <c r="WTZ53" i="9" s="1"/>
  <c r="WUA53" i="9" s="1"/>
  <c r="WUB53" i="9" s="1"/>
  <c r="WUC53" i="9" s="1"/>
  <c r="WUD53" i="9" s="1"/>
  <c r="WUE53" i="9" s="1"/>
  <c r="WUF53" i="9" s="1"/>
  <c r="WUG53" i="9" s="1"/>
  <c r="WUH53" i="9" s="1"/>
  <c r="WUI53" i="9" s="1"/>
  <c r="WUJ53" i="9" s="1"/>
  <c r="WUK53" i="9" s="1"/>
  <c r="WUL53" i="9" s="1"/>
  <c r="WUM53" i="9" s="1"/>
  <c r="WUN53" i="9" s="1"/>
  <c r="WUO53" i="9" s="1"/>
  <c r="WUP53" i="9" s="1"/>
  <c r="WUQ53" i="9" s="1"/>
  <c r="WUR53" i="9" s="1"/>
  <c r="WUS53" i="9" s="1"/>
  <c r="WUT53" i="9" s="1"/>
  <c r="WUU53" i="9" s="1"/>
  <c r="WUV53" i="9" s="1"/>
  <c r="WUW53" i="9" s="1"/>
  <c r="WUX53" i="9" s="1"/>
  <c r="WUY53" i="9" s="1"/>
  <c r="WUZ53" i="9" s="1"/>
  <c r="WVA53" i="9" s="1"/>
  <c r="WVB53" i="9" s="1"/>
  <c r="WVC53" i="9" s="1"/>
  <c r="WVD53" i="9" s="1"/>
  <c r="WVE53" i="9" s="1"/>
  <c r="WVF53" i="9" s="1"/>
  <c r="WVG53" i="9" s="1"/>
  <c r="WVH53" i="9" s="1"/>
  <c r="WVI53" i="9" s="1"/>
  <c r="WVJ53" i="9" s="1"/>
  <c r="WVK53" i="9" s="1"/>
  <c r="WVL53" i="9" s="1"/>
  <c r="WVM53" i="9" s="1"/>
  <c r="WVN53" i="9" s="1"/>
  <c r="WVO53" i="9" s="1"/>
  <c r="WVP53" i="9" s="1"/>
  <c r="WVQ53" i="9" s="1"/>
  <c r="WVR53" i="9" s="1"/>
  <c r="WVS53" i="9" s="1"/>
  <c r="WVT53" i="9" s="1"/>
  <c r="WVU53" i="9" s="1"/>
  <c r="WVV53" i="9" s="1"/>
  <c r="WVW53" i="9" s="1"/>
  <c r="WVX53" i="9" s="1"/>
  <c r="WVY53" i="9" s="1"/>
  <c r="WVZ53" i="9" s="1"/>
  <c r="WWA53" i="9" s="1"/>
  <c r="WWB53" i="9" s="1"/>
  <c r="WWC53" i="9" s="1"/>
  <c r="WWD53" i="9" s="1"/>
  <c r="WWE53" i="9" s="1"/>
  <c r="WWF53" i="9" s="1"/>
  <c r="WWG53" i="9" s="1"/>
  <c r="WWH53" i="9" s="1"/>
  <c r="WWI53" i="9" s="1"/>
  <c r="WWJ53" i="9" s="1"/>
  <c r="WWK53" i="9" s="1"/>
  <c r="WWL53" i="9" s="1"/>
  <c r="WWM53" i="9" s="1"/>
  <c r="WWN53" i="9" s="1"/>
  <c r="WWO53" i="9" s="1"/>
  <c r="WWP53" i="9" s="1"/>
  <c r="WWQ53" i="9" s="1"/>
  <c r="WWR53" i="9" s="1"/>
  <c r="WWS53" i="9" s="1"/>
  <c r="WWT53" i="9" s="1"/>
  <c r="WWU53" i="9" s="1"/>
  <c r="WWV53" i="9" s="1"/>
  <c r="WWW53" i="9" s="1"/>
  <c r="WWX53" i="9" s="1"/>
  <c r="WWY53" i="9" s="1"/>
  <c r="WWZ53" i="9" s="1"/>
  <c r="WXA53" i="9" s="1"/>
  <c r="WXB53" i="9" s="1"/>
  <c r="WXC53" i="9" s="1"/>
  <c r="WXD53" i="9" s="1"/>
  <c r="WXE53" i="9" s="1"/>
  <c r="WXF53" i="9" s="1"/>
  <c r="WXG53" i="9" s="1"/>
  <c r="WXH53" i="9" s="1"/>
  <c r="WXI53" i="9" s="1"/>
  <c r="WXJ53" i="9" s="1"/>
  <c r="WXK53" i="9" s="1"/>
  <c r="WXL53" i="9" s="1"/>
  <c r="WXM53" i="9" s="1"/>
  <c r="WXN53" i="9" s="1"/>
  <c r="WXO53" i="9" s="1"/>
  <c r="WXP53" i="9" s="1"/>
  <c r="WXQ53" i="9" s="1"/>
  <c r="WXR53" i="9" s="1"/>
  <c r="WXS53" i="9" s="1"/>
  <c r="WXT53" i="9" s="1"/>
  <c r="WXU53" i="9" s="1"/>
  <c r="WXV53" i="9" s="1"/>
  <c r="WXW53" i="9" s="1"/>
  <c r="WXX53" i="9" s="1"/>
  <c r="WXY53" i="9" s="1"/>
  <c r="WXZ53" i="9" s="1"/>
  <c r="WYA53" i="9" s="1"/>
  <c r="WYB53" i="9" s="1"/>
  <c r="WYC53" i="9" s="1"/>
  <c r="WYD53" i="9" s="1"/>
  <c r="WYE53" i="9" s="1"/>
  <c r="WYF53" i="9" s="1"/>
  <c r="WYG53" i="9" s="1"/>
  <c r="WYH53" i="9" s="1"/>
  <c r="WYI53" i="9" s="1"/>
  <c r="WYJ53" i="9" s="1"/>
  <c r="WYK53" i="9" s="1"/>
  <c r="WYL53" i="9" s="1"/>
  <c r="WYM53" i="9" s="1"/>
  <c r="WYN53" i="9" s="1"/>
  <c r="WYO53" i="9" s="1"/>
  <c r="WYP53" i="9" s="1"/>
  <c r="WYQ53" i="9" s="1"/>
  <c r="WYR53" i="9" s="1"/>
  <c r="WYS53" i="9" s="1"/>
  <c r="WYT53" i="9" s="1"/>
  <c r="WYU53" i="9" s="1"/>
  <c r="WYV53" i="9" s="1"/>
  <c r="WYW53" i="9" s="1"/>
  <c r="WYX53" i="9" s="1"/>
  <c r="WYY53" i="9" s="1"/>
  <c r="WYZ53" i="9" s="1"/>
  <c r="WZA53" i="9" s="1"/>
  <c r="WZB53" i="9" s="1"/>
  <c r="WZC53" i="9" s="1"/>
  <c r="WZD53" i="9" s="1"/>
  <c r="WZE53" i="9" s="1"/>
  <c r="WZF53" i="9" s="1"/>
  <c r="WZG53" i="9" s="1"/>
  <c r="WZH53" i="9" s="1"/>
  <c r="WZI53" i="9" s="1"/>
  <c r="WZJ53" i="9" s="1"/>
  <c r="WZK53" i="9" s="1"/>
  <c r="WZL53" i="9" s="1"/>
  <c r="WZM53" i="9" s="1"/>
  <c r="WZN53" i="9" s="1"/>
  <c r="WZO53" i="9" s="1"/>
  <c r="WZP53" i="9" s="1"/>
  <c r="WZQ53" i="9" s="1"/>
  <c r="WZR53" i="9" s="1"/>
  <c r="WZS53" i="9" s="1"/>
  <c r="WZT53" i="9" s="1"/>
  <c r="WZU53" i="9" s="1"/>
  <c r="WZV53" i="9" s="1"/>
  <c r="WZW53" i="9" s="1"/>
  <c r="WZX53" i="9" s="1"/>
  <c r="WZY53" i="9" s="1"/>
  <c r="WZZ53" i="9" s="1"/>
  <c r="XAA53" i="9" s="1"/>
  <c r="XAB53" i="9" s="1"/>
  <c r="XAC53" i="9" s="1"/>
  <c r="XAD53" i="9" s="1"/>
  <c r="XAE53" i="9" s="1"/>
  <c r="XAF53" i="9" s="1"/>
  <c r="XAG53" i="9" s="1"/>
  <c r="XAH53" i="9" s="1"/>
  <c r="XAI53" i="9" s="1"/>
  <c r="XAJ53" i="9" s="1"/>
  <c r="XAK53" i="9" s="1"/>
  <c r="XAL53" i="9" s="1"/>
  <c r="XAM53" i="9" s="1"/>
  <c r="XAN53" i="9" s="1"/>
  <c r="XAO53" i="9" s="1"/>
  <c r="XAP53" i="9" s="1"/>
  <c r="XAQ53" i="9" s="1"/>
  <c r="XAR53" i="9" s="1"/>
  <c r="XAS53" i="9" s="1"/>
  <c r="XAT53" i="9" s="1"/>
  <c r="XAU53" i="9" s="1"/>
  <c r="XAV53" i="9" s="1"/>
  <c r="XAW53" i="9" s="1"/>
  <c r="XAX53" i="9" s="1"/>
  <c r="XAY53" i="9" s="1"/>
  <c r="XAZ53" i="9" s="1"/>
  <c r="XBA53" i="9" s="1"/>
  <c r="XBB53" i="9" s="1"/>
  <c r="XBC53" i="9" s="1"/>
  <c r="XBD53" i="9" s="1"/>
  <c r="XBE53" i="9" s="1"/>
  <c r="XBF53" i="9" s="1"/>
  <c r="XBG53" i="9" s="1"/>
  <c r="XBH53" i="9" s="1"/>
  <c r="XBI53" i="9" s="1"/>
  <c r="XBJ53" i="9" s="1"/>
  <c r="XBK53" i="9" s="1"/>
  <c r="XBL53" i="9" s="1"/>
  <c r="XBM53" i="9" s="1"/>
  <c r="XBN53" i="9" s="1"/>
  <c r="XBO53" i="9" s="1"/>
  <c r="XBP53" i="9" s="1"/>
  <c r="XBQ53" i="9" s="1"/>
  <c r="XBR53" i="9" s="1"/>
  <c r="XBS53" i="9" s="1"/>
  <c r="XBT53" i="9" s="1"/>
  <c r="XBU53" i="9" s="1"/>
  <c r="XBV53" i="9" s="1"/>
  <c r="XBW53" i="9" s="1"/>
  <c r="XBX53" i="9" s="1"/>
  <c r="XBY53" i="9" s="1"/>
  <c r="XBZ53" i="9" s="1"/>
  <c r="XCA53" i="9" s="1"/>
  <c r="XCB53" i="9" s="1"/>
  <c r="XCC53" i="9" s="1"/>
  <c r="XCD53" i="9" s="1"/>
  <c r="XCE53" i="9" s="1"/>
  <c r="XCF53" i="9" s="1"/>
  <c r="XCG53" i="9" s="1"/>
  <c r="XCH53" i="9" s="1"/>
  <c r="XCI53" i="9" s="1"/>
  <c r="XCJ53" i="9" s="1"/>
  <c r="XCK53" i="9" s="1"/>
  <c r="XCL53" i="9" s="1"/>
  <c r="XCM53" i="9" s="1"/>
  <c r="XCN53" i="9" s="1"/>
  <c r="XCO53" i="9" s="1"/>
  <c r="XCP53" i="9" s="1"/>
  <c r="XCQ53" i="9" s="1"/>
  <c r="XCR53" i="9" s="1"/>
  <c r="XCS53" i="9" s="1"/>
  <c r="XCT53" i="9" s="1"/>
  <c r="XCU53" i="9" s="1"/>
  <c r="XCV53" i="9" s="1"/>
  <c r="XCW53" i="9" s="1"/>
  <c r="XCX53" i="9" s="1"/>
  <c r="XCY53" i="9" s="1"/>
  <c r="XCZ53" i="9" s="1"/>
  <c r="XDA53" i="9" s="1"/>
  <c r="XDB53" i="9" s="1"/>
  <c r="XDC53" i="9" s="1"/>
  <c r="XDD53" i="9" s="1"/>
  <c r="XDE53" i="9" s="1"/>
  <c r="XDF53" i="9" s="1"/>
  <c r="XDG53" i="9" s="1"/>
  <c r="XDH53" i="9" s="1"/>
  <c r="XDI53" i="9" s="1"/>
  <c r="XDJ53" i="9" s="1"/>
  <c r="XDK53" i="9" s="1"/>
  <c r="XDL53" i="9" s="1"/>
  <c r="XDM53" i="9" s="1"/>
  <c r="XDN53" i="9" s="1"/>
  <c r="XDO53" i="9" s="1"/>
  <c r="XDP53" i="9" s="1"/>
  <c r="XDQ53" i="9" s="1"/>
  <c r="XDR53" i="9" s="1"/>
  <c r="XDS53" i="9" s="1"/>
  <c r="XDT53" i="9" s="1"/>
  <c r="XDU53" i="9" s="1"/>
  <c r="XDV53" i="9" s="1"/>
  <c r="XDW53" i="9" s="1"/>
  <c r="XDX53" i="9" s="1"/>
  <c r="XDY53" i="9" s="1"/>
  <c r="XDZ53" i="9" s="1"/>
  <c r="XEA53" i="9" s="1"/>
  <c r="XEB53" i="9" s="1"/>
  <c r="XEC53" i="9" s="1"/>
  <c r="XED53" i="9" s="1"/>
  <c r="XEE53" i="9" s="1"/>
  <c r="XEF53" i="9" s="1"/>
  <c r="XEG53" i="9" s="1"/>
  <c r="XEH53" i="9" s="1"/>
  <c r="XEI53" i="9" s="1"/>
  <c r="XEJ53" i="9" s="1"/>
  <c r="XEK53" i="9" s="1"/>
  <c r="XEL53" i="9" s="1"/>
  <c r="XEM53" i="9" s="1"/>
  <c r="XEN53" i="9" s="1"/>
  <c r="XEO53" i="9" s="1"/>
  <c r="XEP53" i="9" s="1"/>
  <c r="XEQ53" i="9" s="1"/>
  <c r="XER53" i="9" s="1"/>
  <c r="XES53" i="9" s="1"/>
  <c r="XET53" i="9" s="1"/>
  <c r="XEU53" i="9" s="1"/>
  <c r="XEV53" i="9" s="1"/>
  <c r="XEW53" i="9" s="1"/>
  <c r="XEX53" i="9" s="1"/>
  <c r="XEY53" i="9" s="1"/>
  <c r="XEZ53" i="9" s="1"/>
  <c r="XFA53" i="9" s="1"/>
  <c r="XFB53" i="9" s="1"/>
  <c r="XFC53" i="9" s="1"/>
  <c r="XFD53" i="9" s="1"/>
  <c r="E27" i="4" l="1"/>
  <c r="E91" i="4"/>
  <c r="E89" i="4"/>
  <c r="E88" i="4"/>
  <c r="E87" i="4"/>
  <c r="E85" i="4"/>
  <c r="E82" i="4"/>
  <c r="E79" i="4"/>
  <c r="E78" i="4"/>
  <c r="E73" i="4"/>
  <c r="E57" i="4"/>
  <c r="E56" i="4"/>
  <c r="E55" i="4"/>
  <c r="E51" i="4"/>
  <c r="E50" i="4"/>
  <c r="E49" i="4"/>
  <c r="E47" i="4"/>
  <c r="E46" i="4"/>
  <c r="E45" i="4"/>
  <c r="E40" i="4"/>
  <c r="C43" i="4"/>
  <c r="E43" i="4" s="1"/>
  <c r="C83" i="4"/>
  <c r="E83" i="4" s="1"/>
  <c r="C68" i="4"/>
  <c r="E68" i="4" s="1"/>
  <c r="C64" i="4"/>
  <c r="E64" i="4" s="1"/>
  <c r="E19" i="4" l="1"/>
  <c r="C20" i="4" l="1"/>
  <c r="E6" i="4"/>
  <c r="C21" i="4" l="1"/>
  <c r="E21" i="4" s="1"/>
  <c r="E20" i="4"/>
  <c r="AO634" i="3" l="1"/>
  <c r="AO624" i="3" l="1"/>
  <c r="Q624" i="3"/>
  <c r="T624" i="3" s="1"/>
  <c r="C624" i="3"/>
  <c r="AO623" i="3"/>
  <c r="C623" i="3"/>
  <c r="AO622" i="3"/>
  <c r="E43" i="25" s="1"/>
  <c r="C622" i="3"/>
  <c r="AO621" i="3"/>
  <c r="Q621" i="3"/>
  <c r="T621" i="3" s="1"/>
  <c r="AF621" i="3" s="1"/>
  <c r="C621" i="3"/>
  <c r="E42" i="25" l="1"/>
  <c r="AA898" i="3"/>
  <c r="T622" i="3"/>
  <c r="AF622" i="3" s="1"/>
  <c r="D41" i="9" s="1"/>
  <c r="Q622" i="3"/>
  <c r="AG435" i="3" l="1"/>
  <c r="AG441" i="3" s="1"/>
  <c r="AC378" i="3"/>
  <c r="H311" i="3" l="1"/>
  <c r="H309" i="3"/>
  <c r="H308" i="3"/>
  <c r="H307" i="3"/>
  <c r="H306" i="3"/>
  <c r="H305" i="3"/>
  <c r="H316" i="3"/>
  <c r="H295" i="3" l="1"/>
  <c r="L281" i="3"/>
  <c r="M250" i="3"/>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AZ728" i="3" l="1"/>
  <c r="BF698" i="3"/>
  <c r="BG698" i="3" s="1"/>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D16" i="9"/>
  <c r="E16" i="9" s="1"/>
  <c r="D19" i="9"/>
  <c r="E19" i="9" s="1"/>
  <c r="F19" i="9" s="1"/>
  <c r="G19" i="9" s="1"/>
  <c r="H19" i="9" s="1"/>
  <c r="I19" i="9" s="1"/>
  <c r="J19" i="9" s="1"/>
  <c r="K19" i="9" s="1"/>
  <c r="L19" i="9" s="1"/>
  <c r="M19" i="9" s="1"/>
  <c r="N19" i="9" s="1"/>
  <c r="O19" i="9" s="1"/>
  <c r="P19" i="9" s="1"/>
  <c r="Q19" i="9" s="1"/>
  <c r="R19" i="9" s="1"/>
  <c r="D26" i="9"/>
  <c r="D27" i="9"/>
  <c r="D28" i="9"/>
  <c r="D29" i="9"/>
  <c r="D30" i="9"/>
  <c r="D32" i="9"/>
  <c r="D33" i="9"/>
  <c r="AD66" i="5"/>
  <c r="Y66" i="5"/>
  <c r="T25" i="5"/>
  <c r="AG434" i="3"/>
  <c r="D40" i="9"/>
  <c r="A40" i="9"/>
  <c r="T700" i="6"/>
  <c r="BJ528" i="6"/>
  <c r="Q583" i="6" s="1"/>
  <c r="W583" i="6" s="1"/>
  <c r="D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D17" i="9" s="1"/>
  <c r="E17" i="9" s="1"/>
  <c r="F17" i="9" s="1"/>
  <c r="G17" i="9" s="1"/>
  <c r="H17" i="9" s="1"/>
  <c r="I17" i="9" s="1"/>
  <c r="J17" i="9" s="1"/>
  <c r="K17" i="9" s="1"/>
  <c r="L17" i="9" s="1"/>
  <c r="M17" i="9" s="1"/>
  <c r="N17" i="9" s="1"/>
  <c r="O17" i="9" s="1"/>
  <c r="P17" i="9" s="1"/>
  <c r="Q17" i="9" s="1"/>
  <c r="R17" i="9" s="1"/>
  <c r="W841" i="3"/>
  <c r="D18" i="9" s="1"/>
  <c r="E18" i="9" s="1"/>
  <c r="F18" i="9" s="1"/>
  <c r="G18" i="9" s="1"/>
  <c r="H18" i="9" s="1"/>
  <c r="I18" i="9" s="1"/>
  <c r="J18" i="9" s="1"/>
  <c r="K18" i="9" s="1"/>
  <c r="L18" i="9" s="1"/>
  <c r="M18" i="9" s="1"/>
  <c r="N18" i="9" s="1"/>
  <c r="O18" i="9" s="1"/>
  <c r="P18" i="9" s="1"/>
  <c r="Q18" i="9" s="1"/>
  <c r="R18" i="9" s="1"/>
  <c r="W851" i="3"/>
  <c r="W858" i="3"/>
  <c r="D21" i="9" s="1"/>
  <c r="E21" i="9" s="1"/>
  <c r="F21" i="9" s="1"/>
  <c r="G21" i="9" s="1"/>
  <c r="H21" i="9" s="1"/>
  <c r="I21" i="9" s="1"/>
  <c r="J21" i="9" s="1"/>
  <c r="K21" i="9" s="1"/>
  <c r="L21" i="9" s="1"/>
  <c r="M21" i="9" s="1"/>
  <c r="N21" i="9" s="1"/>
  <c r="O21" i="9" s="1"/>
  <c r="P21" i="9" s="1"/>
  <c r="Q21" i="9" s="1"/>
  <c r="R21" i="9" s="1"/>
  <c r="Z796" i="3"/>
  <c r="D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18" i="4" s="1"/>
  <c r="G107" i="4"/>
  <c r="G4" i="4" s="1"/>
  <c r="F107" i="4"/>
  <c r="E107" i="4"/>
  <c r="B100" i="15"/>
  <c r="C100" i="15"/>
  <c r="D100" i="15"/>
  <c r="B101" i="15"/>
  <c r="C101" i="15"/>
  <c r="D101" i="15"/>
  <c r="B102" i="15"/>
  <c r="C102" i="15"/>
  <c r="E102" i="15" s="1"/>
  <c r="D102" i="15"/>
  <c r="B103" i="15"/>
  <c r="C103" i="15"/>
  <c r="D103" i="15"/>
  <c r="B84" i="15"/>
  <c r="C84" i="15"/>
  <c r="D84" i="15"/>
  <c r="B85" i="15"/>
  <c r="C85" i="15"/>
  <c r="E85" i="15" s="1"/>
  <c r="D85" i="15"/>
  <c r="B86" i="15"/>
  <c r="C86" i="15"/>
  <c r="E86" i="15" s="1"/>
  <c r="D86" i="15"/>
  <c r="B87" i="15"/>
  <c r="C87" i="15"/>
  <c r="D87" i="15"/>
  <c r="B88" i="15"/>
  <c r="C88" i="15"/>
  <c r="D88" i="15"/>
  <c r="B89" i="15"/>
  <c r="C89" i="15"/>
  <c r="E89" i="15" s="1"/>
  <c r="D89" i="15"/>
  <c r="B90" i="15"/>
  <c r="C90" i="15"/>
  <c r="D90" i="15"/>
  <c r="B91" i="15"/>
  <c r="C91" i="15"/>
  <c r="D91" i="15"/>
  <c r="B92" i="15"/>
  <c r="C92" i="15"/>
  <c r="E92" i="15" s="1"/>
  <c r="D92" i="15"/>
  <c r="B93" i="15"/>
  <c r="C93" i="15"/>
  <c r="E93" i="15" s="1"/>
  <c r="D93" i="15"/>
  <c r="B94" i="15"/>
  <c r="C94" i="15"/>
  <c r="D94" i="15"/>
  <c r="B95" i="15"/>
  <c r="C95" i="15"/>
  <c r="E95" i="15" s="1"/>
  <c r="D95" i="15"/>
  <c r="D83" i="15"/>
  <c r="C83" i="15"/>
  <c r="B83" i="15"/>
  <c r="E83" i="15" s="1"/>
  <c r="B80" i="15"/>
  <c r="C80" i="15"/>
  <c r="E80" i="15" s="1"/>
  <c r="D80" i="15"/>
  <c r="D79" i="15"/>
  <c r="C79" i="15"/>
  <c r="B79" i="15"/>
  <c r="B73" i="15"/>
  <c r="C73" i="15"/>
  <c r="D73" i="15"/>
  <c r="B74" i="15"/>
  <c r="C74" i="15"/>
  <c r="D74" i="15"/>
  <c r="B76" i="15"/>
  <c r="C76" i="15"/>
  <c r="D76" i="15"/>
  <c r="D72" i="15"/>
  <c r="C72" i="15"/>
  <c r="B72" i="15"/>
  <c r="B66" i="15"/>
  <c r="C66" i="15"/>
  <c r="E66" i="15" s="1"/>
  <c r="D66" i="15"/>
  <c r="B67" i="15"/>
  <c r="C67" i="15"/>
  <c r="D67" i="15"/>
  <c r="B68" i="15"/>
  <c r="C68" i="15"/>
  <c r="E68" i="15" s="1"/>
  <c r="D68" i="15"/>
  <c r="B69" i="15"/>
  <c r="C69" i="15"/>
  <c r="D69" i="15"/>
  <c r="D65" i="15"/>
  <c r="C65" i="15"/>
  <c r="B65" i="15"/>
  <c r="B57" i="15"/>
  <c r="C57" i="15"/>
  <c r="D57" i="15"/>
  <c r="B58" i="15"/>
  <c r="C58" i="15"/>
  <c r="D58" i="15"/>
  <c r="B59" i="15"/>
  <c r="C59" i="15"/>
  <c r="D59" i="15"/>
  <c r="B60" i="15"/>
  <c r="C60" i="15"/>
  <c r="E60" i="15" s="1"/>
  <c r="D60" i="15"/>
  <c r="B61" i="15"/>
  <c r="C61" i="15"/>
  <c r="D61" i="15"/>
  <c r="D56" i="15"/>
  <c r="C56" i="15"/>
  <c r="B56" i="15"/>
  <c r="B47" i="15"/>
  <c r="C47" i="15"/>
  <c r="D47" i="15"/>
  <c r="B48" i="15"/>
  <c r="C48" i="15"/>
  <c r="E48" i="15" s="1"/>
  <c r="D48" i="15"/>
  <c r="B49" i="15"/>
  <c r="C49" i="15"/>
  <c r="D49" i="15"/>
  <c r="B50" i="15"/>
  <c r="C50" i="15"/>
  <c r="D50" i="15"/>
  <c r="B51" i="15"/>
  <c r="C51" i="15"/>
  <c r="E51" i="15" s="1"/>
  <c r="D51" i="15"/>
  <c r="B52" i="15"/>
  <c r="C52" i="15"/>
  <c r="D52" i="15"/>
  <c r="B53" i="15"/>
  <c r="C53" i="15"/>
  <c r="D53" i="15"/>
  <c r="D46" i="15"/>
  <c r="C46" i="15"/>
  <c r="B46" i="15"/>
  <c r="E46" i="15" s="1"/>
  <c r="B44" i="15"/>
  <c r="C44" i="15"/>
  <c r="E44" i="15" s="1"/>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C35" i="15"/>
  <c r="E35" i="15" s="1"/>
  <c r="D35" i="15"/>
  <c r="B36" i="15"/>
  <c r="C36" i="15"/>
  <c r="E36" i="15" s="1"/>
  <c r="D36" i="15"/>
  <c r="B37" i="15"/>
  <c r="C37" i="15"/>
  <c r="D37" i="15"/>
  <c r="D30" i="15"/>
  <c r="C30" i="15"/>
  <c r="B30" i="15"/>
  <c r="E30" i="15" s="1"/>
  <c r="B19" i="15"/>
  <c r="C19" i="15"/>
  <c r="E19" i="15" s="1"/>
  <c r="D19" i="15"/>
  <c r="B20" i="15"/>
  <c r="C20" i="15"/>
  <c r="E20" i="15" s="1"/>
  <c r="D20" i="15"/>
  <c r="B21" i="15"/>
  <c r="C21" i="15"/>
  <c r="D21" i="15"/>
  <c r="B22" i="15"/>
  <c r="C22" i="15"/>
  <c r="D22" i="15"/>
  <c r="B23" i="15"/>
  <c r="C23" i="15"/>
  <c r="E23" i="15" s="1"/>
  <c r="D23" i="15"/>
  <c r="B24" i="15"/>
  <c r="C24" i="15"/>
  <c r="E24" i="15" s="1"/>
  <c r="D24" i="15"/>
  <c r="B25" i="15"/>
  <c r="C25" i="15"/>
  <c r="D25" i="15"/>
  <c r="B26" i="15"/>
  <c r="C26" i="15"/>
  <c r="E26" i="15" s="1"/>
  <c r="D26" i="15"/>
  <c r="B28" i="15"/>
  <c r="C28" i="15"/>
  <c r="D28" i="15"/>
  <c r="B5" i="15"/>
  <c r="C5" i="15"/>
  <c r="E5" i="15" s="1"/>
  <c r="B6" i="15"/>
  <c r="C6" i="15"/>
  <c r="B7" i="15"/>
  <c r="C7" i="15"/>
  <c r="B8" i="15"/>
  <c r="C8" i="15"/>
  <c r="B10" i="15"/>
  <c r="C10" i="15"/>
  <c r="B11" i="15"/>
  <c r="C11" i="15"/>
  <c r="E11" i="15" s="1"/>
  <c r="B14" i="15"/>
  <c r="C14" i="15"/>
  <c r="B15" i="15"/>
  <c r="C15" i="15"/>
  <c r="B16" i="15"/>
  <c r="C16" i="15"/>
  <c r="E16" i="15" s="1"/>
  <c r="B18" i="15"/>
  <c r="C18" i="15"/>
  <c r="E18" i="15" s="1"/>
  <c r="C3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25" i="15"/>
  <c r="E76" i="15"/>
  <c r="E34" i="15"/>
  <c r="E101" i="15"/>
  <c r="E69" i="15"/>
  <c r="E73" i="15"/>
  <c r="E91" i="15"/>
  <c r="E87" i="15"/>
  <c r="E67" i="15"/>
  <c r="E31" i="15"/>
  <c r="E57" i="15"/>
  <c r="E14" i="15"/>
  <c r="E8" i="15"/>
  <c r="E52" i="15"/>
  <c r="E47" i="15"/>
  <c r="B12" i="15"/>
  <c r="E6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E24" i="9"/>
  <c r="F24" i="9" s="1"/>
  <c r="G24" i="9" s="1"/>
  <c r="H24" i="9" s="1"/>
  <c r="I24" i="9" s="1"/>
  <c r="J24" i="9" s="1"/>
  <c r="K24" i="9" s="1"/>
  <c r="L24" i="9" s="1"/>
  <c r="M24" i="9" s="1"/>
  <c r="N24" i="9" s="1"/>
  <c r="O24" i="9" s="1"/>
  <c r="P24" i="9" s="1"/>
  <c r="Q24" i="9" s="1"/>
  <c r="R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D27" i="15" s="1"/>
  <c r="C38" i="4"/>
  <c r="C42" i="4"/>
  <c r="C53" i="4"/>
  <c r="B52" i="18" s="1"/>
  <c r="C61" i="4"/>
  <c r="B60" i="18" s="1"/>
  <c r="C69" i="4"/>
  <c r="C80" i="4"/>
  <c r="B79" i="18" s="1"/>
  <c r="C95" i="4"/>
  <c r="C66" i="25"/>
  <c r="Y20" i="5"/>
  <c r="Y22" i="5" s="1"/>
  <c r="AI20" i="5"/>
  <c r="AI22" i="5" s="1"/>
  <c r="S38" i="4"/>
  <c r="E37" i="18" s="1"/>
  <c r="S69" i="4"/>
  <c r="F25" i="18"/>
  <c r="F37" i="18"/>
  <c r="F41" i="18"/>
  <c r="F52" i="18"/>
  <c r="F68" i="18"/>
  <c r="F79" i="18"/>
  <c r="F94" i="18"/>
  <c r="F102" i="18"/>
  <c r="T20" i="5"/>
  <c r="T22" i="5" s="1"/>
  <c r="T26" i="4"/>
  <c r="T38" i="4"/>
  <c r="H37" i="18" s="1"/>
  <c r="T42" i="4"/>
  <c r="T53" i="4"/>
  <c r="T11" i="4"/>
  <c r="T69" i="4"/>
  <c r="H68" i="18"/>
  <c r="T80" i="4"/>
  <c r="H79" i="18" s="1"/>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11"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E80" i="4"/>
  <c r="F80" i="4"/>
  <c r="G80" i="4"/>
  <c r="H80" i="4"/>
  <c r="G76" i="4"/>
  <c r="F76" i="4"/>
  <c r="B78" i="18"/>
  <c r="H78" i="18"/>
  <c r="B79" i="4"/>
  <c r="B78" i="4"/>
  <c r="R79" i="4"/>
  <c r="S79" i="4" s="1"/>
  <c r="E78" i="18" s="1"/>
  <c r="R78" i="4"/>
  <c r="S78" i="4" s="1"/>
  <c r="S80" i="4" s="1"/>
  <c r="E79" i="18" s="1"/>
  <c r="R80" i="4"/>
  <c r="B94" i="18"/>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83" i="18"/>
  <c r="E82" i="18"/>
  <c r="E77" i="18"/>
  <c r="E67" i="18"/>
  <c r="E63" i="18"/>
  <c r="E51" i="18"/>
  <c r="E47" i="18"/>
  <c r="E46" i="18"/>
  <c r="E45" i="18"/>
  <c r="E44" i="18"/>
  <c r="E40" i="18"/>
  <c r="E36" i="18"/>
  <c r="E34" i="18"/>
  <c r="E33" i="18"/>
  <c r="E32" i="18"/>
  <c r="E31" i="18"/>
  <c r="E30" i="18"/>
  <c r="E29" i="18"/>
  <c r="E28" i="18"/>
  <c r="E24" i="18"/>
  <c r="E23" i="18"/>
  <c r="E22" i="18"/>
  <c r="E17" i="18"/>
  <c r="E14" i="18"/>
  <c r="E15" i="18"/>
  <c r="E13" i="18"/>
  <c r="E10" i="18"/>
  <c r="B101" i="18"/>
  <c r="B100" i="18"/>
  <c r="B99" i="18"/>
  <c r="B98" i="18"/>
  <c r="B93" i="18"/>
  <c r="B92" i="18"/>
  <c r="B91" i="18"/>
  <c r="B90" i="18"/>
  <c r="B89" i="18"/>
  <c r="B88" i="18"/>
  <c r="B87" i="18"/>
  <c r="B86" i="18"/>
  <c r="B85" i="18"/>
  <c r="B84" i="18"/>
  <c r="B83" i="18"/>
  <c r="B82" i="18"/>
  <c r="B81" i="18"/>
  <c r="B77" i="18"/>
  <c r="B74"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61" i="18" s="1"/>
  <c r="D95" i="18" s="1"/>
  <c r="D103" i="18" s="1"/>
  <c r="C8" i="18"/>
  <c r="AG517" i="6"/>
  <c r="AO652" i="6"/>
  <c r="AO651" i="6"/>
  <c r="AO650" i="6"/>
  <c r="AO649" i="6"/>
  <c r="AJ271" i="6"/>
  <c r="AJ256" i="6"/>
  <c r="AJ230" i="6"/>
  <c r="AJ218" i="6"/>
  <c r="AJ139" i="6"/>
  <c r="T701" i="6"/>
  <c r="AG524" i="6"/>
  <c r="AG520" i="6"/>
  <c r="AG513" i="6"/>
  <c r="AG508" i="6"/>
  <c r="AG485" i="6"/>
  <c r="R94" i="4"/>
  <c r="R82" i="4"/>
  <c r="R84" i="4"/>
  <c r="R85" i="4"/>
  <c r="S85" i="4" s="1"/>
  <c r="E84" i="18" s="1"/>
  <c r="R86" i="4"/>
  <c r="R87" i="4"/>
  <c r="R88" i="4"/>
  <c r="S88" i="4" s="1"/>
  <c r="E87" i="18" s="1"/>
  <c r="R89" i="4"/>
  <c r="R90" i="4"/>
  <c r="R91" i="4"/>
  <c r="S91" i="4" s="1"/>
  <c r="E90" i="18" s="1"/>
  <c r="R92" i="4"/>
  <c r="R93" i="4"/>
  <c r="R60" i="4"/>
  <c r="R59" i="4"/>
  <c r="R58" i="4"/>
  <c r="R57" i="4"/>
  <c r="R56" i="4"/>
  <c r="R52" i="4"/>
  <c r="R51" i="4"/>
  <c r="S51" i="4" s="1"/>
  <c r="E50" i="18" s="1"/>
  <c r="R50" i="4"/>
  <c r="S50" i="4" s="1"/>
  <c r="E49" i="18" s="1"/>
  <c r="R49" i="4"/>
  <c r="S49" i="4" s="1"/>
  <c r="R48" i="4"/>
  <c r="R47" i="4"/>
  <c r="R46" i="4"/>
  <c r="R45" i="4"/>
  <c r="R53" i="4" s="1"/>
  <c r="R43" i="4"/>
  <c r="S43" i="4" s="1"/>
  <c r="E42" i="18" s="1"/>
  <c r="R41" i="4"/>
  <c r="R40" i="4"/>
  <c r="S40" i="4" s="1"/>
  <c r="R37" i="4"/>
  <c r="R35" i="4"/>
  <c r="R34" i="4"/>
  <c r="R33" i="4"/>
  <c r="R32" i="4"/>
  <c r="R30" i="4"/>
  <c r="R31" i="4"/>
  <c r="R29" i="4"/>
  <c r="R27" i="4"/>
  <c r="S27" i="4" s="1"/>
  <c r="E26" i="18" s="1"/>
  <c r="R25" i="4"/>
  <c r="R23" i="4"/>
  <c r="R22" i="4"/>
  <c r="R21" i="4"/>
  <c r="S21" i="4" s="1"/>
  <c r="E21" i="18" s="1"/>
  <c r="R20" i="4"/>
  <c r="S20" i="4" s="1"/>
  <c r="E20" i="18" s="1"/>
  <c r="R19" i="4"/>
  <c r="S19" i="4" s="1"/>
  <c r="E19" i="18" s="1"/>
  <c r="R17" i="4"/>
  <c r="R15" i="4"/>
  <c r="R14" i="4"/>
  <c r="R13" i="4"/>
  <c r="R7" i="4"/>
  <c r="R6" i="4"/>
  <c r="R8" i="4" s="1"/>
  <c r="D5" i="15"/>
  <c r="D6" i="15"/>
  <c r="D7" i="15"/>
  <c r="D8" i="15"/>
  <c r="D10" i="15"/>
  <c r="D11" i="15"/>
  <c r="D14" i="15"/>
  <c r="D15" i="15"/>
  <c r="D16" i="15"/>
  <c r="D18" i="15"/>
  <c r="E68" i="18"/>
  <c r="H25" i="18"/>
  <c r="H52" i="18"/>
  <c r="H94" i="18"/>
  <c r="H102" i="18"/>
  <c r="B37" i="18"/>
  <c r="B41" i="18"/>
  <c r="B61" i="4"/>
  <c r="A32" i="9"/>
  <c r="A33" i="9"/>
  <c r="F41" i="9"/>
  <c r="F42" i="9"/>
  <c r="E41" i="9"/>
  <c r="G41" i="9"/>
  <c r="H41" i="9"/>
  <c r="I41" i="9"/>
  <c r="J41" i="9"/>
  <c r="K41" i="9"/>
  <c r="L41" i="9"/>
  <c r="M41" i="9"/>
  <c r="N41" i="9"/>
  <c r="O41" i="9"/>
  <c r="P41" i="9"/>
  <c r="Q41" i="9"/>
  <c r="R41" i="9"/>
  <c r="E42" i="9"/>
  <c r="G42" i="9"/>
  <c r="H42" i="9"/>
  <c r="I42" i="9"/>
  <c r="J42" i="9"/>
  <c r="K42" i="9"/>
  <c r="L42" i="9"/>
  <c r="M42" i="9"/>
  <c r="N42" i="9"/>
  <c r="O42" i="9"/>
  <c r="P42" i="9"/>
  <c r="Q42" i="9"/>
  <c r="R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I4" i="4" s="1"/>
  <c r="I8" i="4" s="1"/>
  <c r="B5" i="4"/>
  <c r="B6" i="4"/>
  <c r="B7" i="4"/>
  <c r="E8" i="4"/>
  <c r="E11" i="4"/>
  <c r="F8" i="4"/>
  <c r="G8" i="4"/>
  <c r="H8" i="4"/>
  <c r="H11" i="4"/>
  <c r="B9" i="4"/>
  <c r="B10" i="4"/>
  <c r="F11" i="4"/>
  <c r="F12" i="4" s="1"/>
  <c r="G11" i="4"/>
  <c r="I12" i="4"/>
  <c r="O12" i="4"/>
  <c r="B13" i="4"/>
  <c r="B14" i="4"/>
  <c r="B17" i="4"/>
  <c r="B18" i="4"/>
  <c r="B19" i="4"/>
  <c r="B20" i="4"/>
  <c r="B21" i="4"/>
  <c r="B22" i="4"/>
  <c r="B23" i="4"/>
  <c r="B25"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5" i="4"/>
  <c r="H76" i="4"/>
  <c r="B82" i="4"/>
  <c r="B83" i="4"/>
  <c r="B84" i="4"/>
  <c r="B85" i="4"/>
  <c r="B86" i="4"/>
  <c r="B87" i="4"/>
  <c r="B88" i="4"/>
  <c r="B89" i="4"/>
  <c r="B90" i="4"/>
  <c r="B91" i="4"/>
  <c r="B92" i="4"/>
  <c r="B93" i="4"/>
  <c r="B94" i="4"/>
  <c r="E95" i="4"/>
  <c r="G95" i="4"/>
  <c r="H95" i="4"/>
  <c r="B99" i="4"/>
  <c r="R99" i="4"/>
  <c r="B100" i="4"/>
  <c r="R100" i="4"/>
  <c r="R102"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B26" i="4"/>
  <c r="B95" i="4"/>
  <c r="D12" i="4"/>
  <c r="B43" i="15"/>
  <c r="C43" i="15"/>
  <c r="D43" i="15"/>
  <c r="G12" i="4"/>
  <c r="C39" i="15"/>
  <c r="D39" i="15"/>
  <c r="B39" i="15"/>
  <c r="B96" i="15"/>
  <c r="C96" i="15"/>
  <c r="E96" i="15" s="1"/>
  <c r="D96" i="15"/>
  <c r="B27" i="15"/>
  <c r="C27" i="15"/>
  <c r="C81" i="15"/>
  <c r="B11" i="4"/>
  <c r="B8" i="4"/>
  <c r="B12" i="4" s="1"/>
  <c r="B68" i="18"/>
  <c r="B70" i="15"/>
  <c r="C70" i="15"/>
  <c r="D70" i="15"/>
  <c r="C62" i="15"/>
  <c r="C54" i="15"/>
  <c r="D54" i="15"/>
  <c r="B11" i="18"/>
  <c r="G52" i="25"/>
  <c r="AB47" i="26"/>
  <c r="I61" i="18"/>
  <c r="I95" i="18" s="1"/>
  <c r="I103" i="18" s="1"/>
  <c r="I105" i="18" s="1"/>
  <c r="J61" i="18"/>
  <c r="J95" i="18" s="1"/>
  <c r="J103" i="18" s="1"/>
  <c r="J105" i="18" s="1"/>
  <c r="K12" i="4"/>
  <c r="B42" i="4"/>
  <c r="R11" i="4"/>
  <c r="D12" i="15"/>
  <c r="C61" i="18"/>
  <c r="C95" i="18"/>
  <c r="C103" i="18"/>
  <c r="C12" i="18"/>
  <c r="E12" i="4"/>
  <c r="M62" i="4"/>
  <c r="M96" i="4" s="1"/>
  <c r="M104" i="4" s="1"/>
  <c r="C12" i="4"/>
  <c r="B12" i="18" s="1"/>
  <c r="O62" i="4"/>
  <c r="O96" i="4" s="1"/>
  <c r="O104" i="4" s="1"/>
  <c r="N62" i="4"/>
  <c r="N96" i="4"/>
  <c r="N104" i="4" s="1"/>
  <c r="D62" i="4"/>
  <c r="D96" i="4" s="1"/>
  <c r="D104" i="4" s="1"/>
  <c r="B8" i="18"/>
  <c r="L62" i="4"/>
  <c r="L96" i="4"/>
  <c r="L104" i="4"/>
  <c r="H12" i="4"/>
  <c r="H11" i="18"/>
  <c r="K62" i="4"/>
  <c r="K96" i="4"/>
  <c r="K104" i="4"/>
  <c r="R42" i="4"/>
  <c r="M12" i="4"/>
  <c r="D12" i="18"/>
  <c r="B69" i="4"/>
  <c r="G61" i="18"/>
  <c r="G95" i="18" s="1"/>
  <c r="G103" i="18" s="1"/>
  <c r="G105" i="18" s="1"/>
  <c r="B38" i="4"/>
  <c r="F61" i="18"/>
  <c r="F95" i="18" s="1"/>
  <c r="F103" i="18" s="1"/>
  <c r="F105" i="18" s="1"/>
  <c r="K28" i="9"/>
  <c r="P28" i="9"/>
  <c r="T24" i="27"/>
  <c r="T24" i="26"/>
  <c r="AF411" i="3" a="1"/>
  <c r="E39" i="15" l="1"/>
  <c r="H62" i="4"/>
  <c r="H96" i="4" s="1"/>
  <c r="H104" i="4" s="1"/>
  <c r="G62" i="4"/>
  <c r="G96" i="4" s="1"/>
  <c r="G104" i="4" s="1"/>
  <c r="D9" i="15"/>
  <c r="D13" i="15" s="1"/>
  <c r="R38" i="4"/>
  <c r="S42" i="4"/>
  <c r="E39" i="18"/>
  <c r="S53" i="4"/>
  <c r="E52" i="18" s="1"/>
  <c r="E48" i="18"/>
  <c r="Q62" i="4"/>
  <c r="Q96" i="4" s="1"/>
  <c r="Q104" i="4" s="1"/>
  <c r="P62" i="4"/>
  <c r="P96" i="4" s="1"/>
  <c r="P104" i="4" s="1"/>
  <c r="L12" i="4"/>
  <c r="AI20" i="26"/>
  <c r="S95" i="4"/>
  <c r="E94" i="18" s="1"/>
  <c r="I4" i="10"/>
  <c r="I6" i="10"/>
  <c r="I5" i="10"/>
  <c r="E15" i="15"/>
  <c r="C12" i="15"/>
  <c r="E12" i="15" s="1"/>
  <c r="E7" i="15"/>
  <c r="E6" i="15"/>
  <c r="B9" i="15"/>
  <c r="B13" i="15" s="1"/>
  <c r="E28" i="15"/>
  <c r="E21" i="15"/>
  <c r="E33" i="15"/>
  <c r="E41" i="15"/>
  <c r="E53" i="15"/>
  <c r="E50" i="15"/>
  <c r="E49" i="15"/>
  <c r="E56" i="15"/>
  <c r="E61" i="15"/>
  <c r="E59" i="15"/>
  <c r="E58" i="15"/>
  <c r="E72" i="15"/>
  <c r="E94" i="15"/>
  <c r="E100" i="15"/>
  <c r="I18" i="4"/>
  <c r="E41" i="18"/>
  <c r="R69" i="4"/>
  <c r="R95" i="4"/>
  <c r="E88" i="15"/>
  <c r="E70" i="15"/>
  <c r="E43" i="15"/>
  <c r="E74" i="15"/>
  <c r="E84" i="15"/>
  <c r="E90" i="15"/>
  <c r="B80" i="4"/>
  <c r="D81" i="15"/>
  <c r="B54" i="15"/>
  <c r="E54" i="15" s="1"/>
  <c r="B81" i="15"/>
  <c r="E81" i="15" s="1"/>
  <c r="E79" i="15"/>
  <c r="B25" i="18"/>
  <c r="E22" i="15"/>
  <c r="C9" i="15"/>
  <c r="C13" i="15" s="1"/>
  <c r="E13" i="15" s="1"/>
  <c r="R12" i="4"/>
  <c r="C62" i="4"/>
  <c r="T62" i="4"/>
  <c r="G98" i="25"/>
  <c r="D100" i="25" s="1"/>
  <c r="D102" i="25" s="1"/>
  <c r="D104" i="25" s="1"/>
  <c r="D110" i="25" s="1"/>
  <c r="G38" i="25" s="1"/>
  <c r="G53" i="25" s="1"/>
  <c r="E38" i="15"/>
  <c r="AB47" i="5"/>
  <c r="J62" i="4"/>
  <c r="J96" i="4" s="1"/>
  <c r="J104" i="4" s="1"/>
  <c r="BG730" i="3"/>
  <c r="AM730" i="3" s="1"/>
  <c r="B62" i="15"/>
  <c r="E62" i="15" s="1"/>
  <c r="D62" i="15"/>
  <c r="F62" i="4"/>
  <c r="F96" i="4" s="1"/>
  <c r="F104" i="4" s="1"/>
  <c r="E103" i="15"/>
  <c r="AB47" i="27"/>
  <c r="AF411" i="3"/>
  <c r="AP93" i="6" s="1"/>
  <c r="AP97" i="6" s="1"/>
  <c r="E33" i="9"/>
  <c r="F33" i="9" s="1"/>
  <c r="G33" i="9" s="1"/>
  <c r="H33" i="9" s="1"/>
  <c r="I33" i="9" s="1"/>
  <c r="J33" i="9" s="1"/>
  <c r="K33" i="9" s="1"/>
  <c r="L33" i="9" s="1"/>
  <c r="M33" i="9" s="1"/>
  <c r="N33" i="9" s="1"/>
  <c r="O33" i="9" s="1"/>
  <c r="P33" i="9" s="1"/>
  <c r="Q33" i="9" s="1"/>
  <c r="R33" i="9" s="1"/>
  <c r="AO635" i="3"/>
  <c r="AZ197" i="6"/>
  <c r="C734" i="3"/>
  <c r="AZ202" i="6"/>
  <c r="Y7" i="5"/>
  <c r="Y11" i="5" s="1"/>
  <c r="AI7" i="5"/>
  <c r="AI11" i="5" s="1"/>
  <c r="R963" i="3"/>
  <c r="T7" i="5"/>
  <c r="I29" i="9"/>
  <c r="F594" i="6"/>
  <c r="AF701" i="6"/>
  <c r="AP381" i="6"/>
  <c r="AQ381" i="6" s="1"/>
  <c r="Q584" i="6"/>
  <c r="W584" i="6" s="1"/>
  <c r="Q582" i="6"/>
  <c r="W582" i="6" s="1"/>
  <c r="AO655" i="6"/>
  <c r="AK688" i="6" s="1"/>
  <c r="T710" i="6" s="1"/>
  <c r="CM633" i="3"/>
  <c r="BN633" i="3"/>
  <c r="U69" i="25"/>
  <c r="AI22" i="26"/>
  <c r="AC862" i="3"/>
  <c r="AC865" i="3" s="1"/>
  <c r="C74" i="4" s="1"/>
  <c r="AC756" i="3"/>
  <c r="CH633" i="3"/>
  <c r="G67" i="25"/>
  <c r="C67" i="25" s="1"/>
  <c r="D20" i="9"/>
  <c r="E20" i="9" s="1"/>
  <c r="F20" i="9" s="1"/>
  <c r="G20" i="9" s="1"/>
  <c r="H20" i="9" s="1"/>
  <c r="I20" i="9" s="1"/>
  <c r="J20" i="9" s="1"/>
  <c r="K20" i="9" s="1"/>
  <c r="L20" i="9" s="1"/>
  <c r="M20" i="9" s="1"/>
  <c r="N20" i="9" s="1"/>
  <c r="O20" i="9" s="1"/>
  <c r="P20" i="9" s="1"/>
  <c r="Q20" i="9" s="1"/>
  <c r="R20" i="9" s="1"/>
  <c r="BX633" i="3"/>
  <c r="AF709" i="6"/>
  <c r="Q581" i="6"/>
  <c r="W581" i="6" s="1"/>
  <c r="L40" i="9"/>
  <c r="L43" i="9" s="1"/>
  <c r="E31" i="9"/>
  <c r="F31" i="9" s="1"/>
  <c r="G31" i="9" s="1"/>
  <c r="H31" i="9" s="1"/>
  <c r="I31" i="9" s="1"/>
  <c r="J31" i="9" s="1"/>
  <c r="K31" i="9" s="1"/>
  <c r="L31" i="9" s="1"/>
  <c r="M31" i="9" s="1"/>
  <c r="N31" i="9" s="1"/>
  <c r="O31" i="9" s="1"/>
  <c r="P31" i="9" s="1"/>
  <c r="Q31" i="9" s="1"/>
  <c r="R31" i="9" s="1"/>
  <c r="Q589" i="6"/>
  <c r="W589" i="6" s="1"/>
  <c r="E32" i="9"/>
  <c r="F32" i="9" s="1"/>
  <c r="G32" i="9" s="1"/>
  <c r="E30" i="9"/>
  <c r="F30" i="9" s="1"/>
  <c r="G30" i="9" s="1"/>
  <c r="H30" i="9" s="1"/>
  <c r="I30" i="9" s="1"/>
  <c r="J30" i="9" s="1"/>
  <c r="K30" i="9" s="1"/>
  <c r="L30" i="9" s="1"/>
  <c r="M30" i="9" s="1"/>
  <c r="N30" i="9" s="1"/>
  <c r="O30" i="9" s="1"/>
  <c r="P30" i="9" s="1"/>
  <c r="Q30" i="9" s="1"/>
  <c r="R30" i="9" s="1"/>
  <c r="AG438" i="3"/>
  <c r="Y20" i="27"/>
  <c r="Y22" i="27" s="1"/>
  <c r="AD20" i="27"/>
  <c r="AD22" i="27" s="1"/>
  <c r="D15" i="9"/>
  <c r="E15" i="9" s="1"/>
  <c r="F15" i="9" s="1"/>
  <c r="G15" i="9" s="1"/>
  <c r="H15" i="9" s="1"/>
  <c r="I15" i="9" s="1"/>
  <c r="J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J28" i="9"/>
  <c r="F28" i="9"/>
  <c r="N28" i="9"/>
  <c r="M28" i="9"/>
  <c r="L28" i="9"/>
  <c r="K40" i="9"/>
  <c r="K43" i="9" s="1"/>
  <c r="I28" i="9"/>
  <c r="E28" i="9"/>
  <c r="H28" i="9"/>
  <c r="G28" i="9"/>
  <c r="Q28" i="9"/>
  <c r="R28" i="9"/>
  <c r="O28" i="9"/>
  <c r="E27" i="9"/>
  <c r="F27" i="9" s="1"/>
  <c r="G27" i="9" s="1"/>
  <c r="H27" i="9" s="1"/>
  <c r="I27" i="9" s="1"/>
  <c r="J27" i="9" s="1"/>
  <c r="K27" i="9" s="1"/>
  <c r="L27" i="9" s="1"/>
  <c r="M27" i="9" s="1"/>
  <c r="N27" i="9" s="1"/>
  <c r="O27" i="9" s="1"/>
  <c r="P27" i="9" s="1"/>
  <c r="Q27" i="9" s="1"/>
  <c r="R27" i="9" s="1"/>
  <c r="E26" i="9"/>
  <c r="F26" i="9" s="1"/>
  <c r="G26" i="9" s="1"/>
  <c r="H26" i="9" s="1"/>
  <c r="I26" i="9" s="1"/>
  <c r="J26" i="9" s="1"/>
  <c r="K26" i="9" s="1"/>
  <c r="L26" i="9" s="1"/>
  <c r="M26" i="9" s="1"/>
  <c r="N26" i="9" s="1"/>
  <c r="O26" i="9" s="1"/>
  <c r="P26" i="9" s="1"/>
  <c r="Q26" i="9" s="1"/>
  <c r="R26" i="9" s="1"/>
  <c r="AC583" i="6"/>
  <c r="R29" i="9"/>
  <c r="M40" i="9"/>
  <c r="M43" i="9" s="1"/>
  <c r="Q585" i="6"/>
  <c r="W585" i="6" s="1"/>
  <c r="Q588" i="6"/>
  <c r="W588" i="6" s="1"/>
  <c r="T20" i="27"/>
  <c r="T22" i="27" s="1"/>
  <c r="T20" i="26"/>
  <c r="T22" i="26" s="1"/>
  <c r="Y20" i="26"/>
  <c r="Y22" i="26" s="1"/>
  <c r="AD20" i="26"/>
  <c r="AD22" i="26" s="1"/>
  <c r="AD7" i="5"/>
  <c r="AI20" i="27"/>
  <c r="AI22" i="27" s="1"/>
  <c r="AD63" i="5"/>
  <c r="AD67" i="5" s="1"/>
  <c r="E27" i="15"/>
  <c r="L29" i="9"/>
  <c r="Q29" i="9"/>
  <c r="AK61" i="6"/>
  <c r="E29" i="9"/>
  <c r="M29" i="9"/>
  <c r="O29" i="9"/>
  <c r="F29" i="9"/>
  <c r="K29" i="9"/>
  <c r="N29" i="9"/>
  <c r="G29" i="9"/>
  <c r="H29" i="9"/>
  <c r="J29" i="9"/>
  <c r="P29" i="9"/>
  <c r="N40" i="9"/>
  <c r="N43" i="9" s="1"/>
  <c r="I40" i="9"/>
  <c r="I43" i="9" s="1"/>
  <c r="O40" i="9"/>
  <c r="O43" i="9" s="1"/>
  <c r="F40" i="10"/>
  <c r="R40" i="9"/>
  <c r="R43" i="9" s="1"/>
  <c r="G40" i="9"/>
  <c r="G43" i="9" s="1"/>
  <c r="F40" i="9"/>
  <c r="F43" i="9" s="1"/>
  <c r="E40" i="9"/>
  <c r="E43" i="9" s="1"/>
  <c r="H40" i="9"/>
  <c r="H43" i="9" s="1"/>
  <c r="Q40" i="9"/>
  <c r="Q43" i="9" s="1"/>
  <c r="J40" i="9"/>
  <c r="J43" i="9" s="1"/>
  <c r="P40" i="9"/>
  <c r="P43" i="9" s="1"/>
  <c r="D43" i="9"/>
  <c r="I40" i="10"/>
  <c r="F16" i="9"/>
  <c r="T699" i="6"/>
  <c r="E8" i="9"/>
  <c r="D9" i="9"/>
  <c r="Z788" i="3" l="1"/>
  <c r="L936" i="3"/>
  <c r="E74" i="4"/>
  <c r="B75" i="15"/>
  <c r="C75" i="15"/>
  <c r="E75" i="15" s="1"/>
  <c r="D75" i="15"/>
  <c r="C76" i="4"/>
  <c r="B73" i="18"/>
  <c r="B74" i="4"/>
  <c r="C96" i="4"/>
  <c r="B97" i="15" s="1"/>
  <c r="I26" i="4"/>
  <c r="I62" i="4" s="1"/>
  <c r="I96" i="4" s="1"/>
  <c r="I104" i="4" s="1"/>
  <c r="E18" i="4"/>
  <c r="C63" i="15"/>
  <c r="B96" i="4"/>
  <c r="B61" i="18"/>
  <c r="D97" i="15"/>
  <c r="B95" i="18"/>
  <c r="C97" i="15"/>
  <c r="E97" i="15" s="1"/>
  <c r="B62" i="4"/>
  <c r="E9" i="15"/>
  <c r="B63" i="15"/>
  <c r="E63" i="15" s="1"/>
  <c r="D63" i="15"/>
  <c r="T96" i="4"/>
  <c r="H61"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D4" i="9" s="1"/>
  <c r="CM651" i="3"/>
  <c r="BN651" i="3"/>
  <c r="AB961" i="3" s="1"/>
  <c r="CS633" i="3"/>
  <c r="CB627" i="3"/>
  <c r="AC864" i="3"/>
  <c r="CQ647" i="3"/>
  <c r="AD27" i="26"/>
  <c r="BX651" i="3"/>
  <c r="AB963" i="3" s="1"/>
  <c r="AJ963" i="3" s="1"/>
  <c r="CC651" i="3"/>
  <c r="AB964" i="3" s="1"/>
  <c r="AJ964" i="3" s="1"/>
  <c r="AD27" i="27"/>
  <c r="AF710" i="6"/>
  <c r="D22" i="9"/>
  <c r="E22" i="9"/>
  <c r="E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G16" i="9"/>
  <c r="F22" i="9"/>
  <c r="F35" i="9" s="1"/>
  <c r="D6" i="9"/>
  <c r="K15" i="9"/>
  <c r="H32" i="9"/>
  <c r="F8" i="9"/>
  <c r="E9" i="9"/>
  <c r="R18" i="4" l="1"/>
  <c r="E26" i="4"/>
  <c r="E62" i="4" s="1"/>
  <c r="C77" i="15"/>
  <c r="B77" i="15"/>
  <c r="B75" i="18"/>
  <c r="B76" i="4"/>
  <c r="D77" i="15"/>
  <c r="R74" i="4"/>
  <c r="R76" i="4" s="1"/>
  <c r="E76" i="4"/>
  <c r="L937" i="3"/>
  <c r="AA944" i="3"/>
  <c r="M951" i="3" s="1"/>
  <c r="H95" i="18"/>
  <c r="T104" i="4"/>
  <c r="AI28" i="5"/>
  <c r="AP192" i="6"/>
  <c r="AJ206" i="6" s="1"/>
  <c r="AK283" i="6" s="1"/>
  <c r="T703" i="6" s="1"/>
  <c r="AJ961" i="3"/>
  <c r="D35" i="9"/>
  <c r="Y613" i="6"/>
  <c r="CE530" i="6" s="1"/>
  <c r="CE531" i="6" s="1"/>
  <c r="CC532" i="6" s="1"/>
  <c r="AB965" i="3"/>
  <c r="AJ965" i="3" s="1"/>
  <c r="AP193" i="6"/>
  <c r="E4" i="9"/>
  <c r="F4" i="9" s="1"/>
  <c r="F5" i="9" s="1"/>
  <c r="BE573" i="6"/>
  <c r="AP583" i="6" s="1"/>
  <c r="BS527" i="6"/>
  <c r="BS531" i="6" s="1"/>
  <c r="BQ532" i="6" s="1"/>
  <c r="AU572" i="6"/>
  <c r="Y608" i="6"/>
  <c r="D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D7" i="9"/>
  <c r="E6" i="9"/>
  <c r="H16" i="9"/>
  <c r="G22" i="9"/>
  <c r="G35" i="9" s="1"/>
  <c r="L15" i="9"/>
  <c r="I32" i="9"/>
  <c r="F9" i="9"/>
  <c r="G8" i="9"/>
  <c r="E77" i="15" l="1"/>
  <c r="E96" i="4"/>
  <c r="S18" i="4"/>
  <c r="R26" i="4"/>
  <c r="R62" i="4" s="1"/>
  <c r="R96" i="4" s="1"/>
  <c r="H103" i="18"/>
  <c r="T106" i="4"/>
  <c r="AO694" i="6"/>
  <c r="AO693" i="6" s="1"/>
  <c r="T702" i="6" s="1"/>
  <c r="AF702" i="6" s="1"/>
  <c r="AB966" i="3"/>
  <c r="AJ967" i="3"/>
  <c r="E5" i="9"/>
  <c r="G4" i="9"/>
  <c r="H4" i="9" s="1"/>
  <c r="I4" i="9" s="1"/>
  <c r="I5" i="9" s="1"/>
  <c r="AU536" i="6"/>
  <c r="AU533" i="6"/>
  <c r="CH550" i="6"/>
  <c r="AU534" i="6"/>
  <c r="AU535" i="6"/>
  <c r="AU537" i="6"/>
  <c r="BE576" i="6"/>
  <c r="AP586" i="6" s="1"/>
  <c r="AR609" i="6"/>
  <c r="AR610" i="6"/>
  <c r="AR611" i="6"/>
  <c r="AR612" i="6"/>
  <c r="AR613" i="6"/>
  <c r="AR608" i="6"/>
  <c r="D11" i="9"/>
  <c r="D37" i="9" s="1"/>
  <c r="D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I16" i="9"/>
  <c r="H22" i="9"/>
  <c r="H35" i="9" s="1"/>
  <c r="F6" i="9"/>
  <c r="E7" i="9"/>
  <c r="BI550" i="6"/>
  <c r="BM547" i="6"/>
  <c r="M15" i="9"/>
  <c r="J32" i="9"/>
  <c r="H8" i="9"/>
  <c r="G9" i="9"/>
  <c r="S26" i="4" l="1"/>
  <c r="E18" i="18"/>
  <c r="D48" i="9"/>
  <c r="D54" i="9"/>
  <c r="H105" i="18"/>
  <c r="AJ991" i="3"/>
  <c r="J4" i="9"/>
  <c r="J5" i="9" s="1"/>
  <c r="G5" i="9"/>
  <c r="E11" i="9"/>
  <c r="E37" i="9" s="1"/>
  <c r="E49" i="9" s="1"/>
  <c r="H5" i="9"/>
  <c r="D47" i="9"/>
  <c r="AJ617" i="6"/>
  <c r="D49" i="9"/>
  <c r="BO572" i="6"/>
  <c r="BO577" i="6" s="1"/>
  <c r="AO698" i="6"/>
  <c r="CC534" i="6"/>
  <c r="CC537" i="6" s="1"/>
  <c r="BY537" i="6"/>
  <c r="BU537" i="6"/>
  <c r="BJ590" i="6"/>
  <c r="AV554" i="6" s="1"/>
  <c r="G6" i="9"/>
  <c r="F7" i="9"/>
  <c r="F11" i="9" s="1"/>
  <c r="F37" i="9" s="1"/>
  <c r="J16" i="9"/>
  <c r="I22" i="9"/>
  <c r="I35" i="9" s="1"/>
  <c r="N15" i="9"/>
  <c r="BM550" i="6"/>
  <c r="BQ548" i="6"/>
  <c r="K32" i="9"/>
  <c r="H9" i="9"/>
  <c r="I8" i="9"/>
  <c r="E25" i="18" l="1"/>
  <c r="S62" i="4"/>
  <c r="D55" i="9"/>
  <c r="D57" i="9" s="1"/>
  <c r="D62" i="9" s="1"/>
  <c r="AI11" i="27"/>
  <c r="AI23" i="27" s="1"/>
  <c r="AI26" i="27" s="1"/>
  <c r="AI28" i="27" s="1"/>
  <c r="AD63" i="27" s="1"/>
  <c r="AI11" i="26"/>
  <c r="AI23" i="26" s="1"/>
  <c r="AI26" i="26" s="1"/>
  <c r="AI28" i="26" s="1"/>
  <c r="AD63" i="26" s="1"/>
  <c r="AD11" i="27"/>
  <c r="AD23" i="27" s="1"/>
  <c r="AD11" i="26"/>
  <c r="AD23" i="26" s="1"/>
  <c r="AD11" i="5"/>
  <c r="K4" i="9"/>
  <c r="K5" i="9" s="1"/>
  <c r="AK619" i="6"/>
  <c r="AJ1020" i="3"/>
  <c r="E45" i="9"/>
  <c r="T708" i="6"/>
  <c r="T706" i="6" s="1"/>
  <c r="D63" i="9"/>
  <c r="D65" i="9" s="1"/>
  <c r="BT573" i="6"/>
  <c r="CG537" i="6"/>
  <c r="BQ550" i="6"/>
  <c r="BU549" i="6"/>
  <c r="BU550" i="6" s="1"/>
  <c r="K16" i="9"/>
  <c r="J22" i="9"/>
  <c r="J35" i="9" s="1"/>
  <c r="O15" i="9"/>
  <c r="F49" i="9"/>
  <c r="F45" i="9"/>
  <c r="F54" i="9" s="1"/>
  <c r="G7" i="9"/>
  <c r="G11" i="9" s="1"/>
  <c r="H6" i="9"/>
  <c r="L32" i="9"/>
  <c r="J8" i="9"/>
  <c r="I9" i="9"/>
  <c r="S96" i="4" l="1"/>
  <c r="E61" i="18"/>
  <c r="E47" i="9"/>
  <c r="E54" i="9"/>
  <c r="E55" i="9"/>
  <c r="E57" i="9" s="1"/>
  <c r="E62" i="9" s="1"/>
  <c r="AD23" i="5"/>
  <c r="AD26" i="26"/>
  <c r="AD28" i="26" s="1"/>
  <c r="AD26" i="27"/>
  <c r="AD28" i="27" s="1"/>
  <c r="L4" i="9"/>
  <c r="L5" i="9" s="1"/>
  <c r="E48" i="9"/>
  <c r="T24" i="5"/>
  <c r="AF706" i="6"/>
  <c r="AF712" i="6" s="1"/>
  <c r="BT577" i="6"/>
  <c r="BY574" i="6"/>
  <c r="CC550" i="6"/>
  <c r="G37" i="9"/>
  <c r="G49" i="9" s="1"/>
  <c r="L16" i="9"/>
  <c r="K22" i="9"/>
  <c r="K35" i="9" s="1"/>
  <c r="P15" i="9"/>
  <c r="F47" i="9"/>
  <c r="F48" i="9"/>
  <c r="I6" i="9"/>
  <c r="H7" i="9"/>
  <c r="H11" i="9" s="1"/>
  <c r="H37" i="9" s="1"/>
  <c r="M32" i="9"/>
  <c r="K8" i="9"/>
  <c r="J9" i="9"/>
  <c r="C98" i="4" l="1"/>
  <c r="E95" i="18"/>
  <c r="F55" i="9"/>
  <c r="F57" i="9" s="1"/>
  <c r="AD26" i="5"/>
  <c r="AD28" i="5" s="1"/>
  <c r="M4" i="9"/>
  <c r="N4" i="9" s="1"/>
  <c r="E59" i="9"/>
  <c r="CD575" i="6"/>
  <c r="BY577" i="6"/>
  <c r="G45" i="9"/>
  <c r="G54" i="9" s="1"/>
  <c r="J6" i="9"/>
  <c r="I7" i="9"/>
  <c r="I11" i="9" s="1"/>
  <c r="I37" i="9" s="1"/>
  <c r="F62" i="9"/>
  <c r="Q15" i="9"/>
  <c r="H45" i="9"/>
  <c r="H54" i="9" s="1"/>
  <c r="H49" i="9"/>
  <c r="M16" i="9"/>
  <c r="L22" i="9"/>
  <c r="L35" i="9" s="1"/>
  <c r="N32" i="9"/>
  <c r="L8" i="9"/>
  <c r="K9" i="9"/>
  <c r="E98" i="4" l="1"/>
  <c r="D99" i="15"/>
  <c r="C99" i="15"/>
  <c r="B99" i="15"/>
  <c r="C103" i="4"/>
  <c r="B97" i="18"/>
  <c r="B98" i="4"/>
  <c r="F59" i="9"/>
  <c r="G55" i="9"/>
  <c r="G57" i="9" s="1"/>
  <c r="M5" i="9"/>
  <c r="E63" i="9"/>
  <c r="E65" i="9" s="1"/>
  <c r="CD577" i="6"/>
  <c r="CI576" i="6"/>
  <c r="CI577" i="6" s="1"/>
  <c r="G48" i="9"/>
  <c r="G47" i="9"/>
  <c r="H48" i="9"/>
  <c r="H47" i="9"/>
  <c r="I49" i="9"/>
  <c r="I45" i="9"/>
  <c r="I54" i="9" s="1"/>
  <c r="O4" i="9"/>
  <c r="N5" i="9"/>
  <c r="F63" i="9"/>
  <c r="F65" i="9" s="1"/>
  <c r="R15" i="9"/>
  <c r="N16" i="9"/>
  <c r="M22" i="9"/>
  <c r="M35" i="9" s="1"/>
  <c r="K6" i="9"/>
  <c r="J7" i="9"/>
  <c r="J11" i="9" s="1"/>
  <c r="J37" i="9" s="1"/>
  <c r="O32" i="9"/>
  <c r="M8" i="9"/>
  <c r="L9" i="9"/>
  <c r="C104" i="15" l="1"/>
  <c r="B102" i="18"/>
  <c r="B103" i="4"/>
  <c r="D104" i="15"/>
  <c r="B104" i="15"/>
  <c r="E104" i="15" s="1"/>
  <c r="C104" i="4"/>
  <c r="E99" i="15"/>
  <c r="R98" i="4"/>
  <c r="E103" i="4"/>
  <c r="E104" i="4" s="1"/>
  <c r="G59" i="9"/>
  <c r="G62" i="9"/>
  <c r="H55" i="9"/>
  <c r="H57" i="9" s="1"/>
  <c r="H59" i="9" s="1"/>
  <c r="CN577" i="6"/>
  <c r="BD558" i="6" s="1"/>
  <c r="J45" i="9"/>
  <c r="J54" i="9" s="1"/>
  <c r="J49" i="9"/>
  <c r="P4" i="9"/>
  <c r="O5" i="9"/>
  <c r="I48" i="9"/>
  <c r="I47" i="9"/>
  <c r="L6" i="9"/>
  <c r="K7" i="9"/>
  <c r="K11" i="9" s="1"/>
  <c r="K37" i="9" s="1"/>
  <c r="O16" i="9"/>
  <c r="N22" i="9"/>
  <c r="N35" i="9" s="1"/>
  <c r="P32" i="9"/>
  <c r="M9" i="9"/>
  <c r="N8" i="9"/>
  <c r="S98" i="4" l="1"/>
  <c r="R103" i="4"/>
  <c r="R104" i="4" s="1"/>
  <c r="AC448" i="3"/>
  <c r="D105" i="15"/>
  <c r="C105" i="15"/>
  <c r="B105" i="15"/>
  <c r="B104" i="4"/>
  <c r="B103" i="18"/>
  <c r="G63" i="9"/>
  <c r="G65" i="9" s="1"/>
  <c r="H62" i="9"/>
  <c r="H63" i="9" s="1"/>
  <c r="H65" i="9" s="1"/>
  <c r="I55" i="9"/>
  <c r="I57" i="9" s="1"/>
  <c r="AT560" i="6"/>
  <c r="AW562" i="6"/>
  <c r="M6" i="9"/>
  <c r="L7" i="9"/>
  <c r="L11" i="9" s="1"/>
  <c r="L37" i="9" s="1"/>
  <c r="P16" i="9"/>
  <c r="O22" i="9"/>
  <c r="O35" i="9" s="1"/>
  <c r="K45" i="9"/>
  <c r="K54" i="9" s="1"/>
  <c r="K49" i="9"/>
  <c r="P5" i="9"/>
  <c r="Q4" i="9"/>
  <c r="J48" i="9"/>
  <c r="J47" i="9"/>
  <c r="Q32" i="9"/>
  <c r="N9" i="9"/>
  <c r="O8" i="9"/>
  <c r="AC447" i="3" l="1"/>
  <c r="F450" i="3" s="1"/>
  <c r="J58" i="25"/>
  <c r="AB46" i="5"/>
  <c r="AB48" i="5" s="1"/>
  <c r="AB53" i="5" s="1"/>
  <c r="AB54" i="5" s="1"/>
  <c r="AB46" i="27"/>
  <c r="AB48" i="27" s="1"/>
  <c r="AB53" i="27" s="1"/>
  <c r="AB54" i="27" s="1"/>
  <c r="AB46" i="26"/>
  <c r="AB48" i="26" s="1"/>
  <c r="AB53" i="26" s="1"/>
  <c r="AB54" i="26" s="1"/>
  <c r="E105" i="15"/>
  <c r="E97" i="18"/>
  <c r="S103" i="4"/>
  <c r="I59" i="9"/>
  <c r="I62" i="9"/>
  <c r="I63" i="9" s="1"/>
  <c r="I65" i="9" s="1"/>
  <c r="J55" i="9"/>
  <c r="J57" i="9" s="1"/>
  <c r="J59" i="9" s="1"/>
  <c r="Q5" i="9"/>
  <c r="R4" i="9"/>
  <c r="K47" i="9"/>
  <c r="K48" i="9"/>
  <c r="M7" i="9"/>
  <c r="M11" i="9" s="1"/>
  <c r="M37" i="9" s="1"/>
  <c r="N6" i="9"/>
  <c r="L49" i="9"/>
  <c r="L45" i="9"/>
  <c r="L54" i="9" s="1"/>
  <c r="J62" i="9"/>
  <c r="Q16" i="9"/>
  <c r="P22" i="9"/>
  <c r="P35" i="9" s="1"/>
  <c r="R32" i="9"/>
  <c r="O9" i="9"/>
  <c r="P8" i="9"/>
  <c r="E102" i="18" l="1"/>
  <c r="S104" i="4"/>
  <c r="G71" i="25"/>
  <c r="G72" i="25" s="1"/>
  <c r="B75" i="25" s="1"/>
  <c r="B76" i="25"/>
  <c r="O76" i="25" s="1"/>
  <c r="K55" i="9"/>
  <c r="K57" i="9" s="1"/>
  <c r="R5" i="9"/>
  <c r="J63" i="9"/>
  <c r="J65" i="9" s="1"/>
  <c r="M45" i="9"/>
  <c r="M54" i="9" s="1"/>
  <c r="M49" i="9"/>
  <c r="R16" i="9"/>
  <c r="R22" i="9" s="1"/>
  <c r="R35" i="9" s="1"/>
  <c r="Q22" i="9"/>
  <c r="Q35" i="9" s="1"/>
  <c r="L48" i="9"/>
  <c r="L47" i="9"/>
  <c r="N7" i="9"/>
  <c r="N11" i="9" s="1"/>
  <c r="N37" i="9" s="1"/>
  <c r="O6" i="9"/>
  <c r="P9" i="9"/>
  <c r="Q8" i="9"/>
  <c r="S106" i="4" l="1"/>
  <c r="E103" i="18"/>
  <c r="L55" i="9"/>
  <c r="L57" i="9" s="1"/>
  <c r="K62" i="9"/>
  <c r="K59" i="9"/>
  <c r="N45" i="9"/>
  <c r="N54" i="9" s="1"/>
  <c r="N49" i="9"/>
  <c r="O7" i="9"/>
  <c r="O11" i="9" s="1"/>
  <c r="O37" i="9" s="1"/>
  <c r="P6" i="9"/>
  <c r="L62" i="9"/>
  <c r="M47" i="9"/>
  <c r="M48" i="9"/>
  <c r="R8" i="9"/>
  <c r="Q9" i="9"/>
  <c r="E105" i="18" l="1"/>
  <c r="AC449" i="3"/>
  <c r="X1024" i="3"/>
  <c r="X1025" i="3" s="1"/>
  <c r="D1026" i="3" s="1"/>
  <c r="K63" i="9"/>
  <c r="K65" i="9" s="1"/>
  <c r="L59" i="9"/>
  <c r="L63" i="9"/>
  <c r="L65" i="9" s="1"/>
  <c r="M55" i="9"/>
  <c r="M57" i="9" s="1"/>
  <c r="O49" i="9"/>
  <c r="O45" i="9"/>
  <c r="O54" i="9" s="1"/>
  <c r="M62" i="9"/>
  <c r="M59" i="9"/>
  <c r="Q6" i="9"/>
  <c r="P7" i="9"/>
  <c r="P11" i="9" s="1"/>
  <c r="P37" i="9" s="1"/>
  <c r="N48" i="9"/>
  <c r="N47" i="9"/>
  <c r="R9" i="9"/>
  <c r="T11" i="26" l="1"/>
  <c r="T23" i="26" s="1"/>
  <c r="T11" i="27"/>
  <c r="T23" i="27" s="1"/>
  <c r="T11" i="5"/>
  <c r="Y11" i="27"/>
  <c r="Y23" i="27" s="1"/>
  <c r="Y26" i="27" s="1"/>
  <c r="Y28" i="27" s="1"/>
  <c r="Y63" i="27" s="1"/>
  <c r="Y67" i="27" s="1"/>
  <c r="Y11" i="26"/>
  <c r="Y23" i="26" s="1"/>
  <c r="Y26" i="26" s="1"/>
  <c r="Y28" i="26" s="1"/>
  <c r="Y63" i="26" s="1"/>
  <c r="Y67" i="26" s="1"/>
  <c r="N55" i="9"/>
  <c r="N57" i="9" s="1"/>
  <c r="R6" i="9"/>
  <c r="Q7" i="9"/>
  <c r="Q11" i="9" s="1"/>
  <c r="Q37" i="9" s="1"/>
  <c r="N62" i="9"/>
  <c r="N59" i="9"/>
  <c r="P49" i="9"/>
  <c r="P45" i="9"/>
  <c r="P54" i="9" s="1"/>
  <c r="O47" i="9"/>
  <c r="O48" i="9"/>
  <c r="M63" i="9"/>
  <c r="M65" i="9" s="1"/>
  <c r="T23" i="5" l="1"/>
  <c r="BE16" i="28"/>
  <c r="T26" i="27"/>
  <c r="T28" i="27" s="1"/>
  <c r="T29" i="27" s="1"/>
  <c r="Y38" i="27"/>
  <c r="Y40" i="27" s="1"/>
  <c r="AD38" i="27"/>
  <c r="AD40" i="27" s="1"/>
  <c r="T26" i="26"/>
  <c r="T28" i="26" s="1"/>
  <c r="T29" i="26" s="1"/>
  <c r="Y38" i="26"/>
  <c r="Y40" i="26" s="1"/>
  <c r="AD38" i="26"/>
  <c r="AD40" i="26" s="1"/>
  <c r="O55" i="9"/>
  <c r="O57" i="9" s="1"/>
  <c r="R7" i="9"/>
  <c r="R11" i="9" s="1"/>
  <c r="R37" i="9" s="1"/>
  <c r="R49" i="9" s="1"/>
  <c r="N63" i="9"/>
  <c r="N65" i="9" s="1"/>
  <c r="Q49" i="9"/>
  <c r="Q45" i="9"/>
  <c r="Q54" i="9" s="1"/>
  <c r="P48" i="9"/>
  <c r="P47" i="9"/>
  <c r="Y41" i="26" l="1"/>
  <c r="AB55" i="26" s="1"/>
  <c r="AB56" i="26" s="1"/>
  <c r="AB58" i="26" s="1"/>
  <c r="Y41" i="27"/>
  <c r="AB55" i="27" s="1"/>
  <c r="AB56" i="27" s="1"/>
  <c r="AB58" i="27" s="1"/>
  <c r="T26" i="5"/>
  <c r="T28" i="5" s="1"/>
  <c r="Q71" i="25"/>
  <c r="O75" i="25" s="1"/>
  <c r="R75" i="25" s="1"/>
  <c r="Y38" i="5"/>
  <c r="Y40" i="5" s="1"/>
  <c r="AD38" i="5"/>
  <c r="AD40" i="5" s="1"/>
  <c r="AR43" i="5" s="1"/>
  <c r="O59" i="9"/>
  <c r="O62" i="9"/>
  <c r="P55" i="9"/>
  <c r="P57" i="9" s="1"/>
  <c r="P62" i="9" s="1"/>
  <c r="R45" i="9"/>
  <c r="R54" i="9" s="1"/>
  <c r="Q47" i="9"/>
  <c r="Q48" i="9"/>
  <c r="AR42" i="5" l="1"/>
  <c r="Y41" i="5" s="1"/>
  <c r="AB55" i="5" s="1"/>
  <c r="Y63" i="5"/>
  <c r="Y67" i="5" s="1"/>
  <c r="T29" i="5"/>
  <c r="AB75" i="27"/>
  <c r="AB76" i="27" s="1"/>
  <c r="AB77" i="27" s="1"/>
  <c r="AB79" i="27" s="1"/>
  <c r="J80" i="27" s="1"/>
  <c r="F59" i="27"/>
  <c r="F59" i="26"/>
  <c r="AB75" i="26"/>
  <c r="AB76" i="26" s="1"/>
  <c r="AB77" i="26" s="1"/>
  <c r="AB79" i="26" s="1"/>
  <c r="J80" i="26" s="1"/>
  <c r="P59" i="9"/>
  <c r="O63" i="9"/>
  <c r="O65" i="9" s="1"/>
  <c r="Q55" i="9"/>
  <c r="Q57" i="9" s="1"/>
  <c r="Q59" i="9" s="1"/>
  <c r="R55" i="9"/>
  <c r="R57" i="9" s="1"/>
  <c r="R47" i="9"/>
  <c r="R48" i="9"/>
  <c r="P63" i="9"/>
  <c r="P65" i="9" s="1"/>
  <c r="M25" i="3" l="1"/>
  <c r="Q22" i="28"/>
  <c r="V33" i="28" s="1"/>
  <c r="V35" i="28" s="1"/>
  <c r="BE15" i="28"/>
  <c r="AB56" i="5"/>
  <c r="Q62" i="9"/>
  <c r="Q63" i="9" s="1"/>
  <c r="Q65" i="9" s="1"/>
  <c r="R59" i="9"/>
  <c r="R62" i="9"/>
  <c r="AB58" i="5" l="1"/>
  <c r="P203" i="3"/>
  <c r="R63" i="9"/>
  <c r="R65" i="9" s="1"/>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rgb="FF000000"/>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<sst xmlns="http://schemas.openxmlformats.org/spreadsheetml/2006/main" count="4699" uniqueCount="2479">
  <si>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</si>
  <si>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</si>
  <si>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</si>
  <si>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</si>
  <si>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</si>
  <si>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</si>
  <si>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</si>
  <si>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</si>
  <si>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</si>
  <si>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</si>
  <si>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</si>
  <si>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</si>
  <si>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</si>
  <si>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</si>
  <si>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</si>
  <si>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</si>
  <si>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</si>
  <si>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</si>
  <si>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</si>
  <si>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</si>
  <si>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</si>
  <si>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</si>
  <si>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</si>
  <si>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</si>
  <si>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</si>
  <si>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</si>
  <si>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</si>
  <si>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</si>
  <si>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</si>
  <si>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</si>
  <si>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</si>
  <si>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</si>
  <si>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</si>
  <si>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</si>
  <si>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</si>
  <si>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</si>
  <si>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</si>
  <si>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</si>
  <si>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</si>
  <si>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</si>
  <si>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</si>
  <si>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</si>
  <si>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</si>
  <si>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</si>
  <si>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</si>
  <si>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</si>
  <si>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</si>
  <si>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</si>
  <si>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</si>
  <si>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</si>
  <si>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</si>
  <si>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</si>
  <si>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</si>
  <si>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</si>
  <si>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</si>
  <si>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</si>
  <si>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</si>
  <si>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</si>
  <si>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</si>
  <si>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</si>
  <si>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</si>
  <si>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</si>
  <si>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</si>
  <si>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</si>
  <si>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</si>
  <si>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</si>
  <si>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</si>
  <si>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</si>
  <si>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</si>
  <si>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</si>
  <si>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</si>
  <si>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</si>
  <si>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</si>
  <si>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</si>
  <si>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</si>
  <si>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</si>
  <si>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</si>
  <si>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</si>
  <si>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</si>
  <si>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</si>
  <si>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</si>
  <si>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</si>
  <si>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</si>
  <si>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</si>
  <si>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</si>
  <si>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</si>
  <si>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</si>
  <si>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</si>
  <si>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</si>
  <si>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</si>
  <si>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</si>
  <si>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</si>
  <si>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</si>
  <si>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</si>
  <si>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</si>
  <si>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</si>
  <si>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</si>
  <si>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</si>
  <si>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</si>
  <si>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</si>
  <si>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</si>
  <si>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</si>
  <si>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</si>
  <si>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</si>
  <si>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</si>
  <si>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</si>
  <si>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</si>
  <si>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</si>
  <si>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</si>
  <si>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</si>
  <si>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</si>
  <si>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</si>
  <si>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</si>
  <si>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</si>
  <si>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</si>
  <si>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</si>
  <si>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</si>
  <si>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</si>
  <si>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</si>
  <si>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</si>
  <si>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</si>
  <si>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</si>
  <si>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</si>
  <si>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</si>
  <si>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</si>
  <si>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</si>
  <si>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</si>
  <si>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</si>
  <si>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</si>
  <si>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</si>
  <si>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</si>
  <si>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</si>
  <si>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</si>
  <si>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</si>
  <si>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</si>
  <si>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</si>
  <si>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</si>
  <si>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</si>
  <si>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</si>
  <si>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</si>
  <si>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</si>
  <si>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</si>
  <si>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</si>
  <si>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</si>
  <si>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</si>
  <si>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</si>
  <si>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</si>
  <si>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</si>
  <si>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</si>
  <si>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</si>
  <si>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</si>
  <si>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</si>
  <si>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</si>
  <si>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</si>
  <si>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</si>
  <si>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</si>
  <si>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</si>
  <si>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</si>
  <si>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</si>
  <si>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</si>
  <si>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</si>
  <si>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</si>
  <si>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</si>
  <si>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</si>
  <si>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</si>
  <si>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</si>
  <si>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</si>
  <si>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</si>
  <si>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</si>
  <si>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</si>
  <si>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</si>
  <si>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</si>
  <si>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</si>
  <si>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</si>
  <si>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</si>
  <si>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</si>
  <si>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</si>
  <si>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</si>
  <si>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</si>
  <si>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</si>
  <si>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</si>
  <si>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</si>
  <si>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</si>
  <si>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</si>
  <si>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</si>
  <si>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</si>
  <si>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</si>
  <si>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</si>
  <si>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</si>
  <si>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</si>
  <si>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</si>
  <si>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</si>
  <si>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</si>
  <si>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</si>
  <si>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</si>
  <si>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</si>
  <si>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</si>
  <si>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</si>
  <si>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</si>
  <si>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</si>
  <si>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</si>
  <si>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</si>
  <si>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</si>
  <si>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</si>
  <si>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</si>
  <si>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</si>
  <si>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</si>
  <si>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</si>
  <si>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</si>
  <si>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</si>
  <si>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</si>
  <si>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</si>
  <si>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</si>
  <si>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</si>
  <si>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</si>
  <si>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</si>
  <si>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</si>
  <si>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</si>
  <si>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</si>
  <si>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</si>
  <si>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</si>
  <si>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</si>
  <si>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</si>
  <si>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</si>
  <si>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</si>
  <si>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</si>
  <si>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</si>
  <si>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</si>
  <si>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</si>
  <si>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</si>
  <si>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</si>
  <si>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</si>
  <si>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</si>
  <si>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</si>
  <si>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</si>
  <si>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</si>
  <si>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</si>
  <si>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</si>
  <si>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</si>
  <si>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</si>
  <si>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</si>
  <si>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</si>
  <si>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</si>
  <si>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</si>
  <si>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</si>
  <si>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</si>
  <si>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</si>
  <si>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</si>
  <si>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</si>
  <si>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</si>
  <si>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</si>
  <si>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</si>
  <si>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</si>
  <si>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</si>
  <si>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</si>
  <si>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</si>
  <si>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</si>
  <si>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</si>
  <si>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</si>
  <si>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</si>
  <si>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</si>
  <si>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</si>
  <si>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</si>
  <si>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</si>
  <si>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</si>
  <si>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</si>
  <si>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</si>
  <si>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</si>
  <si>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</si>
  <si>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</si>
  <si>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</si>
  <si>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</si>
  <si>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</si>
  <si>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</si>
  <si>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</si>
  <si>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</si>
  <si>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</si>
  <si>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</si>
  <si>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</si>
  <si>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</si>
  <si>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</si>
  <si>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</si>
  <si>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</si>
  <si>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</si>
  <si>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</si>
  <si>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</si>
  <si>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</si>
  <si>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</si>
  <si>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</si>
  <si>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</si>
  <si>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</si>
  <si>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</si>
  <si>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</si>
  <si>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</si>
  <si>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</si>
  <si>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</si>
  <si>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</si>
  <si>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</si>
  <si>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</si>
  <si>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</si>
  <si>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</si>
  <si>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</si>
  <si>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</si>
  <si>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</si>
  <si>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</si>
  <si>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</si>
  <si>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</si>
  <si>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</si>
  <si>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</si>
  <si>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</si>
  <si>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</si>
  <si>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</si>
  <si>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</si>
  <si>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</si>
  <si>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</si>
  <si>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</si>
  <si>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</si>
  <si>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</si>
  <si>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</si>
  <si>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</si>
  <si>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</si>
  <si>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</si>
  <si>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</si>
  <si>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</si>
  <si>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</si>
  <si>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</si>
  <si>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</si>
  <si>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</si>
  <si>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</si>
  <si>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</si>
  <si>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</si>
  <si>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</si>
  <si>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</si>
  <si>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</si>
  <si>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</si>
  <si>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</si>
  <si>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</si>
  <si>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</si>
  <si>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</si>
  <si>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</si>
  <si>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</si>
  <si>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</si>
  <si>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</si>
  <si>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</si>
  <si>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</si>
  <si>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</si>
  <si>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</si>
  <si>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</si>
  <si>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</si>
  <si>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</si>
  <si>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</si>
  <si>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</si>
  <si>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</si>
  <si>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</si>
  <si>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</si>
  <si>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</si>
  <si>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</si>
  <si>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</si>
  <si>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</si>
  <si>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</si>
  <si>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</si>
  <si>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</si>
  <si>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</si>
  <si>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</si>
  <si>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</si>
  <si>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</si>
  <si>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</si>
  <si>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</si>
  <si>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</si>
  <si>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</si>
  <si>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</si>
  <si>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</si>
  <si>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</si>
  <si>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</si>
  <si>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</si>
  <si>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</si>
  <si>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</si>
  <si>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</si>
  <si>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</si>
  <si>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</si>
  <si>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</si>
  <si>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</si>
  <si>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</si>
  <si>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</si>
  <si>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</si>
  <si>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</si>
  <si>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</si>
  <si>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</si>
  <si>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</si>
  <si>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</si>
  <si>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</si>
  <si>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</si>
  <si>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</si>
  <si>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</si>
  <si>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</si>
  <si>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</si>
  <si>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</si>
  <si>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</si>
  <si>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</si>
  <si>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</si>
  <si>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</si>
  <si>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</si>
  <si>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</si>
  <si>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</si>
  <si>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</si>
  <si>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</si>
  <si>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</si>
  <si>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</si>
  <si>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</si>
  <si>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</si>
  <si>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</si>
  <si>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</si>
  <si>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</si>
  <si>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</si>
  <si>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</si>
  <si>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</si>
  <si>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</si>
  <si>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</si>
  <si>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</si>
  <si>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</si>
  <si>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</si>
  <si>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</si>
  <si>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</si>
  <si>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</si>
  <si>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</si>
  <si>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</si>
  <si>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</si>
  <si>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</si>
  <si>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</si>
  <si>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</si>
  <si>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</si>
  <si>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</si>
  <si>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</si>
  <si>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</si>
  <si>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</si>
  <si>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</si>
  <si>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</si>
  <si>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</si>
  <si>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</si>
  <si>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</si>
  <si>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</si>
  <si>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</si>
  <si>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</si>
  <si>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</si>
  <si>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</si>
  <si>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</si>
  <si>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</si>
  <si>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</si>
  <si>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</si>
  <si>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</si>
  <si>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</si>
  <si>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</si>
  <si>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</si>
  <si>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</si>
  <si>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</si>
  <si>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</si>
  <si>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</si>
  <si>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</si>
  <si>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</si>
  <si>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</si>
  <si>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</si>
  <si>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</si>
  <si>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</si>
  <si>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</si>
  <si>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</si>
  <si>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</si>
  <si>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</si>
  <si>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</si>
  <si>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</si>
  <si>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</si>
  <si>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</si>
  <si>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</si>
  <si>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</si>
  <si>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</si>
  <si>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</si>
  <si>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</si>
  <si>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</si>
  <si>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</si>
  <si>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</si>
  <si>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</si>
  <si>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</si>
  <si>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</si>
  <si>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</si>
  <si>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</si>
  <si>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</si>
  <si>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</si>
  <si>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</si>
  <si>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</si>
  <si>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</si>
  <si>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</si>
  <si>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</si>
  <si>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</si>
  <si>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</si>
  <si>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</si>
  <si>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</si>
  <si>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</si>
  <si>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</si>
  <si>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</si>
  <si>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</si>
  <si>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</si>
  <si>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</si>
  <si>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</si>
  <si>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</si>
  <si>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</si>
  <si>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</si>
  <si>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</si>
  <si>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</si>
  <si>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</si>
  <si>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</si>
  <si>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</si>
  <si>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</si>
  <si>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</si>
  <si>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</si>
  <si>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</si>
  <si>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</si>
  <si>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</si>
  <si>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</si>
  <si>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</si>
  <si>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</si>
  <si>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</si>
  <si>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</si>
  <si>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</si>
  <si>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</si>
  <si>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</si>
  <si>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</si>
  <si>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</si>
  <si>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</si>
  <si>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</si>
  <si>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</si>
  <si>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</si>
  <si>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</si>
  <si>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</si>
  <si>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</si>
  <si>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</si>
  <si>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</si>
  <si>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</si>
  <si>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</si>
  <si>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</si>
  <si>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</si>
  <si>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</si>
  <si>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</si>
  <si>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</si>
  <si>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</si>
  <si>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</si>
  <si>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</si>
  <si>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</si>
  <si>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</si>
  <si>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</si>
  <si>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</si>
  <si>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</si>
  <si>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</si>
  <si>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</si>
  <si>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</si>
  <si>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</si>
  <si>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</si>
  <si>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</si>
  <si>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</si>
  <si>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</si>
  <si>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</si>
  <si>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</si>
  <si>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</si>
  <si>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</si>
  <si>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</si>
  <si>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</si>
  <si>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</si>
  <si>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</si>
  <si>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</si>
  <si>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</si>
  <si>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</si>
  <si>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</si>
  <si>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</si>
  <si>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</si>
  <si>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</si>
  <si>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</si>
  <si>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</si>
  <si>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</si>
  <si>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</si>
  <si>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</si>
  <si>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</si>
  <si>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</si>
  <si>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</si>
  <si>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</si>
  <si>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</si>
  <si>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</si>
  <si>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</si>
  <si>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</si>
  <si>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</si>
  <si>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</si>
  <si>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</si>
  <si>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</si>
  <si>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</si>
  <si>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</si>
  <si>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</si>
  <si>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</si>
  <si>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</si>
  <si>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</si>
  <si>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</si>
  <si>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</si>
  <si>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</si>
  <si>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</si>
  <si>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</si>
  <si>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</si>
  <si>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</si>
  <si>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</si>
  <si>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</si>
  <si>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</si>
  <si>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</si>
  <si>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</si>
  <si>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</si>
  <si>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</si>
  <si>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</si>
  <si>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</si>
  <si>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</si>
  <si>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</si>
  <si>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</si>
  <si>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</si>
  <si>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</si>
  <si>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</si>
  <si>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</si>
  <si>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</si>
  <si>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</si>
  <si>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</si>
  <si>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</si>
  <si>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</si>
  <si>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</si>
  <si>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</si>
  <si>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</si>
  <si>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</si>
  <si>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</si>
  <si>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</si>
  <si>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</si>
  <si>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</si>
  <si>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</si>
  <si>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</si>
  <si>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</si>
  <si>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</si>
  <si>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</si>
  <si>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</si>
  <si>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</si>
  <si>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</si>
  <si>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</si>
  <si>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</si>
  <si>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</si>
  <si>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</si>
  <si>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</si>
  <si>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</si>
  <si>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</si>
  <si>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</si>
  <si>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</si>
  <si>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</si>
  <si>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</si>
  <si>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</si>
  <si>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</si>
  <si>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</si>
  <si>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</si>
  <si>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</si>
  <si>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</si>
  <si>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</si>
  <si>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</si>
  <si>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</si>
  <si>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</si>
  <si>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</si>
  <si>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</si>
  <si>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</si>
  <si>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</si>
  <si>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</si>
  <si>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</si>
  <si>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</si>
  <si>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</si>
  <si>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</si>
  <si>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</si>
  <si>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</si>
  <si>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</si>
  <si>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</si>
  <si>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</si>
  <si>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</si>
  <si>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</si>
  <si>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</si>
  <si>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</si>
  <si>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</si>
  <si>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</si>
  <si>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</si>
  <si>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</si>
  <si>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</si>
  <si>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</si>
  <si>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</si>
  <si>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</si>
  <si>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</si>
  <si>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</si>
  <si>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</si>
  <si>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</si>
  <si>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</si>
  <si>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</si>
  <si>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</si>
  <si>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</si>
  <si>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</si>
  <si>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</si>
  <si>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</si>
  <si>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</si>
  <si>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</si>
  <si>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Reedley Elderly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</si>
  <si>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</si>
  <si>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</si>
  <si>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</si>
  <si>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</si>
  <si>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</si>
  <si>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</si>
  <si>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</si>
  <si>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</si>
  <si>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</si>
  <si>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</si>
  <si>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</si>
  <si>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</si>
  <si>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</si>
  <si>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</si>
  <si>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</si>
  <si>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</si>
  <si>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</si>
  <si>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</si>
  <si>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</si>
  <si>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</si>
  <si>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</si>
  <si>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</si>
  <si>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</si>
  <si>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</si>
  <si>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</si>
  <si>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</si>
  <si>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</si>
  <si>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</si>
  <si>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</si>
  <si>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</si>
  <si>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</si>
  <si>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</si>
  <si>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Visalia CA</t>
  </si>
  <si>
    <t>, California.</t>
  </si>
  <si>
    <t>Thomas J. Collishaw</t>
  </si>
  <si>
    <t>(Typed or printed name)</t>
  </si>
  <si>
    <t>President / CEO</t>
  </si>
  <si>
    <t>(Title)</t>
  </si>
  <si>
    <t>Local Jurisdiction:</t>
  </si>
  <si>
    <t>City of Reedley</t>
  </si>
  <si>
    <t>City Manager:</t>
  </si>
  <si>
    <t>Nicole R. Zieba</t>
  </si>
  <si>
    <t>*</t>
  </si>
  <si>
    <t>ALAMEDA</t>
  </si>
  <si>
    <t>Alameda</t>
  </si>
  <si>
    <t>Title:</t>
  </si>
  <si>
    <t>City Manager</t>
  </si>
  <si>
    <t>ALPINE</t>
  </si>
  <si>
    <t>Alpine</t>
  </si>
  <si>
    <t xml:space="preserve">Mailing Address: </t>
  </si>
  <si>
    <t>1717 9th Street</t>
  </si>
  <si>
    <t>AMADOR</t>
  </si>
  <si>
    <t>Amador</t>
  </si>
  <si>
    <t xml:space="preserve">City: </t>
  </si>
  <si>
    <t>Reedley</t>
  </si>
  <si>
    <t>BUTTE</t>
  </si>
  <si>
    <t>Butte</t>
  </si>
  <si>
    <t xml:space="preserve">Zip Code: </t>
  </si>
  <si>
    <t>No</t>
  </si>
  <si>
    <t>CALAVERAS</t>
  </si>
  <si>
    <t>Calaveras</t>
  </si>
  <si>
    <t>Phone Number:</t>
  </si>
  <si>
    <t xml:space="preserve"> (559) 637-4200</t>
  </si>
  <si>
    <t>Ext.</t>
  </si>
  <si>
    <t>COLUSA</t>
  </si>
  <si>
    <t>Colusa</t>
  </si>
  <si>
    <t xml:space="preserve">FAX Number: </t>
  </si>
  <si>
    <t>CONTRA COSTA</t>
  </si>
  <si>
    <t>Contra Costa</t>
  </si>
  <si>
    <t xml:space="preserve">E-mail: </t>
  </si>
  <si>
    <t>nicole.zieba@reedley.ca.gov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</si>
  <si>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</si>
  <si>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</si>
  <si>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</si>
  <si>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</si>
  <si>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</si>
  <si>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</si>
  <si>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</si>
  <si>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</si>
  <si>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</si>
  <si>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</si>
  <si>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</si>
  <si>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</si>
  <si>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</si>
  <si>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</si>
  <si>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</si>
  <si>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</si>
  <si>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</si>
  <si>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</si>
  <si>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</si>
  <si>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</si>
  <si>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</si>
  <si>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</si>
  <si>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</si>
  <si>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</si>
  <si>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</si>
  <si>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</si>
  <si>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</si>
  <si>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</si>
  <si>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</si>
  <si>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</si>
  <si>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</si>
  <si>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</si>
  <si>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</si>
  <si>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</si>
  <si>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</si>
  <si>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</si>
  <si>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</si>
  <si>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</si>
  <si>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</si>
  <si>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</si>
  <si>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</si>
  <si>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</si>
  <si>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</si>
  <si>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</si>
  <si>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</si>
  <si>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</si>
  <si>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</si>
  <si>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</si>
  <si>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</si>
  <si>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</si>
  <si>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</si>
  <si>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</si>
  <si>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</si>
  <si>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</si>
  <si>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</si>
  <si>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</si>
  <si>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</si>
  <si>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</si>
  <si>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</si>
  <si>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</si>
  <si>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</si>
  <si>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</si>
  <si>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172 South East Ave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</si>
  <si>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</si>
  <si>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</si>
  <si>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</si>
  <si>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</si>
  <si>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</si>
  <si>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</si>
  <si>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</si>
  <si>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</si>
  <si>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</si>
  <si>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</si>
  <si>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</si>
  <si>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</si>
  <si>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</si>
  <si>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</si>
  <si>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</si>
  <si>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</si>
  <si>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</si>
  <si>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</si>
  <si>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</si>
  <si>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</si>
  <si>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370-141-20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</si>
  <si>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</si>
  <si>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</si>
  <si>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</si>
  <si>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</si>
  <si>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</si>
  <si>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</si>
  <si>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</si>
  <si>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</si>
  <si>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</si>
  <si>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</si>
  <si>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</si>
  <si>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</si>
  <si>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</si>
  <si>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</si>
  <si>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</si>
  <si>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</si>
  <si>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</si>
  <si>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</si>
  <si>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</si>
  <si>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</si>
  <si>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</si>
  <si>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</si>
  <si>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</si>
  <si>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</si>
  <si>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</si>
  <si>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</si>
  <si>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</si>
  <si>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</si>
  <si>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</si>
  <si>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</si>
  <si>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</si>
  <si>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</si>
  <si>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</si>
  <si>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</si>
  <si>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</si>
  <si>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</si>
  <si>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</si>
  <si>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</si>
  <si>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</si>
  <si>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</si>
  <si>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</si>
  <si>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</si>
  <si>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</si>
  <si>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</si>
  <si>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</si>
  <si>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</si>
  <si>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</si>
  <si>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</si>
  <si>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</si>
  <si>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</si>
  <si>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</si>
  <si>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</si>
  <si>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</si>
  <si>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</si>
  <si>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</si>
  <si>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</si>
  <si>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</si>
  <si>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</si>
  <si>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</si>
  <si>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</si>
  <si>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</si>
  <si>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</si>
  <si>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</si>
  <si>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</si>
  <si>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</si>
  <si>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</si>
  <si>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</si>
  <si>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</si>
  <si>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</si>
  <si>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</si>
  <si>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</si>
  <si>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</si>
  <si>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</si>
  <si>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</si>
  <si>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</si>
  <si>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</si>
  <si>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</si>
  <si>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</si>
  <si>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</si>
  <si>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</si>
  <si>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</si>
  <si>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</si>
  <si>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</si>
  <si>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</si>
  <si>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</si>
  <si>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</si>
  <si>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</si>
  <si>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</si>
  <si>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</si>
  <si>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</si>
  <si>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</si>
  <si>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</si>
  <si>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</si>
  <si>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</si>
  <si>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</si>
  <si>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</si>
  <si>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</si>
  <si>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</si>
  <si>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</si>
  <si>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</si>
  <si>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</si>
  <si>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</si>
  <si>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</si>
  <si>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</si>
  <si>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</si>
  <si>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</si>
  <si>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</si>
  <si>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</si>
  <si>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</si>
  <si>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</si>
  <si>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</si>
  <si>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</si>
  <si>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</si>
  <si>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</si>
  <si>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</si>
  <si>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</si>
  <si>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</si>
  <si>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</si>
  <si>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</si>
  <si>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</si>
  <si>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</si>
  <si>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</si>
  <si>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</si>
  <si>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</si>
  <si>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</si>
  <si>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</si>
  <si>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Ct</t>
  </si>
  <si>
    <t>both nonprofits</t>
  </si>
  <si>
    <t>Visalia</t>
  </si>
  <si>
    <t>State:</t>
  </si>
  <si>
    <t>CA</t>
  </si>
  <si>
    <t>Contact Person:</t>
  </si>
  <si>
    <t>Betsy McGovern-Garcia</t>
  </si>
  <si>
    <t>Phone:</t>
  </si>
  <si>
    <t>559-802-1653</t>
  </si>
  <si>
    <t>Ext.:</t>
  </si>
  <si>
    <t>Fax:</t>
  </si>
  <si>
    <t>both for-profit</t>
  </si>
  <si>
    <t xml:space="preserve">Email: </t>
  </si>
  <si>
    <t>betsyg@selfhelpenterprises.org</t>
  </si>
  <si>
    <t>Legal Status of Applicant:</t>
  </si>
  <si>
    <t>Parent Company:</t>
  </si>
  <si>
    <t>If Other, Specify:</t>
  </si>
  <si>
    <t>Nonprofit</t>
  </si>
  <si>
    <t>C(1)</t>
  </si>
  <si>
    <t>General Partner Name:</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</si>
  <si>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</si>
  <si>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</si>
  <si>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</si>
  <si>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</si>
  <si>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</si>
  <si>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</si>
  <si>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</si>
  <si>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</si>
  <si>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</si>
  <si>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</si>
  <si>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</si>
  <si>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</si>
  <si>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</si>
  <si>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</si>
  <si>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</si>
  <si>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</si>
  <si>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</si>
  <si>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</si>
  <si>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</si>
  <si>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</si>
  <si>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</si>
  <si>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</si>
  <si>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Gomez Architects Inc</t>
  </si>
  <si>
    <t>Address:</t>
  </si>
  <si>
    <t>5940 E Christine Ave</t>
  </si>
  <si>
    <t>City, State, Zip</t>
  </si>
  <si>
    <t>City, State, Zip:</t>
  </si>
  <si>
    <t>Fresno CA 93627</t>
  </si>
  <si>
    <t>Rickardo Gomez</t>
  </si>
  <si>
    <t>559-226-0115</t>
  </si>
  <si>
    <t>Email:</t>
  </si>
  <si>
    <t>ga.rgomez@comcast.net</t>
  </si>
  <si>
    <t>Attorney:</t>
  </si>
  <si>
    <t>Gubb and Barshay LLP</t>
  </si>
  <si>
    <t>General Contractor:</t>
  </si>
  <si>
    <t>Ashwood Construction Inc.</t>
  </si>
  <si>
    <t>235 Montgomery Street, Suite 1110</t>
  </si>
  <si>
    <t>5755 E Kings Canyon Rd # 110</t>
  </si>
  <si>
    <t>San Francisco, CA 94104</t>
  </si>
  <si>
    <t>Fresno CA 93727</t>
  </si>
  <si>
    <t>LAUREN B. FECHTER</t>
  </si>
  <si>
    <t>Bree Comstock</t>
  </si>
  <si>
    <t>415-781-6600</t>
  </si>
  <si>
    <t>559-253-7240</t>
  </si>
  <si>
    <t>lfechter@gubbandbarshay.com</t>
  </si>
  <si>
    <t>Tax Professional:</t>
  </si>
  <si>
    <t>Energy Consultant:</t>
  </si>
  <si>
    <t>TBD</t>
  </si>
  <si>
    <t>CPA:</t>
  </si>
  <si>
    <t>Tom Tomaszewski</t>
  </si>
  <si>
    <t>Investor:</t>
  </si>
  <si>
    <t>3811 TILDEN DRIVE</t>
  </si>
  <si>
    <t>EL DORADO HILLS, CA 95762</t>
  </si>
  <si>
    <t>(916) 933-7247</t>
  </si>
  <si>
    <t>tomcpa@directcon.net</t>
  </si>
  <si>
    <t>Consultant:</t>
  </si>
  <si>
    <t>California Housing Partnership</t>
  </si>
  <si>
    <t>Market Analyst:</t>
  </si>
  <si>
    <t>Laurin Associates</t>
  </si>
  <si>
    <t>49 Stevenson Street, Suite 500</t>
  </si>
  <si>
    <t>1501 Sports Drive STE A</t>
  </si>
  <si>
    <t>Sacramento CA 95834</t>
  </si>
  <si>
    <t>Jesse Ozanian</t>
  </si>
  <si>
    <t>Stefanie Williams</t>
  </si>
  <si>
    <t>(707) 616-8366</t>
  </si>
  <si>
    <t>916-372-6100</t>
  </si>
  <si>
    <t>jozanian@chpc.net</t>
  </si>
  <si>
    <t>swilliams@laurinassociates.com</t>
  </si>
  <si>
    <t>Appraiser:</t>
  </si>
  <si>
    <t>Colliers International</t>
  </si>
  <si>
    <t>Prop. Mgmt. Co.:</t>
  </si>
  <si>
    <t>AWI Management Corporation</t>
  </si>
  <si>
    <t>7485 N Palm Avenue, STE 110</t>
  </si>
  <si>
    <t>120 Center Street</t>
  </si>
  <si>
    <t>Fresno CA 93711</t>
  </si>
  <si>
    <t>Auburn, CA 95603</t>
  </si>
  <si>
    <t>John Larson</t>
  </si>
  <si>
    <t>Linda Frazier</t>
  </si>
  <si>
    <t>559-221-1271</t>
  </si>
  <si>
    <t>530-745-6255</t>
  </si>
  <si>
    <t>530-745-6171</t>
  </si>
  <si>
    <t>john.larson@colliers.com</t>
  </si>
  <si>
    <t>lfrazier@awimc.com</t>
  </si>
  <si>
    <t>CNA Consultant:</t>
  </si>
  <si>
    <t>Integrated Property Analysis Inc</t>
  </si>
  <si>
    <t>2nd Prop. Mgmt Co.:</t>
  </si>
  <si>
    <t>380 S Melrose Drive STE 387</t>
  </si>
  <si>
    <t>Vista CA 92081</t>
  </si>
  <si>
    <t>Mishael Atallah</t>
  </si>
  <si>
    <t>949-756-8282</t>
  </si>
  <si>
    <t>callipa@aol.com</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</si>
  <si>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</si>
  <si>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</si>
  <si>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</si>
  <si>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</si>
  <si>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</si>
  <si>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</si>
  <si>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</si>
  <si>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</si>
  <si>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</si>
  <si>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</si>
  <si>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</si>
  <si>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</si>
  <si>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</si>
  <si>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</si>
  <si>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</si>
  <si>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</si>
  <si>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</si>
  <si>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</si>
  <si>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</si>
  <si>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</si>
  <si>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</si>
  <si>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</si>
  <si>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23 unit senior housing complex</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</si>
  <si>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</si>
  <si>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</si>
  <si>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</si>
  <si>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</si>
  <si>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</si>
  <si>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</si>
  <si>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</si>
  <si>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</si>
  <si>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</si>
  <si>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</si>
  <si>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Oakbridge, a California Limited partnership</t>
  </si>
  <si>
    <t>Signatory of Seller:</t>
  </si>
  <si>
    <t>Seller Principal:</t>
  </si>
  <si>
    <t>Michael J Conway Jr</t>
  </si>
  <si>
    <t>Seller Address:</t>
  </si>
  <si>
    <t>219 N Douty St, Hanford CA 93230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</si>
  <si>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</si>
  <si>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</si>
  <si>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</si>
  <si>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</si>
  <si>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</si>
  <si>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</si>
  <si>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</si>
  <si>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</si>
  <si>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</si>
  <si>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</si>
  <si>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</si>
  <si>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</si>
  <si>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</si>
  <si>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</si>
  <si>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</si>
  <si>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</si>
  <si>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</si>
  <si>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</si>
  <si>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</si>
  <si>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</si>
  <si>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</si>
  <si>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</si>
  <si>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</si>
  <si>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</si>
  <si>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</si>
  <si>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</si>
  <si>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</si>
  <si>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</si>
  <si>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</si>
  <si>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</si>
  <si>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</si>
  <si>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</si>
  <si>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</si>
  <si>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</si>
  <si>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</si>
  <si>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</si>
  <si>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</si>
  <si>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</si>
  <si>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</si>
  <si>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</si>
  <si>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</si>
  <si>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</si>
  <si>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</si>
  <si>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</si>
  <si>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</si>
  <si>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</si>
  <si>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</si>
  <si>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</si>
  <si>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</si>
  <si>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</si>
  <si>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</si>
  <si>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</si>
  <si>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</si>
  <si>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</si>
  <si>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</si>
  <si>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</si>
  <si>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</si>
  <si>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</si>
  <si>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</si>
  <si>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</si>
  <si>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</si>
  <si>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</si>
  <si>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</si>
  <si>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</si>
  <si>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</si>
  <si>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</si>
  <si>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</si>
  <si>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</si>
  <si>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</si>
  <si>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</si>
  <si>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</si>
  <si>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</si>
  <si>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</si>
  <si>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</si>
  <si>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</si>
  <si>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</si>
  <si>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</si>
  <si>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</si>
  <si>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</si>
  <si>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</si>
  <si>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</si>
  <si>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</si>
  <si>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</si>
  <si>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</si>
  <si>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</si>
  <si>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</si>
  <si>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</si>
  <si>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</si>
  <si>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</si>
  <si>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</si>
  <si>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</si>
  <si>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RM-2 | 2,000 sqft per DU</t>
  </si>
  <si>
    <t>Proposed Zoning and Maximum Density</t>
  </si>
  <si>
    <t>Occupancy restrictions that run with the land due to CUP’s or density bonuses?</t>
  </si>
  <si>
    <t>(if yes, explain here)</t>
  </si>
  <si>
    <t>Subject to any affordable housing ordinances?</t>
  </si>
  <si>
    <t>Building Height Requirements</t>
  </si>
  <si>
    <t>35'</t>
  </si>
  <si>
    <t>Required Parking Ratio</t>
  </si>
  <si>
    <t>1 per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</si>
  <si>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</si>
  <si>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</si>
  <si>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</si>
  <si>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</si>
  <si>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</si>
  <si>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</si>
  <si>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</si>
  <si>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</si>
  <si>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</si>
  <si>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</si>
  <si>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</si>
  <si>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</si>
  <si>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</si>
  <si>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</si>
  <si>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</si>
  <si>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</si>
  <si>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</si>
  <si>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</si>
  <si>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</si>
  <si>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</si>
  <si>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</si>
  <si>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</si>
  <si>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</si>
  <si>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</si>
  <si>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</si>
  <si>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</si>
  <si>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</si>
  <si>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t>
  </si>
  <si>
    <t>Closing or Award</t>
  </si>
  <si>
    <t>(select)</t>
  </si>
  <si>
    <t xml:space="preserve">Type and Source: </t>
  </si>
  <si>
    <t xml:space="preserve">Sponsor Loan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</si>
  <si>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</si>
  <si>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</si>
  <si>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</si>
  <si>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</si>
  <si>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</si>
  <si>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</si>
  <si>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</si>
  <si>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</si>
  <si>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</si>
  <si>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</si>
  <si>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</si>
  <si>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</si>
  <si>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</si>
  <si>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</si>
  <si>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</si>
  <si>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</si>
  <si>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</si>
  <si>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</si>
  <si>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</si>
  <si>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</si>
  <si>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</si>
  <si>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</si>
  <si>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</si>
  <si>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</si>
  <si>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</si>
  <si>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</si>
  <si>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</si>
  <si>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</si>
  <si>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</si>
  <si>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</si>
  <si>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</si>
  <si>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</si>
  <si>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</si>
  <si>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</si>
  <si>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</si>
  <si>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</si>
  <si>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</si>
  <si>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</si>
  <si>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</si>
  <si>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</si>
  <si>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</si>
  <si>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</si>
  <si>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</si>
  <si>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USDA 515 (New)</t>
  </si>
  <si>
    <t>Fixed</t>
  </si>
  <si>
    <t>USDA 515 (Existing)</t>
  </si>
  <si>
    <t>GP Capital - existing reserves</t>
  </si>
  <si>
    <t>Sponsor Loan - CMF funds</t>
  </si>
  <si>
    <t>6)</t>
  </si>
  <si>
    <t>Limited Partner Capital Contribution</t>
  </si>
  <si>
    <t>7)</t>
  </si>
  <si>
    <t>Costs deferred Until Conversion</t>
  </si>
  <si>
    <t>8)</t>
  </si>
  <si>
    <t>9)</t>
  </si>
  <si>
    <t>10)</t>
  </si>
  <si>
    <t>11)</t>
  </si>
  <si>
    <t>12)</t>
  </si>
  <si>
    <t>Total Funds For Construction:</t>
  </si>
  <si>
    <t>Lender/Source:</t>
  </si>
  <si>
    <t>1307 Washington Ave, Suite 300</t>
  </si>
  <si>
    <t>P.O. Box 771340</t>
  </si>
  <si>
    <t>St. Louis, Missouri 63103</t>
  </si>
  <si>
    <t>St. Louis MO 63177</t>
  </si>
  <si>
    <t>Contact Name:</t>
  </si>
  <si>
    <t>Joshua Evju</t>
  </si>
  <si>
    <t>Yvette Spriggs</t>
  </si>
  <si>
    <t>314-662-7533</t>
  </si>
  <si>
    <t>202-365-4881</t>
  </si>
  <si>
    <t>Type of Financing:</t>
  </si>
  <si>
    <t>Construction Loan</t>
  </si>
  <si>
    <t>Hard Debt</t>
  </si>
  <si>
    <t>Is the Lender/Source Committed?</t>
  </si>
  <si>
    <t>Visalia CA 93291</t>
  </si>
  <si>
    <t xml:space="preserve">Existing Reserves </t>
  </si>
  <si>
    <t xml:space="preserve">Soft Financing </t>
  </si>
  <si>
    <t>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</si>
  <si>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</si>
  <si>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</si>
  <si>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</si>
  <si>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</si>
  <si>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</si>
  <si>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</si>
  <si>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</si>
  <si>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</si>
  <si>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</si>
  <si>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</si>
  <si>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</si>
  <si>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</si>
  <si>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</si>
  <si>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</si>
  <si>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</si>
  <si>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</si>
  <si>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</si>
  <si>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</si>
  <si>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</si>
  <si>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</si>
  <si>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</si>
  <si>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</si>
  <si>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</si>
  <si>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</si>
  <si>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</si>
  <si>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</si>
  <si>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</si>
  <si>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</si>
  <si>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</si>
  <si>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</si>
  <si>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</si>
  <si>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</si>
  <si>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</si>
  <si>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 xml:space="preserve">Reserves </t>
  </si>
  <si>
    <t>Soft Financing</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</si>
  <si>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</si>
  <si>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</si>
  <si>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</si>
  <si>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</si>
  <si>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</si>
  <si>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</si>
  <si>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</si>
  <si>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</si>
  <si>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</si>
  <si>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</si>
  <si>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</si>
  <si>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</si>
  <si>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</si>
  <si>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</si>
  <si>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</si>
  <si>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</si>
  <si>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</si>
  <si>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</si>
  <si>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</si>
  <si>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</si>
  <si>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</si>
  <si>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</si>
  <si>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</si>
  <si>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</si>
  <si>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</si>
  <si>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</si>
  <si>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</si>
  <si>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</si>
  <si>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</si>
  <si>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</si>
  <si>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</si>
  <si>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</si>
  <si>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</si>
  <si>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</si>
  <si>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</si>
  <si>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</si>
  <si>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</si>
  <si>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</si>
  <si>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</si>
  <si>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</si>
  <si>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</si>
  <si>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</si>
  <si>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</si>
  <si>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</si>
  <si>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</si>
  <si>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</si>
  <si>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</si>
  <si>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</si>
  <si>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</si>
  <si>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</si>
  <si>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</si>
  <si>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</si>
  <si>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</si>
  <si>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</si>
  <si>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</si>
  <si>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</si>
  <si>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</si>
  <si>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</si>
  <si>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</si>
  <si>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</si>
  <si>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</si>
  <si>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</si>
  <si>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</si>
  <si>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Owner to pay for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</si>
  <si>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</si>
  <si>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</si>
  <si>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</si>
  <si>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</si>
  <si>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</si>
  <si>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</si>
  <si>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</si>
  <si>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</si>
  <si>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</si>
  <si>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</si>
  <si>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</si>
  <si>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</si>
  <si>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</si>
  <si>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</si>
  <si>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</si>
  <si>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</si>
  <si>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</si>
  <si>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</si>
  <si>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</si>
  <si>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</si>
  <si>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</si>
  <si>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</si>
  <si>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</si>
  <si>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</si>
  <si>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</si>
  <si>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</si>
  <si>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</si>
  <si>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</si>
  <si>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</si>
  <si>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</si>
  <si>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</si>
  <si>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</si>
  <si>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</si>
  <si>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</si>
  <si>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</si>
  <si>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</si>
  <si>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</si>
  <si>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</si>
  <si>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Special Assessments / 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</si>
  <si>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</si>
  <si>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</si>
  <si>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</si>
  <si>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</si>
  <si>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</si>
  <si>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</si>
  <si>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</si>
  <si>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</si>
  <si>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</si>
  <si>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</si>
  <si>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</si>
  <si>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</si>
  <si>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</si>
  <si>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</si>
  <si>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</si>
  <si>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</si>
  <si>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</si>
  <si>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</si>
  <si>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</si>
  <si>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</si>
  <si>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</si>
  <si>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</si>
  <si>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</si>
  <si>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</si>
  <si>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</si>
  <si>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</si>
  <si>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</si>
  <si>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</si>
  <si>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</si>
  <si>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</si>
  <si>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</si>
  <si>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</si>
  <si>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</si>
  <si>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</si>
  <si>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</si>
  <si>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</si>
  <si>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</si>
  <si>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</si>
  <si>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</si>
  <si>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</si>
  <si>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</si>
  <si>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</si>
  <si>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</si>
  <si>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</si>
  <si>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</si>
  <si>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</si>
  <si>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</si>
  <si>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</si>
  <si>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</si>
  <si>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</si>
  <si>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</si>
  <si>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</si>
  <si>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</si>
  <si>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</si>
  <si>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</si>
  <si>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</si>
  <si>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</si>
  <si>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Sponsor Loan - CMF</t>
  </si>
  <si>
    <t xml:space="preserve">Acquired Reserves </t>
  </si>
  <si>
    <t>Indicate By Percent Of Units Affected, Any Rental Subsidy Expected To Be Available To The Project.</t>
  </si>
  <si>
    <t>Approval Date:</t>
  </si>
  <si>
    <t>Source:</t>
  </si>
  <si>
    <t>USDA RA</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</si>
  <si>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</si>
  <si>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</si>
  <si>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</si>
  <si>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</si>
  <si>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</si>
  <si>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</si>
  <si>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</si>
  <si>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</si>
  <si>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</si>
  <si>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</si>
  <si>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</si>
  <si>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</si>
  <si>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</si>
  <si>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</si>
  <si>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</si>
  <si>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</si>
  <si>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</si>
  <si>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</si>
  <si>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</si>
  <si>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</si>
  <si>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</si>
  <si>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</si>
  <si>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</si>
  <si>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</si>
  <si>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</si>
  <si>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</si>
  <si>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</si>
  <si>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</si>
  <si>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</si>
  <si>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</si>
  <si>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</si>
  <si>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</si>
  <si>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</si>
  <si>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</si>
  <si>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</si>
  <si>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</si>
  <si>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</si>
  <si>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</si>
  <si>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</si>
  <si>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</si>
  <si>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</si>
  <si>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</si>
  <si>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</si>
  <si>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</si>
  <si>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</si>
  <si>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</si>
  <si>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</si>
  <si>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</si>
  <si>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</si>
  <si>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</si>
  <si>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</si>
  <si>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</si>
  <si>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</si>
  <si>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</si>
  <si>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</si>
  <si>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</si>
  <si>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</si>
  <si>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</si>
  <si>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</si>
  <si>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</si>
  <si>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</si>
  <si>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</si>
  <si>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</si>
  <si>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</si>
  <si>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</si>
  <si>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</si>
  <si>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</si>
  <si>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</si>
  <si>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</si>
  <si>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</si>
  <si>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</si>
  <si>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</si>
  <si>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</si>
  <si>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</si>
  <si>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</si>
  <si>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</si>
  <si>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</si>
  <si>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</si>
  <si>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</si>
  <si>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</si>
  <si>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</si>
  <si>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</si>
  <si>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</si>
  <si>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</si>
  <si>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</si>
  <si>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</si>
  <si>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</si>
  <si>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</si>
  <si>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</si>
  <si>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</si>
  <si>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</si>
  <si>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</si>
  <si>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</si>
  <si>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</si>
  <si>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</si>
  <si>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</si>
  <si>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</si>
  <si>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</si>
  <si>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</si>
  <si>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</si>
  <si>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</si>
  <si>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</si>
  <si>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</si>
  <si>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</si>
  <si>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</si>
  <si>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</si>
  <si>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</si>
  <si>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</si>
  <si>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</si>
  <si>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</si>
  <si>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</si>
  <si>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</si>
  <si>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</si>
  <si>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</si>
  <si>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</si>
  <si>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</si>
  <si>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</si>
  <si>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</si>
  <si>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</si>
  <si>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</si>
  <si>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</si>
  <si>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</si>
  <si>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</si>
  <si>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</si>
  <si>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</si>
  <si>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</si>
  <si>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</si>
  <si>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</si>
  <si>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</si>
  <si>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</si>
  <si>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</si>
  <si>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</si>
  <si>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</si>
  <si>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</si>
  <si>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</si>
  <si>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</si>
  <si>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</si>
  <si>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</si>
  <si>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</si>
  <si>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</si>
  <si>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</si>
  <si>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</si>
  <si>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</si>
  <si>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</si>
  <si>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</si>
  <si>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</si>
  <si>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</si>
  <si>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</si>
  <si>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</si>
  <si>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</si>
  <si>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</si>
  <si>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</si>
  <si>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</si>
  <si>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</si>
  <si>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</si>
  <si>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</si>
  <si>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</si>
  <si>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</si>
  <si>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</si>
  <si>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</si>
  <si>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</si>
  <si>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</si>
  <si>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</si>
  <si>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</si>
  <si>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</si>
  <si>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</si>
  <si>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</si>
  <si>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</si>
  <si>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</si>
  <si>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</si>
  <si>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</si>
  <si>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</si>
  <si>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</si>
  <si>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</si>
  <si>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</si>
  <si>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</si>
  <si>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</si>
  <si>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</si>
  <si>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</si>
  <si>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</si>
  <si>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</si>
  <si>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</si>
  <si>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</si>
  <si>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</si>
  <si>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</si>
  <si>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</si>
  <si>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</si>
  <si>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</si>
  <si>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</si>
  <si>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</si>
  <si>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</si>
  <si>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</si>
  <si>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</si>
  <si>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</si>
  <si>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</si>
  <si>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</si>
  <si>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</si>
  <si>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</si>
  <si>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</si>
  <si>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</si>
  <si>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</si>
  <si>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</si>
  <si>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</si>
  <si>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</si>
  <si>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</si>
  <si>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</si>
  <si>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</si>
  <si>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</si>
  <si>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</si>
  <si>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</si>
  <si>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</si>
  <si>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</si>
  <si>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</si>
  <si>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</si>
  <si>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</si>
  <si>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</si>
  <si>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</si>
  <si>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</si>
  <si>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</si>
  <si>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</si>
  <si>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</si>
  <si>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</si>
  <si>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</si>
  <si>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</si>
  <si>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</si>
  <si>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</si>
  <si>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</si>
  <si>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</si>
  <si>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</si>
  <si>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</si>
  <si>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</si>
  <si>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</si>
  <si>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</si>
  <si>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</si>
  <si>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</si>
  <si>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</si>
  <si>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</si>
  <si>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</si>
  <si>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</si>
  <si>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</si>
  <si>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</si>
  <si>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</si>
  <si>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</si>
  <si>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</si>
  <si>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</si>
  <si>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</si>
  <si>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</si>
  <si>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</si>
  <si>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</si>
  <si>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</si>
  <si>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</si>
  <si>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</si>
  <si>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</si>
  <si>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</si>
  <si>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</si>
  <si>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</si>
  <si>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</si>
  <si>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</si>
  <si>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</si>
  <si>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</si>
  <si>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</si>
  <si>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</si>
  <si>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</si>
  <si>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</si>
  <si>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</si>
  <si>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</si>
  <si>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</si>
  <si>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</si>
  <si>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</si>
  <si>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</si>
  <si>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</si>
  <si>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</si>
  <si>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</si>
  <si>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</si>
  <si>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</si>
  <si>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</si>
  <si>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</si>
  <si>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</si>
  <si>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</si>
  <si>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</si>
  <si>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</si>
  <si>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</si>
  <si>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</si>
  <si>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</si>
  <si>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</si>
  <si>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</si>
  <si>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</si>
  <si>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</si>
  <si>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</si>
  <si>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</si>
  <si>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</si>
  <si>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</si>
  <si>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</si>
  <si>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</si>
  <si>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</si>
  <si>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</si>
  <si>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</si>
  <si>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</si>
  <si>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</si>
  <si>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</si>
  <si>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</si>
  <si>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</si>
  <si>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</si>
  <si>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</si>
  <si>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</si>
  <si>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</si>
  <si>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</si>
  <si>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</si>
  <si>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</si>
  <si>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</si>
  <si>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</si>
  <si>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</si>
  <si>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</si>
  <si>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</si>
  <si>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</si>
  <si>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</si>
  <si>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</si>
  <si>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</si>
  <si>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</si>
  <si>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</si>
  <si>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</si>
  <si>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</si>
  <si>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</si>
  <si>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</si>
  <si>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</si>
  <si>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</si>
  <si>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</si>
  <si>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</si>
  <si>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</si>
  <si>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</si>
  <si>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</si>
  <si>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</si>
  <si>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</si>
  <si>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</si>
  <si>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</si>
  <si>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</si>
  <si>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</si>
  <si>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</si>
  <si>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</si>
  <si>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</si>
  <si>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</si>
  <si>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</si>
  <si>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</si>
  <si>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</si>
  <si>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</si>
  <si>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</si>
  <si>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</si>
  <si>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</si>
  <si>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</si>
  <si>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</si>
  <si>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</si>
  <si>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</si>
  <si>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</si>
  <si>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</si>
  <si>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</si>
  <si>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</si>
  <si>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</si>
  <si>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</si>
  <si>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</si>
  <si>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</si>
  <si>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</si>
  <si>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</si>
  <si>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</si>
  <si>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</si>
  <si>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</si>
  <si>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</si>
  <si>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</si>
  <si>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</si>
  <si>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</si>
  <si>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</si>
  <si>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</si>
  <si>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</si>
  <si>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</si>
  <si>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</si>
  <si>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</si>
  <si>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</si>
  <si>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</si>
  <si>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</si>
  <si>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</si>
  <si>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</si>
  <si>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</si>
  <si>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</si>
  <si>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</si>
  <si>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</si>
  <si>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</si>
  <si>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</si>
  <si>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</si>
  <si>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</si>
  <si>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</si>
  <si>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</si>
  <si>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</si>
  <si>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</si>
  <si>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</si>
  <si>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</si>
  <si>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</si>
  <si>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</si>
  <si>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</si>
  <si>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</si>
  <si>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</si>
  <si>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</si>
  <si>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</si>
  <si>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</si>
  <si>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</si>
  <si>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</si>
  <si>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</si>
  <si>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</si>
  <si>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</si>
  <si>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</si>
  <si>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</si>
  <si>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Adventist Health</t>
  </si>
  <si>
    <t>Dial a Ride / FCRTA</t>
  </si>
  <si>
    <t>Transit Station/Transit Stop</t>
  </si>
  <si>
    <t>372 W. Cypress Ave.</t>
  </si>
  <si>
    <t>100 N. East Ave.</t>
  </si>
  <si>
    <t>Public Park</t>
  </si>
  <si>
    <t>City, Zip</t>
  </si>
  <si>
    <t>Reedley, 93654</t>
  </si>
  <si>
    <t>Book-Lending Public Library</t>
  </si>
  <si>
    <t>Andrea Kofl</t>
  </si>
  <si>
    <t>Moses Stites</t>
  </si>
  <si>
    <t>Grocery/Farmers' Market</t>
  </si>
  <si>
    <t>559-638-8155</t>
  </si>
  <si>
    <t>559-233-6789</t>
  </si>
  <si>
    <t>Adult Education Campus/Community College</t>
  </si>
  <si>
    <t>Amenity Type:</t>
  </si>
  <si>
    <t>Medical Clinic/Hospital</t>
  </si>
  <si>
    <t>Public Elementary/Middle/High School</t>
  </si>
  <si>
    <t>Website:</t>
  </si>
  <si>
    <t>www.adventisthealth.org</t>
  </si>
  <si>
    <t>www.ruraltransit.org</t>
  </si>
  <si>
    <t>Senior Center</t>
  </si>
  <si>
    <t>Distance in miles:</t>
  </si>
  <si>
    <t>1 Miles</t>
  </si>
  <si>
    <t>1/3 Mile</t>
  </si>
  <si>
    <t>Specific Service Oriented Facility</t>
  </si>
  <si>
    <t>SaveMart</t>
  </si>
  <si>
    <t>Reedley City Senior Center</t>
  </si>
  <si>
    <t>Pharmacy</t>
  </si>
  <si>
    <t>1580 E. Manning Ave.</t>
  </si>
  <si>
    <t>In-unit High Speed Internet Service</t>
  </si>
  <si>
    <t>Sean McElhinney</t>
  </si>
  <si>
    <t>Jodi Botello</t>
  </si>
  <si>
    <t>559-638-3988</t>
  </si>
  <si>
    <t>559-637-4207</t>
  </si>
  <si>
    <t>www.savemart.com</t>
  </si>
  <si>
    <t>https:/reedley.ca.gov/community-services/senior-citizens/</t>
  </si>
  <si>
    <t>1 Mile</t>
  </si>
  <si>
    <t>C.F. Mueller Park</t>
  </si>
  <si>
    <t>Helen Bedolla</t>
  </si>
  <si>
    <t>559-637-4203</t>
  </si>
  <si>
    <t>1/2 Mile</t>
  </si>
  <si>
    <t xml:space="preserve">Walgreens </t>
  </si>
  <si>
    <t xml:space="preserve">852 E. Manning Ave. </t>
  </si>
  <si>
    <t>Thai Tran</t>
  </si>
  <si>
    <t>559-643-0367</t>
  </si>
  <si>
    <t>www.walgreens.com</t>
  </si>
  <si>
    <t>Fresno County Library - Reedley Branch</t>
  </si>
  <si>
    <t>1027 E. Street</t>
  </si>
  <si>
    <t>Wendy Eisenberg</t>
  </si>
  <si>
    <t>559-600-6594</t>
  </si>
  <si>
    <t>www.Fresnolibrary.org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</si>
  <si>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</si>
  <si>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</si>
  <si>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</si>
  <si>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</si>
  <si>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</si>
  <si>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</si>
  <si>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</si>
  <si>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</si>
  <si>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</si>
  <si>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</si>
  <si>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</si>
  <si>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</si>
  <si>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</si>
  <si>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</si>
  <si>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</si>
  <si>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</si>
  <si>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</si>
  <si>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</si>
  <si>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</si>
  <si>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</si>
  <si>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</si>
  <si>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</si>
  <si>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</si>
  <si>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</si>
  <si>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</si>
  <si>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</si>
  <si>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</si>
  <si>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</si>
  <si>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</si>
  <si>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</si>
  <si>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</si>
  <si>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</si>
  <si>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</si>
  <si>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</si>
  <si>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</si>
  <si>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</si>
  <si>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</si>
  <si>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</si>
  <si>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</si>
  <si>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</si>
  <si>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</si>
  <si>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</si>
  <si>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</si>
  <si>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</si>
  <si>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</si>
  <si>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</si>
  <si>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</si>
  <si>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</si>
  <si>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</si>
  <si>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</si>
  <si>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</si>
  <si>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</si>
  <si>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</si>
  <si>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</si>
  <si>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</si>
  <si>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</si>
  <si>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</si>
  <si>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</si>
  <si>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</si>
  <si>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</si>
  <si>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</si>
  <si>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</si>
  <si>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</si>
  <si>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</si>
  <si>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</si>
  <si>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</si>
  <si>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</si>
  <si>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</si>
  <si>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</si>
  <si>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</si>
  <si>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</si>
  <si>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</si>
  <si>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</si>
  <si>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</si>
  <si>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</si>
  <si>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</si>
  <si>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</si>
  <si>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</si>
  <si>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</si>
  <si>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</si>
  <si>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</si>
  <si>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</si>
  <si>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</si>
  <si>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</si>
  <si>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</si>
  <si>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</si>
  <si>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</si>
  <si>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</si>
  <si>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</si>
  <si>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</si>
  <si>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</si>
  <si>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</si>
  <si>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</si>
  <si>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</si>
  <si>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</si>
  <si>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</si>
  <si>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</si>
  <si>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</si>
  <si>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</si>
  <si>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</si>
  <si>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</si>
  <si>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</si>
  <si>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</si>
  <si>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</si>
  <si>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</si>
  <si>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</si>
  <si>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</si>
  <si>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</si>
  <si>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</si>
  <si>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</si>
  <si>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</si>
  <si>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</si>
  <si>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</si>
  <si>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</si>
  <si>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</si>
  <si>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</si>
  <si>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</si>
  <si>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</si>
  <si>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</si>
  <si>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</si>
  <si>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</si>
  <si>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</si>
  <si>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</si>
  <si>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</si>
  <si>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</si>
  <si>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</si>
  <si>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</si>
  <si>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</si>
  <si>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</si>
  <si>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</si>
  <si>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</si>
  <si>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</si>
  <si>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</si>
  <si>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</si>
  <si>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</si>
  <si>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</si>
  <si>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</si>
  <si>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</si>
  <si>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</si>
  <si>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</si>
  <si>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</si>
  <si>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</si>
  <si>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</si>
  <si>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</si>
  <si>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</si>
  <si>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</si>
  <si>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</si>
  <si>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</si>
  <si>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</si>
  <si>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</si>
  <si>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</si>
  <si>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</si>
  <si>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</si>
  <si>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</si>
  <si>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</si>
  <si>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</si>
  <si>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</si>
  <si>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</si>
  <si>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</si>
  <si>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</si>
  <si>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</si>
  <si>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</si>
  <si>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</si>
  <si>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</si>
  <si>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</si>
  <si>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</si>
  <si>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</si>
  <si>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</si>
  <si>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</si>
  <si>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</si>
  <si>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</si>
  <si>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</si>
  <si>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</si>
  <si>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</si>
  <si>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</si>
  <si>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</si>
  <si>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</si>
  <si>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</si>
  <si>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</si>
  <si>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</si>
  <si>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</si>
  <si>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</si>
  <si>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</si>
  <si>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</si>
  <si>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</si>
  <si>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</si>
  <si>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</si>
  <si>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</si>
  <si>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</si>
  <si>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</si>
  <si>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</si>
  <si>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</si>
  <si>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</si>
  <si>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</si>
  <si>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</si>
  <si>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</si>
  <si>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</si>
  <si>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</si>
  <si>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</si>
  <si>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</si>
  <si>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</si>
  <si>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</si>
  <si>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</si>
  <si>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</si>
  <si>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</si>
  <si>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</si>
  <si>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</si>
  <si>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</si>
  <si>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</si>
  <si>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</si>
  <si>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</si>
  <si>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</si>
  <si>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</si>
  <si>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</si>
  <si>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</si>
  <si>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</si>
  <si>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</si>
  <si>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</si>
  <si>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</si>
  <si>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</si>
  <si>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</si>
  <si>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</si>
  <si>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</si>
  <si>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</si>
  <si>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</si>
  <si>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</si>
  <si>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</si>
  <si>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</si>
  <si>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</si>
  <si>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</si>
  <si>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</si>
  <si>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</si>
  <si>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</si>
  <si>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</si>
  <si>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</si>
  <si>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</si>
  <si>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</si>
  <si>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</si>
  <si>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</si>
  <si>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</si>
  <si>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</si>
  <si>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</si>
  <si>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</si>
  <si>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</si>
  <si>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</si>
  <si>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</si>
  <si>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</si>
  <si>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</si>
  <si>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</si>
  <si>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</si>
  <si>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</si>
  <si>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</si>
  <si>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</si>
  <si>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</si>
  <si>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</si>
  <si>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</si>
  <si>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</si>
  <si>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</si>
  <si>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</si>
  <si>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</si>
  <si>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</si>
  <si>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</si>
  <si>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</si>
  <si>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</si>
  <si>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</si>
  <si>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</si>
  <si>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</si>
  <si>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</si>
  <si>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</si>
  <si>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</si>
  <si>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</si>
  <si>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</si>
  <si>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</si>
  <si>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</si>
  <si>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</si>
  <si>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</si>
  <si>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</si>
  <si>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</si>
  <si>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</si>
  <si>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</si>
  <si>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</si>
  <si>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</si>
  <si>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</si>
  <si>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</si>
  <si>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</si>
  <si>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</si>
  <si>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</si>
  <si>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</si>
  <si>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</si>
  <si>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</si>
  <si>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</si>
  <si>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</si>
  <si>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</si>
  <si>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</si>
  <si>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</si>
  <si>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</si>
  <si>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</si>
  <si>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</si>
  <si>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</si>
  <si>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</si>
  <si>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</si>
  <si>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</si>
  <si>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</si>
  <si>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</si>
  <si>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</si>
  <si>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</si>
  <si>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</si>
  <si>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</si>
  <si>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</si>
  <si>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</si>
  <si>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</si>
  <si>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</si>
  <si>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</si>
  <si>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</si>
  <si>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</si>
  <si>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</si>
  <si>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</si>
  <si>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</si>
  <si>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</si>
  <si>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</si>
  <si>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</si>
  <si>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</si>
  <si>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</si>
  <si>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</si>
  <si>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</si>
  <si>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</si>
  <si>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</si>
  <si>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</si>
  <si>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</si>
  <si>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</si>
  <si>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</si>
  <si>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</si>
  <si>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</si>
  <si>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</si>
  <si>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</si>
  <si>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</si>
  <si>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</si>
  <si>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</si>
  <si>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</si>
  <si>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</si>
  <si>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</si>
  <si>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</si>
  <si>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</si>
  <si>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</si>
  <si>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</si>
  <si>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</si>
  <si>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</si>
  <si>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</si>
  <si>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</si>
  <si>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</si>
  <si>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</si>
  <si>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</si>
  <si>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</si>
  <si>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</si>
  <si>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</si>
  <si>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</si>
  <si>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</si>
  <si>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</si>
  <si>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</si>
  <si>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</si>
  <si>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</si>
  <si>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</si>
  <si>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</si>
  <si>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</si>
  <si>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</si>
  <si>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</si>
  <si>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</si>
  <si>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</si>
  <si>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</si>
  <si>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</si>
  <si>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</si>
  <si>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</si>
  <si>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</si>
  <si>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</si>
  <si>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</si>
  <si>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</si>
  <si>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</si>
  <si>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</si>
  <si>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</si>
  <si>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</si>
  <si>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</si>
  <si>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</si>
  <si>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</si>
  <si>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</si>
  <si>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</si>
  <si>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</si>
  <si>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</si>
  <si>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</si>
  <si>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</si>
  <si>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</si>
  <si>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</si>
  <si>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</si>
  <si>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</si>
  <si>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</si>
  <si>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</si>
  <si>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</si>
  <si>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</si>
  <si>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</si>
  <si>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</si>
  <si>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</si>
  <si>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</si>
  <si>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</si>
  <si>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</si>
  <si>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</si>
  <si>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</si>
  <si>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</si>
  <si>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</si>
  <si>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</si>
  <si>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</si>
  <si>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</si>
  <si>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</si>
  <si>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</si>
  <si>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</si>
  <si>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</si>
  <si>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</si>
  <si>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</si>
  <si>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</si>
  <si>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</si>
  <si>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GP Partnership Management Fee</t>
  </si>
  <si>
    <t>Total Other Fees</t>
  </si>
  <si>
    <t>Remaining Cash Flow</t>
  </si>
  <si>
    <t>Deferred Developer Fee**</t>
  </si>
  <si>
    <t>Residual or Soft Debt Payments**</t>
  </si>
  <si>
    <t>Sponsor Loan</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</si>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</sst>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5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173"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169" fontId="12" fillId="7" borderId="5" xfId="273" applyNumberFormat="1" applyFill="1" applyBorder="1"/>
    <xf numFmtId="169" fontId="12" fillId="0" borderId="5" xfId="273" applyNumberFormat="1" applyBorder="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9" fillId="5" borderId="0" xfId="0" applyFont="1" applyFill="1" applyAlignment="1">
      <alignment horizontal="center" vertical="center"/>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3" xfId="0" applyBorder="1"/>
    <xf numFmtId="0" fontId="0" fillId="0" borderId="4" xfId="0" applyBorder="1"/>
    <xf numFmtId="0" fontId="0" fillId="0" borderId="8" xfId="0" applyBorder="1"/>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26" t="s">
        <v>0</v>
      </c>
      <c r="B1" s="926"/>
      <c r="C1" s="926"/>
      <c r="D1" s="926"/>
      <c r="E1" s="926"/>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c r="AE1" s="926"/>
      <c r="AF1" s="926"/>
      <c r="AG1" s="926"/>
      <c r="AH1" s="926"/>
      <c r="AI1" s="926"/>
      <c r="AJ1" s="926"/>
      <c r="AK1" s="926"/>
      <c r="AL1" s="927"/>
    </row>
    <row r="2" spans="1:38" ht="13.8" thickBot="1">
      <c r="A2" s="928"/>
      <c r="B2" s="928"/>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928"/>
      <c r="AK2" s="928"/>
      <c r="AL2" s="929"/>
    </row>
    <row r="3" spans="1:38" ht="13.8" thickTop="1"/>
    <row r="4" spans="1:38">
      <c r="A4" s="9"/>
      <c r="B4" s="146" t="s">
        <v>1</v>
      </c>
      <c r="C4" s="146" t="s">
        <v>2</v>
      </c>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25"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65"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7" t="s">
        <v>7</v>
      </c>
      <c r="F26" s="937"/>
      <c r="G26" s="937"/>
      <c r="H26" s="937"/>
      <c r="I26" s="937"/>
      <c r="J26" s="937"/>
      <c r="K26" s="937"/>
      <c r="L26" s="937"/>
      <c r="M26" s="937"/>
      <c r="N26" s="937"/>
      <c r="O26" s="937"/>
      <c r="P26" s="937"/>
      <c r="Q26" s="937"/>
      <c r="R26" s="937"/>
      <c r="S26" s="937"/>
      <c r="T26" s="937"/>
      <c r="U26" s="937"/>
      <c r="V26" s="937"/>
      <c r="W26" s="937"/>
      <c r="X26" s="937"/>
      <c r="Y26" s="937"/>
      <c r="Z26" s="937"/>
      <c r="AA26" s="937"/>
      <c r="AB26" s="937"/>
      <c r="AC26" s="937"/>
      <c r="AD26" s="937"/>
      <c r="AE26" s="937"/>
      <c r="AF26" s="937"/>
      <c r="AG26" s="937"/>
      <c r="AH26" s="937"/>
      <c r="AI26" s="937"/>
      <c r="AJ26" s="937"/>
      <c r="AK26" s="937"/>
    </row>
    <row r="27" spans="1:38">
      <c r="A27" s="37"/>
      <c r="C27" s="3"/>
      <c r="E27" s="937" t="s">
        <v>8</v>
      </c>
      <c r="F27" s="937"/>
      <c r="G27" s="937"/>
      <c r="H27" s="937"/>
      <c r="I27" s="937"/>
      <c r="J27" s="937"/>
      <c r="K27" s="937"/>
      <c r="L27" s="937"/>
      <c r="M27" s="937"/>
      <c r="N27" s="937"/>
      <c r="O27" s="937"/>
      <c r="P27" s="937"/>
      <c r="Q27" s="937"/>
      <c r="R27" s="937"/>
      <c r="S27" s="937"/>
      <c r="T27" s="937"/>
      <c r="U27" s="937"/>
      <c r="V27" s="937"/>
      <c r="W27" s="937"/>
      <c r="X27" s="937"/>
      <c r="Y27" s="937"/>
      <c r="Z27" s="937"/>
      <c r="AA27" s="937"/>
      <c r="AB27" s="937"/>
      <c r="AC27" s="937"/>
      <c r="AD27" s="937"/>
      <c r="AE27" s="937"/>
      <c r="AF27" s="937"/>
      <c r="AG27" s="937"/>
      <c r="AH27" s="937"/>
      <c r="AI27" s="937"/>
      <c r="AJ27" s="937"/>
      <c r="AK27" s="93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6" t="s">
        <v>9</v>
      </c>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6"/>
      <c r="AI29" s="936"/>
      <c r="AJ29" s="936"/>
      <c r="AK29" s="936"/>
      <c r="AL29"/>
    </row>
    <row r="30" spans="1:38">
      <c r="A30" s="37"/>
      <c r="D30" s="936"/>
      <c r="E30" s="936"/>
      <c r="F30" s="936"/>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c r="AG30" s="936"/>
      <c r="AH30" s="936"/>
      <c r="AI30" s="936"/>
      <c r="AJ30" s="936"/>
      <c r="AK30" s="936"/>
    </row>
    <row r="31" spans="1:38">
      <c r="A31" s="37"/>
      <c r="D31" s="136"/>
      <c r="E31" s="938" t="s">
        <v>10</v>
      </c>
      <c r="F31" s="938"/>
      <c r="G31" s="938"/>
      <c r="H31" s="938"/>
      <c r="I31" s="938"/>
      <c r="J31" s="938"/>
      <c r="K31" s="938"/>
      <c r="L31" s="938"/>
      <c r="M31" s="938"/>
      <c r="N31" s="938"/>
      <c r="O31" s="938"/>
      <c r="P31" s="938"/>
      <c r="Q31" s="938"/>
      <c r="R31" s="938"/>
      <c r="S31" s="938"/>
      <c r="T31" s="938"/>
      <c r="U31" s="938"/>
      <c r="V31" s="938"/>
      <c r="W31" s="938"/>
      <c r="X31" s="938"/>
      <c r="Y31" s="938"/>
      <c r="Z31" s="938"/>
      <c r="AA31" s="938"/>
      <c r="AB31" s="938"/>
      <c r="AC31" s="938"/>
      <c r="AD31" s="938"/>
      <c r="AE31" s="938"/>
      <c r="AF31" s="938"/>
      <c r="AG31" s="938"/>
      <c r="AH31" s="938"/>
      <c r="AI31" s="938"/>
      <c r="AJ31" s="938"/>
      <c r="AK31" s="938"/>
    </row>
    <row r="32" spans="1:38">
      <c r="A32" s="37"/>
      <c r="D32" s="136"/>
      <c r="E32" s="938" t="s">
        <v>11</v>
      </c>
      <c r="F32" s="938"/>
      <c r="G32" s="938"/>
      <c r="H32" s="938"/>
      <c r="I32" s="938"/>
      <c r="J32" s="938"/>
      <c r="K32" s="938"/>
      <c r="L32" s="938"/>
      <c r="M32" s="938"/>
      <c r="N32" s="938"/>
      <c r="O32" s="938"/>
      <c r="P32" s="938"/>
      <c r="Q32" s="938"/>
      <c r="R32" s="938"/>
      <c r="S32" s="938"/>
      <c r="T32" s="938"/>
      <c r="U32" s="938"/>
      <c r="V32" s="938"/>
      <c r="W32" s="938"/>
      <c r="X32" s="938"/>
      <c r="Y32" s="938"/>
      <c r="Z32" s="938"/>
      <c r="AA32" s="938"/>
      <c r="AB32" s="938"/>
      <c r="AC32" s="938"/>
      <c r="AD32" s="938"/>
      <c r="AE32" s="938"/>
      <c r="AF32" s="938"/>
      <c r="AG32" s="938"/>
      <c r="AH32" s="938"/>
      <c r="AI32" s="938"/>
      <c r="AJ32" s="938"/>
      <c r="AK32" s="938"/>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1"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58"/>
      <c r="K46" s="858"/>
      <c r="L46" s="858"/>
      <c r="M46" s="858"/>
      <c r="N46" s="858"/>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2" t="s">
        <v>31</v>
      </c>
      <c r="H48" s="932"/>
      <c r="I48" s="932"/>
      <c r="J48" s="932"/>
      <c r="K48" s="932"/>
      <c r="L48" s="932"/>
      <c r="M48" s="932"/>
      <c r="N48" s="932"/>
      <c r="O48" s="932"/>
      <c r="P48" s="932"/>
      <c r="Q48" s="932"/>
      <c r="R48" s="932"/>
      <c r="S48" s="932"/>
      <c r="T48" s="932"/>
      <c r="U48" s="932"/>
      <c r="V48" s="932"/>
      <c r="W48" s="932"/>
      <c r="X48" s="932"/>
      <c r="Y48" s="932"/>
      <c r="Z48" s="932"/>
      <c r="AA48" s="932"/>
      <c r="AB48" s="932"/>
      <c r="AC48" s="932"/>
      <c r="AD48" s="932"/>
      <c r="AE48" s="932"/>
      <c r="AF48" s="932"/>
      <c r="AG48" s="932"/>
      <c r="AH48" s="932"/>
      <c r="AI48" s="932"/>
      <c r="AJ48" s="932"/>
      <c r="AK48" s="932"/>
    </row>
    <row r="49" spans="1:38">
      <c r="A49" s="37"/>
      <c r="C49" s="3"/>
      <c r="D49" s="3"/>
      <c r="E49" s="37"/>
      <c r="F49" s="12"/>
      <c r="G49" s="932"/>
      <c r="H49" s="932"/>
      <c r="I49" s="932"/>
      <c r="J49" s="932"/>
      <c r="K49" s="932"/>
      <c r="L49" s="932"/>
      <c r="M49" s="932"/>
      <c r="N49" s="932"/>
      <c r="O49" s="932"/>
      <c r="P49" s="932"/>
      <c r="Q49" s="932"/>
      <c r="R49" s="932"/>
      <c r="S49" s="932"/>
      <c r="T49" s="932"/>
      <c r="U49" s="932"/>
      <c r="V49" s="932"/>
      <c r="W49" s="932"/>
      <c r="X49" s="932"/>
      <c r="Y49" s="932"/>
      <c r="Z49" s="932"/>
      <c r="AA49" s="932"/>
      <c r="AB49" s="932"/>
      <c r="AC49" s="932"/>
      <c r="AD49" s="932"/>
      <c r="AE49" s="932"/>
      <c r="AF49" s="932"/>
      <c r="AG49" s="932"/>
      <c r="AH49" s="932"/>
      <c r="AI49" s="932"/>
      <c r="AJ49" s="932"/>
      <c r="AK49" s="932"/>
    </row>
    <row r="50" spans="1:38">
      <c r="A50" s="37"/>
      <c r="C50" s="3"/>
      <c r="D50" s="3"/>
      <c r="E50" s="37"/>
      <c r="F50" s="12"/>
      <c r="G50" s="932"/>
      <c r="H50" s="932"/>
      <c r="I50" s="932"/>
      <c r="J50" s="932"/>
      <c r="K50" s="932"/>
      <c r="L50" s="932"/>
      <c r="M50" s="932"/>
      <c r="N50" s="932"/>
      <c r="O50" s="932"/>
      <c r="P50" s="932"/>
      <c r="Q50" s="932"/>
      <c r="R50" s="932"/>
      <c r="S50" s="932"/>
      <c r="T50" s="932"/>
      <c r="U50" s="932"/>
      <c r="V50" s="932"/>
      <c r="W50" s="932"/>
      <c r="X50" s="932"/>
      <c r="Y50" s="932"/>
      <c r="Z50" s="932"/>
      <c r="AA50" s="932"/>
      <c r="AB50" s="932"/>
      <c r="AC50" s="932"/>
      <c r="AD50" s="932"/>
      <c r="AE50" s="932"/>
      <c r="AF50" s="932"/>
      <c r="AG50" s="932"/>
      <c r="AH50" s="932"/>
      <c r="AI50" s="932"/>
      <c r="AJ50" s="932"/>
      <c r="AK50" s="932"/>
    </row>
    <row r="51" spans="1:38">
      <c r="A51" s="37"/>
      <c r="B51" s="3"/>
      <c r="C51" s="3"/>
      <c r="D51" s="3"/>
      <c r="E51" s="37"/>
      <c r="F51" s="12" t="s">
        <v>23</v>
      </c>
      <c r="G51" s="932" t="s">
        <v>32</v>
      </c>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row>
    <row r="52" spans="1:38" s="5" customFormat="1">
      <c r="A52" s="37"/>
      <c r="B52"/>
      <c r="C52" s="3"/>
      <c r="D52" s="3"/>
      <c r="E52" s="37"/>
      <c r="F52" s="1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row>
    <row r="53" spans="1:38">
      <c r="A53" s="37"/>
      <c r="C53" s="3"/>
      <c r="D53" s="3"/>
      <c r="E53" s="37"/>
      <c r="F53" s="1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1" t="s">
        <v>65</v>
      </c>
      <c r="H94" s="931"/>
      <c r="I94" s="931"/>
      <c r="J94" s="931"/>
      <c r="K94" s="931"/>
      <c r="L94" s="931"/>
      <c r="M94" s="931"/>
      <c r="N94" s="931"/>
      <c r="O94" s="931"/>
      <c r="P94" s="931"/>
      <c r="Q94" s="931"/>
      <c r="R94" s="931"/>
      <c r="S94" s="931"/>
      <c r="T94" s="931"/>
      <c r="U94" s="931"/>
      <c r="V94" s="931"/>
      <c r="W94" s="931"/>
      <c r="X94" s="931"/>
      <c r="Y94" s="931"/>
      <c r="Z94" s="931"/>
      <c r="AA94" s="931"/>
      <c r="AB94" s="931"/>
      <c r="AC94" s="931"/>
      <c r="AD94" s="931"/>
      <c r="AE94" s="931"/>
      <c r="AF94" s="931"/>
      <c r="AG94" s="931"/>
      <c r="AH94" s="931"/>
      <c r="AI94" s="931"/>
      <c r="AJ94" s="931"/>
      <c r="AK94" s="931"/>
      <c r="AL94" s="295"/>
    </row>
    <row r="95" spans="1:38">
      <c r="A95" s="295"/>
      <c r="B95" s="295"/>
      <c r="C95" s="302"/>
      <c r="D95" s="295"/>
      <c r="E95" s="295"/>
      <c r="F95" s="295"/>
      <c r="G95" s="931"/>
      <c r="H95" s="931"/>
      <c r="I95" s="931"/>
      <c r="J95" s="931"/>
      <c r="K95" s="931"/>
      <c r="L95" s="931"/>
      <c r="M95" s="931"/>
      <c r="N95" s="931"/>
      <c r="O95" s="931"/>
      <c r="P95" s="931"/>
      <c r="Q95" s="931"/>
      <c r="R95" s="931"/>
      <c r="S95" s="931"/>
      <c r="T95" s="931"/>
      <c r="U95" s="931"/>
      <c r="V95" s="931"/>
      <c r="W95" s="931"/>
      <c r="X95" s="931"/>
      <c r="Y95" s="931"/>
      <c r="Z95" s="931"/>
      <c r="AA95" s="931"/>
      <c r="AB95" s="931"/>
      <c r="AC95" s="931"/>
      <c r="AD95" s="931"/>
      <c r="AE95" s="931"/>
      <c r="AF95" s="931"/>
      <c r="AG95" s="931"/>
      <c r="AH95" s="931"/>
      <c r="AI95" s="931"/>
      <c r="AJ95" s="931"/>
      <c r="AK95" s="931"/>
      <c r="AL95" s="295"/>
    </row>
    <row r="96" spans="1:38">
      <c r="A96" s="295"/>
      <c r="B96" s="295"/>
      <c r="C96" s="302"/>
      <c r="D96" s="295"/>
      <c r="E96" s="295"/>
      <c r="F96" s="295"/>
      <c r="G96" s="931"/>
      <c r="H96" s="931"/>
      <c r="I96" s="931"/>
      <c r="J96" s="931"/>
      <c r="K96" s="931"/>
      <c r="L96" s="931"/>
      <c r="M96" s="931"/>
      <c r="N96" s="931"/>
      <c r="O96" s="931"/>
      <c r="P96" s="931"/>
      <c r="Q96" s="931"/>
      <c r="R96" s="931"/>
      <c r="S96" s="931"/>
      <c r="T96" s="931"/>
      <c r="U96" s="931"/>
      <c r="V96" s="931"/>
      <c r="W96" s="931"/>
      <c r="X96" s="931"/>
      <c r="Y96" s="931"/>
      <c r="Z96" s="931"/>
      <c r="AA96" s="931"/>
      <c r="AB96" s="931"/>
      <c r="AC96" s="931"/>
      <c r="AD96" s="931"/>
      <c r="AE96" s="931"/>
      <c r="AF96" s="931"/>
      <c r="AG96" s="931"/>
      <c r="AH96" s="931"/>
      <c r="AI96" s="931"/>
      <c r="AJ96" s="931"/>
      <c r="AK96" s="931"/>
      <c r="AL96" s="295"/>
    </row>
    <row r="97" spans="1:38">
      <c r="A97" s="295"/>
      <c r="B97" s="295"/>
      <c r="C97" s="302"/>
      <c r="D97" s="295"/>
      <c r="E97" s="295"/>
      <c r="F97" s="295"/>
      <c r="G97" s="931"/>
      <c r="H97" s="931"/>
      <c r="I97" s="931"/>
      <c r="J97" s="931"/>
      <c r="K97" s="931"/>
      <c r="L97" s="931"/>
      <c r="M97" s="931"/>
      <c r="N97" s="931"/>
      <c r="O97" s="931"/>
      <c r="P97" s="931"/>
      <c r="Q97" s="931"/>
      <c r="R97" s="931"/>
      <c r="S97" s="931"/>
      <c r="T97" s="931"/>
      <c r="U97" s="931"/>
      <c r="V97" s="931"/>
      <c r="W97" s="931"/>
      <c r="X97" s="931"/>
      <c r="Y97" s="931"/>
      <c r="Z97" s="931"/>
      <c r="AA97" s="931"/>
      <c r="AB97" s="931"/>
      <c r="AC97" s="931"/>
      <c r="AD97" s="931"/>
      <c r="AE97" s="931"/>
      <c r="AF97" s="931"/>
      <c r="AG97" s="931"/>
      <c r="AH97" s="931"/>
      <c r="AI97" s="931"/>
      <c r="AJ97" s="931"/>
      <c r="AK97" s="931"/>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0"/>
      <c r="E112" s="935" t="s">
        <v>79</v>
      </c>
      <c r="F112" s="935"/>
      <c r="G112" s="935"/>
      <c r="H112" s="935"/>
      <c r="I112" s="935"/>
      <c r="J112" s="935"/>
      <c r="K112" s="935"/>
      <c r="L112" s="935"/>
      <c r="M112" s="935"/>
      <c r="N112" s="935"/>
      <c r="O112" s="935"/>
      <c r="P112" s="935"/>
      <c r="Q112" s="935"/>
      <c r="R112" s="935"/>
      <c r="S112" s="935"/>
      <c r="T112" s="935"/>
      <c r="U112" s="935"/>
      <c r="V112" s="935"/>
      <c r="W112" s="935"/>
      <c r="X112" s="935"/>
      <c r="Y112" s="935"/>
      <c r="Z112" s="935"/>
      <c r="AA112" s="935"/>
      <c r="AB112" s="935"/>
      <c r="AC112" s="935"/>
      <c r="AD112" s="935"/>
      <c r="AE112" s="935"/>
      <c r="AF112" s="935"/>
      <c r="AG112" s="935"/>
      <c r="AH112" s="935"/>
      <c r="AI112" s="935"/>
      <c r="AJ112" s="935"/>
      <c r="AK112" s="935"/>
    </row>
    <row r="113" spans="1:38">
      <c r="A113" s="37"/>
      <c r="D113" s="560"/>
      <c r="E113" s="935"/>
      <c r="F113" s="935"/>
      <c r="G113" s="935"/>
      <c r="H113" s="935"/>
      <c r="I113" s="935"/>
      <c r="J113" s="935"/>
      <c r="K113" s="935"/>
      <c r="L113" s="935"/>
      <c r="M113" s="935"/>
      <c r="N113" s="935"/>
      <c r="O113" s="935"/>
      <c r="P113" s="935"/>
      <c r="Q113" s="935"/>
      <c r="R113" s="935"/>
      <c r="S113" s="935"/>
      <c r="T113" s="935"/>
      <c r="U113" s="935"/>
      <c r="V113" s="935"/>
      <c r="W113" s="935"/>
      <c r="X113" s="935"/>
      <c r="Y113" s="935"/>
      <c r="Z113" s="935"/>
      <c r="AA113" s="935"/>
      <c r="AB113" s="935"/>
      <c r="AC113" s="935"/>
      <c r="AD113" s="935"/>
      <c r="AE113" s="935"/>
      <c r="AF113" s="935"/>
      <c r="AG113" s="935"/>
      <c r="AH113" s="935"/>
      <c r="AI113" s="935"/>
      <c r="AJ113" s="935"/>
      <c r="AK113" s="935"/>
    </row>
    <row r="114" spans="1:38" ht="12.75" customHeight="1">
      <c r="A114" s="37"/>
      <c r="B114" s="561"/>
      <c r="C114" s="560"/>
      <c r="D114" s="560"/>
      <c r="E114" s="561"/>
      <c r="F114" s="560"/>
      <c r="G114" s="560"/>
      <c r="H114" s="560"/>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0" t="s">
        <v>94</v>
      </c>
      <c r="G132" s="560"/>
    </row>
    <row r="133" spans="2:14">
      <c r="G133" s="560"/>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46"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5"/>
      <c r="F239" s="335"/>
      <c r="G239" s="335"/>
      <c r="H239" s="335"/>
      <c r="I239" s="335"/>
      <c r="J239" s="335"/>
      <c r="K239" s="9"/>
      <c r="L239" s="335"/>
      <c r="M239" s="335"/>
      <c r="N239" s="335"/>
      <c r="O239" s="335"/>
      <c r="P239" s="335"/>
      <c r="Q239" s="335"/>
      <c r="R239" s="335"/>
      <c r="S239" s="335"/>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2" t="s">
        <v>217</v>
      </c>
      <c r="G286" s="37"/>
      <c r="H286" s="562"/>
      <c r="I286" s="562"/>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5"/>
      <c r="K331" s="335"/>
      <c r="L331" s="335"/>
      <c r="M331" s="335"/>
      <c r="N331" s="335"/>
      <c r="O331" s="335"/>
      <c r="P331" s="335"/>
      <c r="Q331" s="335"/>
      <c r="R331" s="335"/>
      <c r="S331" s="335"/>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2" t="s">
        <v>262</v>
      </c>
      <c r="F343" s="932"/>
      <c r="G343" s="932"/>
      <c r="H343" s="932"/>
      <c r="I343" s="932"/>
      <c r="J343" s="932"/>
      <c r="K343" s="932"/>
      <c r="L343" s="932"/>
      <c r="M343" s="932"/>
      <c r="N343" s="932"/>
      <c r="O343" s="932"/>
      <c r="P343" s="932"/>
      <c r="Q343" s="932"/>
      <c r="R343" s="932"/>
      <c r="S343" s="932"/>
      <c r="T343" s="932"/>
      <c r="U343" s="932"/>
      <c r="V343" s="932"/>
      <c r="W343" s="932"/>
      <c r="X343" s="932"/>
      <c r="Y343" s="932"/>
      <c r="Z343" s="932"/>
      <c r="AA343" s="932"/>
      <c r="AB343" s="932"/>
      <c r="AC343" s="932"/>
      <c r="AD343" s="932"/>
      <c r="AE343" s="932"/>
      <c r="AF343" s="932"/>
      <c r="AG343" s="932"/>
      <c r="AH343" s="932"/>
      <c r="AI343" s="932"/>
      <c r="AJ343" s="932"/>
      <c r="AK343" s="932"/>
    </row>
    <row r="344" spans="2:37">
      <c r="B344" s="3"/>
      <c r="E344" s="932"/>
      <c r="F344" s="932"/>
      <c r="G344" s="932"/>
      <c r="H344" s="932"/>
      <c r="I344" s="932"/>
      <c r="J344" s="932"/>
      <c r="K344" s="932"/>
      <c r="L344" s="932"/>
      <c r="M344" s="932"/>
      <c r="N344" s="932"/>
      <c r="O344" s="932"/>
      <c r="P344" s="932"/>
      <c r="Q344" s="932"/>
      <c r="R344" s="932"/>
      <c r="S344" s="932"/>
      <c r="T344" s="932"/>
      <c r="U344" s="932"/>
      <c r="V344" s="932"/>
      <c r="W344" s="932"/>
      <c r="X344" s="932"/>
      <c r="Y344" s="932"/>
      <c r="Z344" s="932"/>
      <c r="AA344" s="932"/>
      <c r="AB344" s="932"/>
      <c r="AC344" s="932"/>
      <c r="AD344" s="932"/>
      <c r="AE344" s="932"/>
      <c r="AF344" s="932"/>
      <c r="AG344" s="932"/>
      <c r="AH344" s="932"/>
      <c r="AI344" s="932"/>
      <c r="AJ344" s="932"/>
      <c r="AK344" s="932"/>
    </row>
    <row r="345" spans="2:37">
      <c r="B345" s="3"/>
      <c r="E345" s="932"/>
      <c r="F345" s="932"/>
      <c r="G345" s="932"/>
      <c r="H345" s="932"/>
      <c r="I345" s="932"/>
      <c r="J345" s="932"/>
      <c r="K345" s="932"/>
      <c r="L345" s="932"/>
      <c r="M345" s="932"/>
      <c r="N345" s="932"/>
      <c r="O345" s="932"/>
      <c r="P345" s="932"/>
      <c r="Q345" s="932"/>
      <c r="R345" s="932"/>
      <c r="S345" s="932"/>
      <c r="T345" s="932"/>
      <c r="U345" s="932"/>
      <c r="V345" s="932"/>
      <c r="W345" s="932"/>
      <c r="X345" s="932"/>
      <c r="Y345" s="932"/>
      <c r="Z345" s="932"/>
      <c r="AA345" s="932"/>
      <c r="AB345" s="932"/>
      <c r="AC345" s="932"/>
      <c r="AD345" s="932"/>
      <c r="AE345" s="932"/>
      <c r="AF345" s="932"/>
      <c r="AG345" s="932"/>
      <c r="AH345" s="932"/>
      <c r="AI345" s="932"/>
      <c r="AJ345" s="932"/>
      <c r="AK345" s="932"/>
    </row>
    <row r="346" spans="2:37">
      <c r="B346" s="3"/>
      <c r="E346" s="932"/>
      <c r="F346" s="932"/>
      <c r="G346" s="932"/>
      <c r="H346" s="932"/>
      <c r="I346" s="932"/>
      <c r="J346" s="932"/>
      <c r="K346" s="932"/>
      <c r="L346" s="932"/>
      <c r="M346" s="932"/>
      <c r="N346" s="932"/>
      <c r="O346" s="932"/>
      <c r="P346" s="932"/>
      <c r="Q346" s="932"/>
      <c r="R346" s="932"/>
      <c r="S346" s="932"/>
      <c r="T346" s="932"/>
      <c r="U346" s="932"/>
      <c r="V346" s="932"/>
      <c r="W346" s="932"/>
      <c r="X346" s="932"/>
      <c r="Y346" s="932"/>
      <c r="Z346" s="932"/>
      <c r="AA346" s="932"/>
      <c r="AB346" s="932"/>
      <c r="AC346" s="932"/>
      <c r="AD346" s="932"/>
      <c r="AE346" s="932"/>
      <c r="AF346" s="932"/>
      <c r="AG346" s="932"/>
      <c r="AH346" s="932"/>
      <c r="AI346" s="932"/>
      <c r="AJ346" s="932"/>
      <c r="AK346" s="932"/>
    </row>
    <row r="347" spans="2:37">
      <c r="B347" s="3"/>
      <c r="E347" s="932"/>
      <c r="F347" s="932"/>
      <c r="G347" s="932"/>
      <c r="H347" s="932"/>
      <c r="I347" s="932"/>
      <c r="J347" s="932"/>
      <c r="K347" s="932"/>
      <c r="L347" s="932"/>
      <c r="M347" s="932"/>
      <c r="N347" s="932"/>
      <c r="O347" s="932"/>
      <c r="P347" s="932"/>
      <c r="Q347" s="932"/>
      <c r="R347" s="932"/>
      <c r="S347" s="932"/>
      <c r="T347" s="932"/>
      <c r="U347" s="932"/>
      <c r="V347" s="932"/>
      <c r="W347" s="932"/>
      <c r="X347" s="932"/>
      <c r="Y347" s="932"/>
      <c r="Z347" s="932"/>
      <c r="AA347" s="932"/>
      <c r="AB347" s="932"/>
      <c r="AC347" s="932"/>
      <c r="AD347" s="932"/>
      <c r="AE347" s="932"/>
      <c r="AF347" s="932"/>
      <c r="AG347" s="932"/>
      <c r="AH347" s="932"/>
      <c r="AI347" s="932"/>
      <c r="AJ347" s="932"/>
      <c r="AK347" s="932"/>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5"/>
      <c r="N356" s="335"/>
      <c r="O356" s="335"/>
      <c r="P356" s="335"/>
      <c r="Q356" s="335"/>
      <c r="R356" s="335"/>
      <c r="S356" s="335"/>
      <c r="T356" s="335"/>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4" customFormat="1">
      <c r="A365"/>
      <c r="B365" s="3"/>
      <c r="C365"/>
      <c r="D365"/>
      <c r="E365" s="934" t="s">
        <v>274</v>
      </c>
    </row>
    <row r="366" spans="1:38" s="934" customFormat="1">
      <c r="A366"/>
      <c r="B366" s="3"/>
      <c r="C366"/>
      <c r="D366"/>
    </row>
    <row r="367" spans="1:38">
      <c r="B367" s="3"/>
      <c r="F367" s="933" t="s">
        <v>275</v>
      </c>
      <c r="G367" s="933"/>
      <c r="H367" s="933"/>
      <c r="I367" s="933"/>
      <c r="J367" s="933"/>
      <c r="K367" s="933"/>
      <c r="L367" s="933"/>
      <c r="M367" s="933"/>
      <c r="N367" s="933"/>
      <c r="O367" s="933"/>
      <c r="P367" s="933"/>
      <c r="Q367" s="933"/>
      <c r="R367" s="933"/>
      <c r="S367" s="933"/>
      <c r="T367" s="933"/>
      <c r="U367" s="933"/>
      <c r="V367" s="933"/>
      <c r="W367" s="933"/>
      <c r="X367" s="933"/>
      <c r="Y367" s="933"/>
      <c r="Z367" s="933"/>
      <c r="AA367" s="933"/>
      <c r="AB367" s="933"/>
      <c r="AC367" s="933"/>
      <c r="AD367" s="933"/>
      <c r="AE367" s="933"/>
      <c r="AF367" s="933"/>
      <c r="AG367" s="933"/>
      <c r="AH367" s="933"/>
      <c r="AI367" s="933"/>
      <c r="AJ367" s="933"/>
      <c r="AK367" s="933"/>
      <c r="AL367" s="933"/>
    </row>
    <row r="368" spans="1:38">
      <c r="B368" s="3"/>
      <c r="F368" s="933"/>
      <c r="G368" s="933"/>
      <c r="H368" s="933"/>
      <c r="I368" s="933"/>
      <c r="J368" s="933"/>
      <c r="K368" s="933"/>
      <c r="L368" s="933"/>
      <c r="M368" s="933"/>
      <c r="N368" s="933"/>
      <c r="O368" s="933"/>
      <c r="P368" s="933"/>
      <c r="Q368" s="933"/>
      <c r="R368" s="933"/>
      <c r="S368" s="933"/>
      <c r="T368" s="933"/>
      <c r="U368" s="933"/>
      <c r="V368" s="933"/>
      <c r="W368" s="933"/>
      <c r="X368" s="933"/>
      <c r="Y368" s="933"/>
      <c r="Z368" s="933"/>
      <c r="AA368" s="933"/>
      <c r="AB368" s="933"/>
      <c r="AC368" s="933"/>
      <c r="AD368" s="933"/>
      <c r="AE368" s="933"/>
      <c r="AF368" s="933"/>
      <c r="AG368" s="933"/>
      <c r="AH368" s="933"/>
      <c r="AI368" s="933"/>
      <c r="AJ368" s="933"/>
      <c r="AK368" s="933"/>
      <c r="AL368" s="933"/>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3"/>
      <c r="J378" s="37"/>
      <c r="K378" s="37"/>
      <c r="L378" s="37"/>
      <c r="M378" s="37"/>
      <c r="N378" s="37"/>
      <c r="O378" s="37"/>
      <c r="P378" s="37"/>
      <c r="Q378" s="37"/>
      <c r="R378" s="37"/>
      <c r="S378" s="37"/>
    </row>
    <row r="379" spans="2:19">
      <c r="B379" s="3"/>
      <c r="E379" s="37"/>
      <c r="F379" s="37" t="s">
        <v>284</v>
      </c>
      <c r="G379" s="37"/>
      <c r="I379" s="563"/>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3"/>
      <c r="J389" s="37"/>
      <c r="K389" s="37"/>
      <c r="L389" s="37"/>
      <c r="M389" s="37"/>
      <c r="N389" s="37"/>
      <c r="O389" s="37"/>
      <c r="P389" s="37"/>
      <c r="Q389" s="37"/>
      <c r="R389" s="37"/>
      <c r="S389" s="37"/>
    </row>
    <row r="390" spans="1:38">
      <c r="B390" s="3"/>
      <c r="E390" s="37"/>
      <c r="F390" s="37" t="s">
        <v>292</v>
      </c>
      <c r="G390" s="37"/>
      <c r="I390" s="563"/>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5"/>
      <c r="G393" s="335"/>
      <c r="H393" s="335"/>
      <c r="I393" s="335"/>
      <c r="J393" s="335"/>
      <c r="K393" s="335"/>
      <c r="L393" s="335"/>
      <c r="M393" s="335"/>
      <c r="N393" s="335"/>
      <c r="O393" s="335"/>
      <c r="P393" s="335"/>
      <c r="Q393" s="335"/>
      <c r="R393" s="335"/>
      <c r="S393" s="335"/>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5"/>
      <c r="G408" s="335"/>
      <c r="H408" s="335"/>
      <c r="I408" s="335"/>
      <c r="J408" s="335"/>
      <c r="K408" s="335"/>
      <c r="L408" s="335"/>
      <c r="M408" s="335"/>
      <c r="N408" s="335"/>
      <c r="O408" s="335"/>
      <c r="P408" s="335"/>
      <c r="Q408" s="335"/>
      <c r="R408" s="335"/>
      <c r="S408" s="335"/>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77" workbookViewId="0">
      <selection activeCell="E45" sqref="E45"/>
    </sheetView>
  </sheetViews>
  <sheetFormatPr defaultColWidth="0" defaultRowHeight="15" customHeight="1"/>
  <cols>
    <col min="1" max="1" width="3.44140625" style="646" customWidth="1"/>
    <col min="2" max="4" width="17.44140625" style="646" customWidth="1"/>
    <col min="5" max="5" width="15.44140625" style="646" customWidth="1"/>
    <col min="6" max="6" width="2.44140625" style="646" customWidth="1"/>
    <col min="7" max="7" width="14.44140625" style="646" customWidth="1"/>
    <col min="8" max="9" width="2.44140625" style="646" customWidth="1"/>
    <col min="10" max="10" width="3.44140625" style="646" customWidth="1"/>
    <col min="11" max="14" width="2.44140625" style="646" customWidth="1"/>
    <col min="15" max="15" width="43.44140625" style="646" customWidth="1"/>
    <col min="16" max="16" width="7.44140625" style="646" customWidth="1"/>
    <col min="17" max="17" width="3.44140625" style="646" customWidth="1"/>
    <col min="18" max="19" width="10.44140625" style="646" customWidth="1"/>
    <col min="20" max="20" width="8.88671875" style="646" customWidth="1"/>
    <col min="21" max="16384" width="8.88671875" style="646" hidden="1"/>
  </cols>
  <sheetData>
    <row r="1" spans="1:19" ht="15" customHeight="1">
      <c r="A1" s="1837" t="s">
        <v>2292</v>
      </c>
      <c r="B1" s="1837"/>
      <c r="C1" s="1837"/>
      <c r="D1" s="1837"/>
      <c r="E1" s="1837"/>
      <c r="F1" s="1837"/>
      <c r="G1" s="1837"/>
      <c r="H1" s="1837"/>
      <c r="I1" s="1837"/>
      <c r="J1" s="1837"/>
      <c r="K1" s="1837"/>
      <c r="L1" s="1837"/>
      <c r="M1" s="1837"/>
      <c r="N1" s="1837"/>
      <c r="O1" s="1837"/>
      <c r="P1" s="1837"/>
      <c r="Q1" s="1837"/>
      <c r="R1" s="1837"/>
      <c r="S1" s="1837"/>
    </row>
    <row r="2" spans="1:19" ht="15" customHeight="1">
      <c r="A2" s="1837"/>
      <c r="B2" s="1837"/>
      <c r="C2" s="1837"/>
      <c r="D2" s="1837"/>
      <c r="E2" s="1837"/>
      <c r="F2" s="1837"/>
      <c r="G2" s="1837"/>
      <c r="H2" s="1837"/>
      <c r="I2" s="1837"/>
      <c r="J2" s="1837"/>
      <c r="K2" s="1837"/>
      <c r="L2" s="1837"/>
      <c r="M2" s="1837"/>
      <c r="N2" s="1837"/>
      <c r="O2" s="1837"/>
      <c r="P2" s="1837"/>
      <c r="Q2" s="1837"/>
      <c r="R2" s="1837"/>
      <c r="S2" s="1837"/>
    </row>
    <row r="3" spans="1:19" ht="15" customHeight="1">
      <c r="A3" s="418"/>
      <c r="B3" s="418"/>
      <c r="C3" s="418"/>
      <c r="D3" s="418"/>
      <c r="E3" s="418"/>
      <c r="F3" s="418"/>
      <c r="G3" s="418"/>
      <c r="H3" s="418"/>
      <c r="I3" s="418"/>
      <c r="J3" s="418"/>
      <c r="K3" s="418"/>
      <c r="L3" s="418"/>
      <c r="M3" s="418"/>
      <c r="N3" s="418"/>
      <c r="O3" s="418"/>
      <c r="P3" s="418"/>
      <c r="Q3" s="418"/>
      <c r="R3" s="418"/>
    </row>
    <row r="4" spans="1:19" ht="15" customHeight="1">
      <c r="A4" s="418"/>
      <c r="B4" s="1822" t="s">
        <v>2293</v>
      </c>
      <c r="C4" s="1822"/>
      <c r="D4" s="1822"/>
      <c r="E4" s="1822"/>
      <c r="F4" s="1822"/>
      <c r="G4" s="1822"/>
      <c r="H4" s="1822"/>
      <c r="I4" s="1822"/>
      <c r="J4" s="1822"/>
      <c r="K4" s="1822"/>
      <c r="L4" s="1822"/>
      <c r="M4" s="1822"/>
      <c r="N4" s="1822"/>
      <c r="O4" s="1822"/>
      <c r="P4" s="1822"/>
      <c r="Q4" s="1822"/>
      <c r="R4" s="1822"/>
    </row>
    <row r="5" spans="1:19" ht="15" customHeight="1">
      <c r="A5" s="418"/>
      <c r="B5" s="1822"/>
      <c r="C5" s="1822"/>
      <c r="D5" s="1822"/>
      <c r="E5" s="1822"/>
      <c r="F5" s="1822"/>
      <c r="G5" s="1822"/>
      <c r="H5" s="1822"/>
      <c r="I5" s="1822"/>
      <c r="J5" s="1822"/>
      <c r="K5" s="1822"/>
      <c r="L5" s="1822"/>
      <c r="M5" s="1822"/>
      <c r="N5" s="1822"/>
      <c r="O5" s="1822"/>
      <c r="P5" s="1822"/>
      <c r="Q5" s="1822"/>
      <c r="R5" s="1822"/>
    </row>
    <row r="6" spans="1:19" ht="15" customHeight="1">
      <c r="A6" s="418"/>
      <c r="B6" s="1822"/>
      <c r="C6" s="1822"/>
      <c r="D6" s="1822"/>
      <c r="E6" s="1822"/>
      <c r="F6" s="1822"/>
      <c r="G6" s="1822"/>
      <c r="H6" s="1822"/>
      <c r="I6" s="1822"/>
      <c r="J6" s="1822"/>
      <c r="K6" s="1822"/>
      <c r="L6" s="1822"/>
      <c r="M6" s="1822"/>
      <c r="N6" s="1822"/>
      <c r="O6" s="1822"/>
      <c r="P6" s="1822"/>
      <c r="Q6" s="1822"/>
      <c r="R6" s="1822"/>
    </row>
    <row r="7" spans="1:19" ht="15" customHeight="1">
      <c r="A7" s="418"/>
      <c r="B7" s="553"/>
      <c r="C7" s="553"/>
      <c r="D7" s="553"/>
      <c r="E7" s="553"/>
      <c r="F7" s="553"/>
      <c r="G7" s="553"/>
      <c r="H7" s="553"/>
      <c r="I7" s="553"/>
      <c r="J7" s="553"/>
      <c r="K7" s="553"/>
      <c r="L7" s="553"/>
      <c r="M7" s="553"/>
      <c r="N7" s="553"/>
      <c r="O7" s="553"/>
      <c r="P7" s="553"/>
      <c r="Q7" s="553"/>
      <c r="R7" s="553"/>
    </row>
    <row r="8" spans="1:19" ht="32.25" customHeight="1">
      <c r="A8" s="418"/>
      <c r="B8" s="1822" t="s">
        <v>2294</v>
      </c>
      <c r="C8" s="1822"/>
      <c r="D8" s="1822"/>
      <c r="E8" s="1822"/>
      <c r="F8" s="1822"/>
      <c r="G8" s="1822"/>
      <c r="H8" s="1822"/>
      <c r="I8" s="1822"/>
      <c r="J8" s="1822"/>
      <c r="K8" s="1822"/>
      <c r="L8" s="1822"/>
      <c r="M8" s="1822"/>
      <c r="N8" s="1822"/>
      <c r="O8" s="1822"/>
      <c r="P8" s="1822"/>
      <c r="Q8" s="1822"/>
      <c r="R8" s="1822"/>
    </row>
    <row r="9" spans="1:19" ht="15" customHeight="1">
      <c r="A9" s="418"/>
      <c r="B9" s="311"/>
      <c r="C9" s="418"/>
      <c r="D9" s="418"/>
      <c r="E9" s="418"/>
      <c r="F9" s="418"/>
      <c r="G9" s="418"/>
      <c r="H9" s="418"/>
      <c r="I9" s="418"/>
      <c r="J9" s="418"/>
      <c r="K9" s="418"/>
      <c r="L9" s="418"/>
      <c r="M9" s="418"/>
      <c r="N9" s="418"/>
      <c r="O9" s="418"/>
      <c r="P9" s="418"/>
      <c r="Q9" s="418"/>
      <c r="R9" s="418"/>
    </row>
    <row r="10" spans="1:19" ht="15" customHeight="1">
      <c r="A10" s="418"/>
      <c r="B10" s="1822" t="s">
        <v>2295</v>
      </c>
      <c r="C10" s="1822"/>
      <c r="D10" s="1822"/>
      <c r="E10" s="1822"/>
      <c r="F10" s="1822"/>
      <c r="G10" s="1822"/>
      <c r="H10" s="1822"/>
      <c r="I10" s="1822"/>
      <c r="J10" s="1822"/>
      <c r="K10" s="1822"/>
      <c r="L10" s="1822"/>
      <c r="M10" s="1822"/>
      <c r="N10" s="1822"/>
      <c r="O10" s="1822"/>
      <c r="P10" s="1822"/>
      <c r="Q10" s="1822"/>
      <c r="R10" s="1822"/>
    </row>
    <row r="11" spans="1:19" ht="29.25" customHeight="1">
      <c r="A11" s="418"/>
      <c r="B11" s="1822"/>
      <c r="C11" s="1822"/>
      <c r="D11" s="1822"/>
      <c r="E11" s="1822"/>
      <c r="F11" s="1822"/>
      <c r="G11" s="1822"/>
      <c r="H11" s="1822"/>
      <c r="I11" s="1822"/>
      <c r="J11" s="1822"/>
      <c r="K11" s="1822"/>
      <c r="L11" s="1822"/>
      <c r="M11" s="1822"/>
      <c r="N11" s="1822"/>
      <c r="O11" s="1822"/>
      <c r="P11" s="1822"/>
      <c r="Q11" s="1822"/>
      <c r="R11" s="1822"/>
    </row>
    <row r="12" spans="1:19" ht="15" customHeight="1">
      <c r="A12" s="418"/>
      <c r="B12" s="553"/>
      <c r="C12" s="553"/>
      <c r="D12" s="553"/>
      <c r="E12" s="553"/>
      <c r="F12" s="553"/>
      <c r="G12" s="553"/>
      <c r="H12" s="553"/>
      <c r="I12" s="553"/>
      <c r="J12" s="553"/>
      <c r="K12" s="553"/>
      <c r="L12" s="553"/>
      <c r="M12" s="553"/>
      <c r="N12" s="553"/>
      <c r="O12" s="553"/>
      <c r="P12" s="553"/>
      <c r="Q12" s="553"/>
      <c r="R12" s="553"/>
    </row>
    <row r="13" spans="1:19" ht="15" customHeight="1">
      <c r="A13" s="418"/>
      <c r="B13" s="1822" t="s">
        <v>2296</v>
      </c>
      <c r="C13" s="1822"/>
      <c r="D13" s="1822"/>
      <c r="E13" s="1822"/>
      <c r="F13" s="1822"/>
      <c r="G13" s="1822"/>
      <c r="H13" s="1822"/>
      <c r="I13" s="1822"/>
      <c r="J13" s="1822"/>
      <c r="K13" s="1822"/>
      <c r="L13" s="1822"/>
      <c r="M13" s="1822"/>
      <c r="N13" s="1822"/>
      <c r="O13" s="1822"/>
      <c r="P13" s="1822"/>
      <c r="Q13" s="1822"/>
      <c r="R13" s="1822"/>
    </row>
    <row r="14" spans="1:19" ht="15" customHeight="1">
      <c r="A14" s="418"/>
      <c r="B14" s="1822"/>
      <c r="C14" s="1822"/>
      <c r="D14" s="1822"/>
      <c r="E14" s="1822"/>
      <c r="F14" s="1822"/>
      <c r="G14" s="1822"/>
      <c r="H14" s="1822"/>
      <c r="I14" s="1822"/>
      <c r="J14" s="1822"/>
      <c r="K14" s="1822"/>
      <c r="L14" s="1822"/>
      <c r="M14" s="1822"/>
      <c r="N14" s="1822"/>
      <c r="O14" s="1822"/>
      <c r="P14" s="1822"/>
      <c r="Q14" s="1822"/>
      <c r="R14" s="1822"/>
    </row>
    <row r="15" spans="1:19" ht="15" customHeight="1">
      <c r="A15" s="418"/>
      <c r="B15" s="1822"/>
      <c r="C15" s="1822"/>
      <c r="D15" s="1822"/>
      <c r="E15" s="1822"/>
      <c r="F15" s="1822"/>
      <c r="G15" s="1822"/>
      <c r="H15" s="1822"/>
      <c r="I15" s="1822"/>
      <c r="J15" s="1822"/>
      <c r="K15" s="1822"/>
      <c r="L15" s="1822"/>
      <c r="M15" s="1822"/>
      <c r="N15" s="1822"/>
      <c r="O15" s="1822"/>
      <c r="P15" s="1822"/>
      <c r="Q15" s="1822"/>
      <c r="R15" s="1822"/>
    </row>
    <row r="16" spans="1:19" ht="15" customHeight="1">
      <c r="A16" s="418"/>
      <c r="B16" s="1822"/>
      <c r="C16" s="1822"/>
      <c r="D16" s="1822"/>
      <c r="E16" s="1822"/>
      <c r="F16" s="1822"/>
      <c r="G16" s="1822"/>
      <c r="H16" s="1822"/>
      <c r="I16" s="1822"/>
      <c r="J16" s="1822"/>
      <c r="K16" s="1822"/>
      <c r="L16" s="1822"/>
      <c r="M16" s="1822"/>
      <c r="N16" s="1822"/>
      <c r="O16" s="1822"/>
      <c r="P16" s="1822"/>
      <c r="Q16" s="1822"/>
      <c r="R16" s="1822"/>
    </row>
    <row r="17" spans="1:18" ht="15" customHeight="1">
      <c r="A17" s="418"/>
      <c r="B17" s="1822"/>
      <c r="C17" s="1822"/>
      <c r="D17" s="1822"/>
      <c r="E17" s="1822"/>
      <c r="F17" s="1822"/>
      <c r="G17" s="1822"/>
      <c r="H17" s="1822"/>
      <c r="I17" s="1822"/>
      <c r="J17" s="1822"/>
      <c r="K17" s="1822"/>
      <c r="L17" s="1822"/>
      <c r="M17" s="1822"/>
      <c r="N17" s="1822"/>
      <c r="O17" s="1822"/>
      <c r="P17" s="1822"/>
      <c r="Q17" s="1822"/>
      <c r="R17" s="1822"/>
    </row>
    <row r="18" spans="1:18" ht="15" customHeight="1">
      <c r="A18" s="418"/>
      <c r="B18" s="311"/>
      <c r="C18" s="418"/>
      <c r="D18" s="418"/>
      <c r="E18" s="418"/>
      <c r="F18" s="418"/>
      <c r="G18" s="418"/>
      <c r="H18" s="418"/>
      <c r="I18" s="418"/>
      <c r="J18" s="418"/>
      <c r="K18" s="418"/>
      <c r="L18" s="418"/>
      <c r="M18" s="418"/>
      <c r="N18" s="418"/>
      <c r="O18" s="418"/>
      <c r="P18" s="418"/>
      <c r="Q18" s="418"/>
      <c r="R18" s="418"/>
    </row>
    <row r="19" spans="1:18" ht="15" customHeight="1">
      <c r="A19" s="418"/>
      <c r="B19" s="1822" t="s">
        <v>2297</v>
      </c>
      <c r="C19" s="1822"/>
      <c r="D19" s="1822"/>
      <c r="E19" s="1822"/>
      <c r="F19" s="1822"/>
      <c r="G19" s="1822"/>
      <c r="H19" s="1822"/>
      <c r="I19" s="1822"/>
      <c r="J19" s="1822"/>
      <c r="K19" s="1822"/>
      <c r="L19" s="1822"/>
      <c r="M19" s="1822"/>
      <c r="N19" s="1822"/>
      <c r="O19" s="1822"/>
      <c r="P19" s="1822"/>
      <c r="Q19" s="1822"/>
      <c r="R19" s="1822"/>
    </row>
    <row r="20" spans="1:18" ht="15" customHeight="1">
      <c r="A20" s="418"/>
      <c r="B20" s="1822"/>
      <c r="C20" s="1822"/>
      <c r="D20" s="1822"/>
      <c r="E20" s="1822"/>
      <c r="F20" s="1822"/>
      <c r="G20" s="1822"/>
      <c r="H20" s="1822"/>
      <c r="I20" s="1822"/>
      <c r="J20" s="1822"/>
      <c r="K20" s="1822"/>
      <c r="L20" s="1822"/>
      <c r="M20" s="1822"/>
      <c r="N20" s="1822"/>
      <c r="O20" s="1822"/>
      <c r="P20" s="1822"/>
      <c r="Q20" s="1822"/>
      <c r="R20" s="1822"/>
    </row>
    <row r="21" spans="1:18" ht="15" customHeight="1">
      <c r="A21" s="418"/>
      <c r="B21" s="1822"/>
      <c r="C21" s="1822"/>
      <c r="D21" s="1822"/>
      <c r="E21" s="1822"/>
      <c r="F21" s="1822"/>
      <c r="G21" s="1822"/>
      <c r="H21" s="1822"/>
      <c r="I21" s="1822"/>
      <c r="J21" s="1822"/>
      <c r="K21" s="1822"/>
      <c r="L21" s="1822"/>
      <c r="M21" s="1822"/>
      <c r="N21" s="1822"/>
      <c r="O21" s="1822"/>
      <c r="P21" s="1822"/>
      <c r="Q21" s="1822"/>
      <c r="R21" s="1822"/>
    </row>
    <row r="22" spans="1:18" ht="15" customHeight="1">
      <c r="A22" s="418"/>
      <c r="B22" s="553"/>
      <c r="C22" s="553"/>
      <c r="D22" s="553"/>
      <c r="E22" s="553"/>
      <c r="F22" s="553"/>
      <c r="G22" s="553"/>
      <c r="H22" s="553"/>
      <c r="I22" s="553"/>
      <c r="J22" s="553"/>
      <c r="K22" s="553"/>
      <c r="L22" s="553"/>
      <c r="M22" s="553"/>
      <c r="N22" s="553"/>
      <c r="O22" s="553"/>
      <c r="P22" s="553"/>
      <c r="Q22" s="553"/>
      <c r="R22" s="553"/>
    </row>
    <row r="23" spans="1:18" ht="15" customHeight="1">
      <c r="A23" s="418"/>
      <c r="B23" s="1822" t="s">
        <v>2298</v>
      </c>
      <c r="C23" s="1822"/>
      <c r="D23" s="1822"/>
      <c r="E23" s="1822"/>
      <c r="F23" s="1822"/>
      <c r="G23" s="1822"/>
      <c r="H23" s="1822"/>
      <c r="I23" s="1822"/>
      <c r="J23" s="1822"/>
      <c r="K23" s="1822"/>
      <c r="L23" s="1822"/>
      <c r="M23" s="1822"/>
      <c r="N23" s="1822"/>
      <c r="O23" s="1822"/>
      <c r="P23" s="1822"/>
      <c r="Q23" s="1822"/>
      <c r="R23" s="1822"/>
    </row>
    <row r="24" spans="1:18" ht="15" customHeight="1">
      <c r="B24" s="1822"/>
      <c r="C24" s="1822"/>
      <c r="D24" s="1822"/>
      <c r="E24" s="1822"/>
      <c r="F24" s="1822"/>
      <c r="G24" s="1822"/>
      <c r="H24" s="1822"/>
      <c r="I24" s="1822"/>
      <c r="J24" s="1822"/>
      <c r="K24" s="1822"/>
      <c r="L24" s="1822"/>
      <c r="M24" s="1822"/>
      <c r="N24" s="1822"/>
      <c r="O24" s="1822"/>
      <c r="P24" s="1822"/>
      <c r="Q24" s="1822"/>
      <c r="R24" s="1822"/>
    </row>
    <row r="25" spans="1:18" ht="15" customHeight="1">
      <c r="B25" s="553"/>
      <c r="C25" s="553"/>
      <c r="D25" s="553"/>
      <c r="E25" s="553"/>
      <c r="F25" s="553"/>
      <c r="G25" s="553"/>
      <c r="H25" s="553"/>
      <c r="I25" s="553"/>
      <c r="J25" s="553"/>
      <c r="K25" s="553"/>
      <c r="L25" s="553"/>
      <c r="M25" s="553"/>
      <c r="N25" s="553"/>
      <c r="O25" s="553"/>
      <c r="P25" s="553"/>
      <c r="Q25" s="553"/>
      <c r="R25" s="553"/>
    </row>
    <row r="26" spans="1:18" ht="15" customHeight="1">
      <c r="B26" s="1822" t="s">
        <v>2299</v>
      </c>
      <c r="C26" s="1822"/>
      <c r="D26" s="1822"/>
      <c r="E26" s="1822"/>
      <c r="F26" s="1822"/>
      <c r="G26" s="1822"/>
      <c r="H26" s="1822"/>
      <c r="I26" s="1822"/>
      <c r="J26" s="1822"/>
      <c r="K26" s="1822"/>
      <c r="L26" s="1822"/>
      <c r="M26" s="1822"/>
      <c r="N26" s="1822"/>
      <c r="O26" s="1822"/>
      <c r="P26" s="1822"/>
      <c r="Q26" s="1822"/>
      <c r="R26" s="1822"/>
    </row>
    <row r="27" spans="1:18" ht="15" customHeight="1">
      <c r="B27" s="553"/>
      <c r="C27" s="553"/>
      <c r="D27" s="553"/>
      <c r="E27" s="553"/>
      <c r="F27" s="553"/>
      <c r="G27" s="553"/>
      <c r="H27" s="553"/>
      <c r="I27" s="553"/>
      <c r="J27" s="553"/>
      <c r="K27" s="553"/>
      <c r="L27" s="553"/>
      <c r="M27" s="553"/>
      <c r="N27" s="553"/>
      <c r="O27" s="553"/>
      <c r="P27" s="553"/>
      <c r="Q27" s="553"/>
      <c r="R27" s="553"/>
    </row>
    <row r="28" spans="1:18" ht="15" customHeight="1">
      <c r="B28" s="419" t="s">
        <v>2300</v>
      </c>
    </row>
    <row r="29" spans="1:18" ht="15" customHeight="1">
      <c r="B29" s="1848" t="s">
        <v>2301</v>
      </c>
      <c r="C29" s="1848"/>
      <c r="D29" s="1848"/>
      <c r="E29" s="1848"/>
      <c r="F29" s="1848"/>
      <c r="G29" s="1848"/>
      <c r="H29" s="304"/>
      <c r="I29" s="304"/>
      <c r="J29" s="304"/>
      <c r="K29" s="304"/>
      <c r="L29" s="304"/>
      <c r="M29" s="304"/>
      <c r="N29" s="304"/>
      <c r="O29" s="1846" t="s">
        <v>2302</v>
      </c>
    </row>
    <row r="30" spans="1:18" ht="15" customHeight="1">
      <c r="B30" s="1848"/>
      <c r="C30" s="1848"/>
      <c r="D30" s="1848"/>
      <c r="E30" s="1848"/>
      <c r="F30" s="1848"/>
      <c r="G30" s="1848"/>
      <c r="H30" s="304"/>
      <c r="I30" s="304"/>
      <c r="J30" s="304"/>
      <c r="K30" s="304"/>
      <c r="L30" s="304"/>
      <c r="M30" s="304"/>
      <c r="N30" s="304"/>
      <c r="O30" s="1846"/>
    </row>
    <row r="31" spans="1:18" ht="15" customHeight="1">
      <c r="B31" s="1848"/>
      <c r="C31" s="1848"/>
      <c r="D31" s="1848"/>
      <c r="E31" s="1848"/>
      <c r="F31" s="1848"/>
      <c r="G31" s="1848"/>
      <c r="H31" s="304"/>
      <c r="I31" s="304"/>
      <c r="J31" s="304"/>
      <c r="K31" s="304"/>
      <c r="L31" s="304"/>
      <c r="M31" s="304"/>
      <c r="N31" s="304"/>
      <c r="O31" s="1846"/>
    </row>
    <row r="32" spans="1:18" ht="15" customHeight="1">
      <c r="B32" s="1849"/>
      <c r="C32" s="1849"/>
      <c r="D32" s="1849"/>
      <c r="E32" s="1849"/>
      <c r="F32" s="1849"/>
      <c r="G32" s="1849"/>
      <c r="I32" s="1815" t="s">
        <v>2303</v>
      </c>
      <c r="J32" s="1816" t="s">
        <v>2304</v>
      </c>
      <c r="K32" s="1850">
        <v>1</v>
      </c>
      <c r="M32" s="420"/>
      <c r="O32" s="1847"/>
      <c r="P32" s="1816" t="s">
        <v>2305</v>
      </c>
    </row>
    <row r="33" spans="1:21" ht="15" customHeight="1">
      <c r="B33" s="1851" t="s">
        <v>2306</v>
      </c>
      <c r="C33" s="1851"/>
      <c r="D33" s="1851"/>
      <c r="E33" s="1851"/>
      <c r="F33" s="1851"/>
      <c r="G33" s="1851"/>
      <c r="I33" s="1815"/>
      <c r="J33" s="1816"/>
      <c r="K33" s="1850"/>
      <c r="M33" s="421"/>
      <c r="O33" s="1851" t="s">
        <v>2306</v>
      </c>
      <c r="P33" s="1816"/>
    </row>
    <row r="34" spans="1:21" ht="15" customHeight="1">
      <c r="B34" s="1815"/>
      <c r="C34" s="1815"/>
      <c r="D34" s="1815"/>
      <c r="E34" s="1815"/>
      <c r="F34" s="1815"/>
      <c r="G34" s="1815"/>
      <c r="I34" s="552"/>
      <c r="J34" s="551"/>
      <c r="K34" s="438"/>
      <c r="M34" s="421"/>
      <c r="O34" s="1815"/>
      <c r="P34" s="551"/>
    </row>
    <row r="35" spans="1:21" ht="15" customHeight="1">
      <c r="B35" s="422"/>
      <c r="C35" s="422"/>
      <c r="D35" s="422"/>
      <c r="E35" s="422"/>
      <c r="F35" s="422"/>
      <c r="G35" s="422"/>
      <c r="H35" s="323"/>
      <c r="I35" s="423"/>
      <c r="J35" s="424"/>
      <c r="K35" s="425"/>
      <c r="L35" s="323"/>
      <c r="M35" s="420"/>
      <c r="N35" s="323"/>
      <c r="O35" s="422"/>
      <c r="P35" s="424"/>
      <c r="Q35" s="323"/>
      <c r="R35" s="323"/>
    </row>
    <row r="36" spans="1:21" ht="15" customHeight="1">
      <c r="B36" s="450"/>
      <c r="C36" s="450"/>
      <c r="D36" s="450"/>
      <c r="E36" s="450"/>
      <c r="F36" s="450"/>
      <c r="G36" s="450"/>
      <c r="I36" s="552"/>
      <c r="J36" s="551"/>
      <c r="K36" s="438"/>
      <c r="M36" s="421"/>
      <c r="O36" s="450"/>
      <c r="P36" s="551"/>
    </row>
    <row r="37" spans="1:21" ht="15" customHeight="1">
      <c r="A37" s="426"/>
      <c r="B37" s="1838" t="s">
        <v>2307</v>
      </c>
      <c r="C37" s="1838"/>
      <c r="D37" s="1838"/>
      <c r="E37" s="1838"/>
      <c r="F37" s="427"/>
      <c r="G37" s="427"/>
      <c r="H37" s="428"/>
      <c r="I37" s="304"/>
      <c r="J37" s="304"/>
      <c r="L37" s="440"/>
      <c r="M37" s="440"/>
      <c r="N37" s="440"/>
      <c r="O37" s="440"/>
      <c r="P37" s="440"/>
      <c r="Q37" s="440"/>
      <c r="R37" s="440"/>
      <c r="S37" s="440"/>
    </row>
    <row r="38" spans="1:21" ht="15" customHeight="1">
      <c r="B38" s="1825" t="s">
        <v>2308</v>
      </c>
      <c r="C38" s="1825"/>
      <c r="D38" s="1825"/>
      <c r="E38" s="1825"/>
      <c r="F38" s="554"/>
      <c r="G38" s="429">
        <f>D110</f>
        <v>1486467.0640997642</v>
      </c>
      <c r="H38" s="312"/>
      <c r="I38" s="430"/>
      <c r="J38" s="312"/>
      <c r="K38" s="1834" t="s">
        <v>2309</v>
      </c>
      <c r="L38" s="1834"/>
      <c r="M38" s="1834"/>
      <c r="N38" s="1834"/>
      <c r="O38" s="1834"/>
      <c r="P38" s="1834"/>
      <c r="Q38" s="1834"/>
      <c r="R38" s="1834"/>
      <c r="S38" s="1834"/>
    </row>
    <row r="39" spans="1:21" ht="15" customHeight="1">
      <c r="B39" s="1833" t="s">
        <v>2310</v>
      </c>
      <c r="C39" s="1833"/>
      <c r="D39" s="1833"/>
      <c r="E39" s="1833"/>
      <c r="F39" s="554"/>
      <c r="G39" s="537"/>
      <c r="H39" s="312"/>
      <c r="I39" s="430"/>
      <c r="J39" s="312"/>
      <c r="K39" s="1834"/>
      <c r="L39" s="1834"/>
      <c r="M39" s="1834"/>
      <c r="N39" s="1834"/>
      <c r="O39" s="1834"/>
      <c r="P39" s="1834"/>
      <c r="Q39" s="1834"/>
      <c r="R39" s="1834"/>
      <c r="S39" s="1834"/>
    </row>
    <row r="40" spans="1:21" ht="15" customHeight="1">
      <c r="B40" s="1833" t="s">
        <v>2311</v>
      </c>
      <c r="C40" s="1833"/>
      <c r="D40" s="1833"/>
      <c r="E40" s="1833"/>
      <c r="F40" s="554"/>
      <c r="G40" s="537"/>
      <c r="H40" s="312"/>
      <c r="I40" s="430"/>
      <c r="J40" s="312"/>
      <c r="K40" s="1834"/>
      <c r="L40" s="1834"/>
      <c r="M40" s="1834"/>
      <c r="N40" s="1834"/>
      <c r="O40" s="1834"/>
      <c r="P40" s="1834"/>
      <c r="Q40" s="1834"/>
      <c r="R40" s="1834"/>
      <c r="S40" s="1834"/>
    </row>
    <row r="41" spans="1:21" ht="15" customHeight="1">
      <c r="B41" s="1843" t="s">
        <v>2312</v>
      </c>
      <c r="C41" s="1843"/>
      <c r="D41" s="1843"/>
      <c r="E41" s="1843"/>
      <c r="F41" s="554"/>
      <c r="G41" s="312"/>
      <c r="H41" s="312"/>
      <c r="I41" s="430"/>
      <c r="J41" s="312"/>
      <c r="K41" s="1827" t="s">
        <v>325</v>
      </c>
      <c r="L41" s="1827"/>
      <c r="M41" s="1827"/>
      <c r="N41" s="1827"/>
      <c r="O41" s="1827"/>
      <c r="P41" s="1827"/>
      <c r="Q41" s="1827"/>
      <c r="R41" s="1827"/>
      <c r="S41" s="1827"/>
    </row>
    <row r="42" spans="1:21" ht="15" customHeight="1">
      <c r="B42" s="539" t="s">
        <v>1307</v>
      </c>
      <c r="C42" s="539"/>
      <c r="D42" s="533"/>
      <c r="E42" s="556">
        <f>+Application!AO621</f>
        <v>1941442</v>
      </c>
      <c r="F42" s="554"/>
      <c r="G42" s="312"/>
      <c r="H42" s="312"/>
      <c r="I42" s="430"/>
      <c r="J42" s="312"/>
      <c r="K42" s="1832"/>
      <c r="L42" s="1832"/>
      <c r="M42" s="1832"/>
      <c r="N42" s="1832"/>
      <c r="O42" s="1832"/>
      <c r="Q42" s="1812"/>
      <c r="R42" s="1812"/>
      <c r="U42" s="646" t="s">
        <v>325</v>
      </c>
    </row>
    <row r="43" spans="1:21" ht="15" customHeight="1">
      <c r="B43" s="539" t="s">
        <v>1309</v>
      </c>
      <c r="C43" s="539"/>
      <c r="D43" s="415"/>
      <c r="E43" s="556">
        <f>+Application!AO622</f>
        <v>144836</v>
      </c>
      <c r="F43" s="554"/>
      <c r="G43" s="312"/>
      <c r="H43" s="312"/>
      <c r="I43" s="430"/>
      <c r="J43" s="312"/>
      <c r="L43" s="312"/>
      <c r="M43" s="304"/>
      <c r="N43" s="304"/>
      <c r="O43" s="304"/>
      <c r="Q43" s="431"/>
      <c r="R43" s="431"/>
      <c r="U43" s="646" t="s">
        <v>2313</v>
      </c>
    </row>
    <row r="44" spans="1:21" ht="15" customHeight="1">
      <c r="B44" s="539" t="s">
        <v>1311</v>
      </c>
      <c r="C44" s="539"/>
      <c r="D44" s="415"/>
      <c r="E44" s="556">
        <v>100000</v>
      </c>
      <c r="F44" s="554"/>
      <c r="G44" s="312"/>
      <c r="H44" s="312"/>
      <c r="I44" s="430"/>
      <c r="K44" s="311" t="s">
        <v>2314</v>
      </c>
      <c r="Q44" s="1812"/>
      <c r="R44" s="1812"/>
    </row>
    <row r="45" spans="1:21" ht="15" customHeight="1">
      <c r="B45" s="539"/>
      <c r="C45" s="539"/>
      <c r="D45" s="415"/>
      <c r="E45" s="556"/>
      <c r="F45" s="554"/>
      <c r="G45" s="312"/>
      <c r="H45" s="312"/>
      <c r="I45" s="430"/>
      <c r="K45" s="316" t="s">
        <v>2315</v>
      </c>
      <c r="L45" s="316"/>
      <c r="M45" s="312"/>
      <c r="N45" s="312"/>
      <c r="O45" s="312"/>
      <c r="P45" s="312"/>
    </row>
    <row r="46" spans="1:21" ht="15" customHeight="1">
      <c r="B46" s="539"/>
      <c r="C46" s="539"/>
      <c r="D46" s="415"/>
      <c r="E46" s="556"/>
      <c r="F46" s="554"/>
      <c r="G46" s="312"/>
      <c r="H46" s="312"/>
      <c r="I46" s="430"/>
      <c r="J46" s="312"/>
      <c r="K46" s="1809" t="s">
        <v>2316</v>
      </c>
      <c r="L46" s="1809"/>
      <c r="M46" s="1809"/>
      <c r="N46" s="1809"/>
      <c r="O46" s="1809"/>
      <c r="Q46" s="1807"/>
      <c r="R46" s="1807"/>
    </row>
    <row r="47" spans="1:21" ht="15" customHeight="1">
      <c r="B47" s="539"/>
      <c r="C47" s="539"/>
      <c r="D47" s="415"/>
      <c r="E47" s="556"/>
      <c r="F47" s="554"/>
      <c r="G47" s="312"/>
      <c r="H47" s="312"/>
      <c r="I47" s="430"/>
      <c r="J47" s="312"/>
      <c r="K47" s="1808" t="s">
        <v>2317</v>
      </c>
      <c r="L47" s="1808"/>
      <c r="M47" s="1808"/>
      <c r="N47" s="1808"/>
      <c r="O47" s="1808"/>
      <c r="Q47" s="1845"/>
      <c r="R47" s="1845"/>
    </row>
    <row r="48" spans="1:21" ht="15" customHeight="1">
      <c r="B48" s="539"/>
      <c r="C48" s="539"/>
      <c r="D48" s="415"/>
      <c r="E48" s="556"/>
      <c r="F48" s="554"/>
      <c r="G48" s="312"/>
      <c r="H48" s="312"/>
      <c r="I48" s="430"/>
      <c r="J48" s="312"/>
      <c r="K48" s="1844" t="s">
        <v>2318</v>
      </c>
      <c r="L48" s="1844"/>
      <c r="M48" s="1844"/>
      <c r="N48" s="1844"/>
      <c r="O48" s="1844"/>
      <c r="Q48" s="1809">
        <f>Q46+Q47</f>
        <v>0</v>
      </c>
      <c r="R48" s="1809"/>
    </row>
    <row r="49" spans="1:29" ht="15" customHeight="1">
      <c r="B49" s="539"/>
      <c r="C49" s="539"/>
      <c r="D49" s="415"/>
      <c r="E49" s="556"/>
      <c r="F49" s="554"/>
      <c r="G49" s="312"/>
      <c r="H49" s="312"/>
      <c r="I49" s="430"/>
      <c r="J49" s="312"/>
    </row>
    <row r="50" spans="1:29" ht="15" customHeight="1">
      <c r="B50" s="535" t="s">
        <v>2319</v>
      </c>
      <c r="C50" s="535"/>
      <c r="D50" s="538"/>
      <c r="E50" s="536">
        <f>MAX(IF('Sources and Uses Budget'!B15="",0,'Sources and Uses Budget'!B15),IF(Application!AG387="",0,Application!AG387))</f>
        <v>0</v>
      </c>
      <c r="F50" s="554"/>
      <c r="G50" s="312"/>
      <c r="H50" s="312"/>
      <c r="I50" s="430"/>
      <c r="J50" s="312"/>
    </row>
    <row r="51" spans="1:29" ht="15" customHeight="1">
      <c r="B51" s="534" t="s">
        <v>2320</v>
      </c>
      <c r="C51" s="534"/>
      <c r="D51" s="538"/>
      <c r="E51" s="536"/>
      <c r="F51" s="554"/>
      <c r="G51" s="312"/>
      <c r="H51" s="312"/>
      <c r="I51" s="430"/>
      <c r="J51" s="312"/>
    </row>
    <row r="52" spans="1:29" ht="15" customHeight="1">
      <c r="B52" s="1825" t="s">
        <v>2321</v>
      </c>
      <c r="C52" s="1825"/>
      <c r="D52" s="1825"/>
      <c r="E52" s="1825"/>
      <c r="F52" s="554"/>
      <c r="G52" s="429">
        <f>SUM(E42:E49)-ABS(E50)-ABS(E51)</f>
        <v>2186278</v>
      </c>
      <c r="H52" s="312"/>
      <c r="I52" s="430"/>
      <c r="J52" s="312"/>
    </row>
    <row r="53" spans="1:29" ht="15" customHeight="1">
      <c r="C53" s="434"/>
      <c r="D53" s="434" t="s">
        <v>1398</v>
      </c>
      <c r="E53" s="434"/>
      <c r="F53" s="434"/>
      <c r="G53" s="435">
        <f>SUM(G38:G40)+G52</f>
        <v>3672745.0640997645</v>
      </c>
      <c r="H53" s="432"/>
      <c r="I53" s="430"/>
      <c r="J53" s="312"/>
      <c r="K53" s="312"/>
      <c r="L53" s="312"/>
    </row>
    <row r="54" spans="1:29" ht="15" customHeight="1">
      <c r="B54" s="436"/>
      <c r="C54" s="436"/>
      <c r="D54" s="436"/>
      <c r="E54" s="436"/>
      <c r="F54" s="436"/>
      <c r="G54" s="436"/>
      <c r="H54" s="323"/>
      <c r="I54" s="433"/>
      <c r="J54" s="433"/>
      <c r="K54" s="433"/>
      <c r="L54" s="433"/>
      <c r="M54" s="433"/>
      <c r="N54" s="433"/>
      <c r="O54" s="323"/>
      <c r="P54" s="323"/>
      <c r="Q54" s="323"/>
      <c r="R54" s="323"/>
    </row>
    <row r="55" spans="1:29" ht="15" customHeight="1">
      <c r="B55" s="554"/>
      <c r="C55" s="554"/>
      <c r="D55" s="554"/>
      <c r="E55" s="554"/>
      <c r="F55" s="554"/>
      <c r="G55" s="554"/>
      <c r="H55" s="554"/>
      <c r="I55" s="554"/>
      <c r="J55" s="554"/>
      <c r="K55" s="554"/>
      <c r="L55" s="554"/>
      <c r="M55" s="554"/>
      <c r="N55" s="554"/>
      <c r="O55" s="554"/>
      <c r="P55" s="554"/>
      <c r="U55" s="646" t="s">
        <v>325</v>
      </c>
      <c r="AC55" s="646" t="s">
        <v>2080</v>
      </c>
    </row>
    <row r="56" spans="1:29" ht="15" customHeight="1">
      <c r="B56" s="1824" t="s">
        <v>2322</v>
      </c>
      <c r="C56" s="1824"/>
      <c r="D56" s="554"/>
      <c r="E56" s="554"/>
      <c r="F56" s="554"/>
      <c r="G56" s="554"/>
      <c r="H56" s="554"/>
      <c r="I56" s="554"/>
      <c r="J56" s="554"/>
      <c r="K56" s="554"/>
      <c r="L56" s="554"/>
      <c r="M56" s="554"/>
      <c r="N56" s="554"/>
      <c r="O56" s="554"/>
      <c r="P56" s="554"/>
      <c r="U56" s="835" t="s">
        <v>2323</v>
      </c>
      <c r="AC56" s="836">
        <v>0.2</v>
      </c>
    </row>
    <row r="57" spans="1:29" ht="15" customHeight="1">
      <c r="A57" s="432"/>
      <c r="B57" s="1823" t="s">
        <v>2324</v>
      </c>
      <c r="C57" s="1823"/>
      <c r="D57" s="1823"/>
      <c r="E57" s="1823"/>
      <c r="F57" s="1823"/>
      <c r="G57" s="1823"/>
      <c r="H57" s="1823"/>
      <c r="I57" s="1823"/>
      <c r="J57" s="1823"/>
      <c r="K57" s="1823"/>
      <c r="L57" s="1823"/>
      <c r="M57" s="1823"/>
      <c r="N57" s="1823"/>
      <c r="O57" s="1823"/>
      <c r="P57" s="554"/>
      <c r="U57" s="835" t="s">
        <v>2325</v>
      </c>
      <c r="AC57" s="836">
        <v>0.1</v>
      </c>
    </row>
    <row r="58" spans="1:29" ht="15" customHeight="1">
      <c r="B58" s="1838" t="s">
        <v>2326</v>
      </c>
      <c r="C58" s="1839"/>
      <c r="D58" s="1839"/>
      <c r="E58" s="1839"/>
      <c r="F58" s="437"/>
      <c r="G58" s="437"/>
      <c r="H58" s="427"/>
      <c r="I58" s="427"/>
      <c r="J58" s="1840">
        <f>('Sources and Uses Budget'!D104+Q47)/('Sources and Uses Budget'!B104+Q48)</f>
        <v>0</v>
      </c>
      <c r="K58" s="1841"/>
      <c r="L58" s="1841"/>
      <c r="M58" s="1841"/>
      <c r="N58" s="1842"/>
      <c r="O58" s="427"/>
      <c r="P58" s="427"/>
      <c r="U58" s="835" t="s">
        <v>2327</v>
      </c>
      <c r="AC58" s="836">
        <v>0.1</v>
      </c>
    </row>
    <row r="59" spans="1:29" ht="15" customHeight="1">
      <c r="B59" s="1822" t="s">
        <v>2328</v>
      </c>
      <c r="C59" s="1822"/>
      <c r="D59" s="1822"/>
      <c r="E59" s="1822"/>
      <c r="F59" s="1822"/>
      <c r="G59" s="1822"/>
      <c r="H59" s="1822"/>
      <c r="I59" s="1822"/>
      <c r="J59" s="1822"/>
      <c r="K59" s="1822"/>
      <c r="L59" s="1822"/>
      <c r="M59" s="1822"/>
      <c r="N59" s="1822"/>
      <c r="O59" s="1822"/>
      <c r="P59" s="427"/>
      <c r="U59" s="835" t="s">
        <v>2329</v>
      </c>
      <c r="AC59" s="836">
        <v>0.05</v>
      </c>
    </row>
    <row r="60" spans="1:29" ht="15" customHeight="1">
      <c r="B60" s="1822"/>
      <c r="C60" s="1822"/>
      <c r="D60" s="1822"/>
      <c r="E60" s="1822"/>
      <c r="F60" s="1822"/>
      <c r="G60" s="1822"/>
      <c r="H60" s="1822"/>
      <c r="I60" s="1822"/>
      <c r="J60" s="1822"/>
      <c r="K60" s="1822"/>
      <c r="L60" s="1822"/>
      <c r="M60" s="1822"/>
      <c r="N60" s="1822"/>
      <c r="O60" s="1822"/>
      <c r="P60" s="427"/>
      <c r="AC60" s="837"/>
    </row>
    <row r="61" spans="1:29" ht="15" customHeight="1">
      <c r="B61" s="182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23"/>
      <c r="D61" s="1823"/>
      <c r="E61" s="1823"/>
      <c r="F61" s="1823"/>
      <c r="G61" s="1823"/>
      <c r="H61" s="1823"/>
      <c r="I61" s="1823"/>
      <c r="J61" s="1823"/>
      <c r="K61" s="1823"/>
      <c r="L61" s="1823"/>
      <c r="M61" s="1823"/>
      <c r="N61" s="1823"/>
      <c r="O61" s="1823"/>
      <c r="P61" s="427"/>
    </row>
    <row r="62" spans="1:29" ht="15" customHeight="1">
      <c r="B62" s="323"/>
      <c r="C62" s="323"/>
      <c r="D62" s="323"/>
      <c r="E62" s="323"/>
      <c r="F62" s="323"/>
      <c r="G62" s="323"/>
      <c r="H62" s="323"/>
      <c r="I62" s="323"/>
      <c r="J62" s="323"/>
      <c r="K62" s="323"/>
      <c r="L62" s="323"/>
      <c r="M62" s="323"/>
      <c r="N62" s="323"/>
      <c r="O62" s="323"/>
      <c r="P62" s="323"/>
      <c r="Q62" s="323"/>
      <c r="R62" s="323"/>
    </row>
    <row r="63" spans="1:29" ht="15" customHeight="1" thickBot="1">
      <c r="B63" s="304"/>
      <c r="C63" s="304"/>
      <c r="D63" s="304"/>
      <c r="E63" s="311"/>
      <c r="F63" s="304"/>
      <c r="G63" s="304"/>
      <c r="H63" s="304"/>
      <c r="I63" s="649"/>
      <c r="J63" s="1828" t="s">
        <v>2330</v>
      </c>
      <c r="K63" s="1829"/>
      <c r="L63" s="1829"/>
      <c r="M63" s="1829"/>
      <c r="N63" s="1829"/>
      <c r="O63" s="1829"/>
      <c r="P63" s="1829"/>
      <c r="Q63" s="1829"/>
      <c r="R63" s="1829"/>
    </row>
    <row r="64" spans="1:29" ht="15" customHeight="1" thickBot="1">
      <c r="B64" s="1824" t="s">
        <v>2331</v>
      </c>
      <c r="C64" s="1824"/>
      <c r="D64" s="304"/>
      <c r="F64" s="304"/>
      <c r="G64" s="434" t="s">
        <v>2332</v>
      </c>
      <c r="H64" s="304"/>
      <c r="I64" s="650"/>
      <c r="J64" s="1830"/>
      <c r="K64" s="1831"/>
      <c r="L64" s="1831"/>
      <c r="M64" s="1831"/>
      <c r="N64" s="1831"/>
      <c r="O64" s="1831"/>
      <c r="P64" s="1831"/>
      <c r="Q64" s="1831"/>
      <c r="R64" s="1831"/>
      <c r="U64" s="834">
        <f>IF(K41="Rural project in a county where no tax credit applications have been received within 5 years",AC59,0)</f>
        <v>0</v>
      </c>
    </row>
    <row r="65" spans="1:22" ht="15" customHeight="1" thickBot="1">
      <c r="B65" s="438" t="s">
        <v>2333</v>
      </c>
      <c r="C65" s="423" t="str">
        <f>IF(OR(Application!M349="Yes",Application!M350="Yes"),"Yes","No")</f>
        <v>No</v>
      </c>
      <c r="E65" s="679"/>
      <c r="F65" s="679"/>
      <c r="G65" s="434" t="s">
        <v>2334</v>
      </c>
      <c r="H65" s="304"/>
      <c r="I65" s="650"/>
      <c r="J65" s="1830"/>
      <c r="K65" s="1831"/>
      <c r="L65" s="1831"/>
      <c r="M65" s="1831"/>
      <c r="N65" s="1831"/>
      <c r="O65" s="1831"/>
      <c r="P65" s="1831"/>
      <c r="Q65" s="1831"/>
      <c r="R65" s="1831"/>
      <c r="U65" s="834">
        <f>IF(J67="Non-rural project, Census Tract is Highest Resource (20 percentage points)",AC56,0)</f>
        <v>0</v>
      </c>
    </row>
    <row r="66" spans="1:22" ht="15" customHeight="1" thickBot="1">
      <c r="B66" s="439" t="s">
        <v>2335</v>
      </c>
      <c r="C66" s="543">
        <f>Application!AG430-Application!AG431</f>
        <v>23</v>
      </c>
      <c r="D66" s="679"/>
      <c r="E66" s="439" t="s">
        <v>2336</v>
      </c>
      <c r="F66" s="679"/>
      <c r="G66" s="557"/>
      <c r="H66" s="440"/>
      <c r="I66" s="651"/>
      <c r="J66" s="1830"/>
      <c r="K66" s="1831"/>
      <c r="L66" s="1831"/>
      <c r="M66" s="1831"/>
      <c r="N66" s="1831"/>
      <c r="O66" s="1831"/>
      <c r="P66" s="1831"/>
      <c r="Q66" s="1831"/>
      <c r="R66" s="1831"/>
      <c r="U66" s="834">
        <f>IF(J67="Non-rural project, Census Tract is High Resource (10 percentage points)",AC57,0)</f>
        <v>0</v>
      </c>
    </row>
    <row r="67" spans="1:22" ht="15" customHeight="1" thickBot="1">
      <c r="B67" s="439" t="s">
        <v>2337</v>
      </c>
      <c r="C67" s="544">
        <f>MIN(IF(AND(C65="Yes",G67&gt;=50),(0.75+(G67/200)),1),1.5)</f>
        <v>1</v>
      </c>
      <c r="D67" s="440"/>
      <c r="E67" s="439" t="s">
        <v>2338</v>
      </c>
      <c r="G67" s="543">
        <f>C66+G66</f>
        <v>23</v>
      </c>
      <c r="H67" s="440"/>
      <c r="I67" s="651"/>
      <c r="J67" s="1826" t="s">
        <v>325</v>
      </c>
      <c r="K67" s="1827"/>
      <c r="L67" s="1827"/>
      <c r="M67" s="1827"/>
      <c r="N67" s="1827"/>
      <c r="O67" s="1827"/>
      <c r="P67" s="1827"/>
      <c r="Q67" s="1827"/>
      <c r="R67" s="1827"/>
      <c r="U67" s="834">
        <f>IF(J67="Rural project, Census Tract is Highest Resource (10 percentage points)",AC58,0)</f>
        <v>0</v>
      </c>
    </row>
    <row r="68" spans="1:22" ht="15" customHeight="1" thickBot="1">
      <c r="B68" s="323"/>
      <c r="C68" s="323"/>
      <c r="D68" s="323"/>
      <c r="E68" s="323"/>
      <c r="F68" s="323"/>
      <c r="G68" s="323"/>
      <c r="H68" s="323"/>
      <c r="I68" s="652"/>
      <c r="J68" s="323"/>
      <c r="K68" s="323"/>
      <c r="L68" s="323"/>
      <c r="M68" s="323"/>
      <c r="N68" s="323"/>
      <c r="O68" s="323"/>
      <c r="P68" s="323"/>
      <c r="Q68" s="323"/>
      <c r="R68" s="323"/>
      <c r="U68" s="834">
        <f>IF(J67="Rural project, Census Tract is High Resource (5 percentage points)",AC59,0)</f>
        <v>0</v>
      </c>
    </row>
    <row r="69" spans="1:22" ht="15" customHeight="1">
      <c r="U69" s="1835">
        <f>SUM(U62:U68)</f>
        <v>0</v>
      </c>
    </row>
    <row r="70" spans="1:22" ht="15" customHeight="1" thickBot="1">
      <c r="B70" s="419" t="s">
        <v>2339</v>
      </c>
      <c r="C70" s="419"/>
      <c r="D70" s="419"/>
      <c r="E70" s="419"/>
      <c r="F70" s="419"/>
      <c r="G70" s="419"/>
      <c r="U70" s="1836"/>
      <c r="V70" s="302" t="s">
        <v>2340</v>
      </c>
    </row>
    <row r="71" spans="1:22" ht="15" customHeight="1">
      <c r="B71" s="1825" t="s">
        <v>2341</v>
      </c>
      <c r="C71" s="1825"/>
      <c r="D71" s="1825"/>
      <c r="E71" s="419"/>
      <c r="F71" s="419"/>
      <c r="G71" s="429">
        <f>G53*(1-J58)</f>
        <v>3672745.0640997645</v>
      </c>
      <c r="J71" s="441"/>
      <c r="K71" s="586" t="s">
        <v>2302</v>
      </c>
      <c r="L71" s="586"/>
      <c r="M71" s="586"/>
      <c r="N71" s="586"/>
      <c r="O71" s="586"/>
      <c r="Q71" s="1809">
        <f>'Basis &amp; Credits'!T23+'Basis &amp; Credits'!Y23+'Basis &amp; Credits'!AD23+'Basis &amp; Credits'!AI23</f>
        <v>4810800.75</v>
      </c>
      <c r="R71" s="1809"/>
    </row>
    <row r="72" spans="1:22" ht="15" customHeight="1">
      <c r="B72" s="1811" t="s">
        <v>2342</v>
      </c>
      <c r="C72" s="1811"/>
      <c r="D72" s="1811"/>
      <c r="E72" s="419"/>
      <c r="F72" s="419"/>
      <c r="G72" s="429">
        <f>G71*C67</f>
        <v>3672745.0640997645</v>
      </c>
      <c r="J72" s="441"/>
      <c r="K72" s="554"/>
      <c r="L72" s="554"/>
      <c r="M72" s="554"/>
      <c r="N72" s="554"/>
      <c r="O72" s="554"/>
      <c r="Q72" s="1812"/>
      <c r="R72" s="1812"/>
    </row>
    <row r="73" spans="1:22" ht="15" customHeight="1">
      <c r="B73" s="540"/>
      <c r="C73" s="541"/>
      <c r="D73" s="435"/>
      <c r="E73" s="419"/>
      <c r="F73" s="419"/>
      <c r="G73" s="312"/>
      <c r="J73" s="441"/>
    </row>
    <row r="74" spans="1:22" ht="15" customHeight="1" thickBot="1">
      <c r="B74" s="419"/>
      <c r="C74" s="419"/>
      <c r="D74" s="419"/>
      <c r="E74" s="419"/>
      <c r="F74" s="419"/>
      <c r="G74" s="419"/>
    </row>
    <row r="75" spans="1:22" ht="15" customHeight="1">
      <c r="A75" s="432"/>
      <c r="B75" s="1813">
        <f>$G$72</f>
        <v>3672745.0640997645</v>
      </c>
      <c r="C75" s="1814"/>
      <c r="D75" s="1814"/>
      <c r="E75" s="1814"/>
      <c r="F75" s="1814"/>
      <c r="G75" s="1814"/>
      <c r="H75" s="442"/>
      <c r="I75" s="1815" t="s">
        <v>2303</v>
      </c>
      <c r="J75" s="1816" t="s">
        <v>2304</v>
      </c>
      <c r="K75" s="1815">
        <v>1</v>
      </c>
      <c r="M75" s="323"/>
      <c r="N75" s="421"/>
      <c r="O75" s="559">
        <f>$Q$71</f>
        <v>4810800.75</v>
      </c>
      <c r="P75" s="1816" t="s">
        <v>2305</v>
      </c>
      <c r="Q75" s="1817" t="s">
        <v>2343</v>
      </c>
      <c r="R75" s="1820">
        <f>((B75/B76)+((1-(O75/O76))/2))+U69</f>
        <v>0.67067110529316198</v>
      </c>
    </row>
    <row r="76" spans="1:22" ht="15" customHeight="1" thickBot="1">
      <c r="B76" s="1818">
        <f>'Sources and Uses Budget'!$C$104+$Q$46-($E$50+$E$51)*(1-$J$58)</f>
        <v>7425654.6644075764</v>
      </c>
      <c r="C76" s="1819"/>
      <c r="D76" s="1819"/>
      <c r="E76" s="1819"/>
      <c r="F76" s="1819"/>
      <c r="G76" s="1818"/>
      <c r="I76" s="1815"/>
      <c r="J76" s="1816"/>
      <c r="K76" s="1815"/>
      <c r="M76" s="552"/>
      <c r="O76" s="558">
        <f>B76</f>
        <v>7425654.6644075764</v>
      </c>
      <c r="P76" s="1816"/>
      <c r="Q76" s="1817"/>
      <c r="R76" s="1821"/>
    </row>
    <row r="77" spans="1:22" ht="15" customHeight="1">
      <c r="B77" s="323"/>
      <c r="C77" s="323"/>
      <c r="D77" s="323"/>
      <c r="E77" s="323"/>
      <c r="F77" s="323"/>
      <c r="G77" s="323"/>
      <c r="H77" s="323"/>
      <c r="I77" s="323"/>
      <c r="J77" s="323"/>
      <c r="K77" s="323"/>
      <c r="L77" s="323"/>
      <c r="M77" s="323"/>
      <c r="N77" s="323"/>
      <c r="O77" s="323"/>
      <c r="P77" s="323"/>
      <c r="Q77" s="323"/>
    </row>
    <row r="79" spans="1:22" ht="15" customHeight="1">
      <c r="B79" s="585" t="s">
        <v>2344</v>
      </c>
      <c r="C79" s="304"/>
      <c r="D79" s="304"/>
      <c r="E79" s="304"/>
      <c r="F79" s="304"/>
      <c r="G79" s="304"/>
      <c r="H79" s="304"/>
      <c r="I79" s="304"/>
      <c r="J79" s="304"/>
      <c r="K79" s="304"/>
      <c r="L79" s="304"/>
      <c r="M79" s="304"/>
      <c r="N79" s="304"/>
      <c r="O79" s="304"/>
      <c r="P79" s="304"/>
      <c r="Q79" s="304"/>
      <c r="R79" s="304"/>
    </row>
    <row r="80" spans="1:22" ht="15" customHeight="1">
      <c r="C80" s="585"/>
      <c r="D80" s="585"/>
      <c r="E80" s="585"/>
      <c r="F80" s="585"/>
      <c r="G80" s="585"/>
      <c r="H80" s="585"/>
      <c r="I80" s="585"/>
      <c r="J80" s="585"/>
      <c r="K80" s="585"/>
      <c r="L80" s="585"/>
      <c r="M80" s="585"/>
      <c r="N80" s="585"/>
      <c r="O80" s="585"/>
    </row>
    <row r="81" spans="2:18" ht="15" customHeight="1">
      <c r="B81" s="311" t="s">
        <v>2345</v>
      </c>
      <c r="C81" s="555"/>
      <c r="D81" s="555"/>
      <c r="E81" s="555"/>
      <c r="F81" s="555"/>
      <c r="H81" s="555"/>
      <c r="I81" s="430"/>
      <c r="J81" s="555"/>
      <c r="K81" s="311" t="s">
        <v>2346</v>
      </c>
      <c r="L81" s="555"/>
      <c r="M81" s="555"/>
      <c r="N81" s="555"/>
      <c r="O81" s="555"/>
    </row>
    <row r="82" spans="2:18" ht="15" customHeight="1">
      <c r="B82" s="666" t="s">
        <v>2347</v>
      </c>
      <c r="C82" s="658"/>
      <c r="D82" s="653"/>
      <c r="E82" s="658"/>
      <c r="F82" s="658"/>
      <c r="G82" s="659"/>
      <c r="I82" s="430"/>
    </row>
    <row r="83" spans="2:18" ht="15" customHeight="1">
      <c r="B83" s="664" t="s">
        <v>2348</v>
      </c>
      <c r="C83" s="658"/>
      <c r="D83" s="658"/>
      <c r="E83" s="656"/>
      <c r="F83" s="656"/>
      <c r="G83" s="659"/>
      <c r="I83" s="430"/>
      <c r="K83" s="647" t="s">
        <v>2349</v>
      </c>
    </row>
    <row r="84" spans="2:18" ht="15" customHeight="1">
      <c r="B84" s="665" t="s">
        <v>2350</v>
      </c>
      <c r="C84" s="660"/>
      <c r="D84" s="660"/>
      <c r="E84" s="654"/>
      <c r="F84" s="654"/>
      <c r="G84" s="661"/>
      <c r="I84" s="430"/>
      <c r="K84" s="647" t="s">
        <v>2351</v>
      </c>
      <c r="L84" s="555"/>
      <c r="M84" s="555"/>
      <c r="N84" s="555"/>
      <c r="O84" s="555"/>
      <c r="P84" s="555"/>
      <c r="Q84" s="1807"/>
      <c r="R84" s="1807"/>
    </row>
    <row r="85" spans="2:18" ht="15" customHeight="1">
      <c r="B85" s="665" t="s">
        <v>2352</v>
      </c>
      <c r="C85" s="662"/>
      <c r="D85" s="662"/>
      <c r="E85" s="657"/>
      <c r="F85" s="657"/>
      <c r="G85" s="663"/>
      <c r="I85" s="430"/>
      <c r="L85" s="583"/>
      <c r="M85" s="583"/>
      <c r="N85" s="583"/>
      <c r="O85" s="583"/>
      <c r="P85" s="583"/>
    </row>
    <row r="86" spans="2:18" ht="15" customHeight="1">
      <c r="B86" s="666" t="s">
        <v>2353</v>
      </c>
      <c r="C86" s="660"/>
      <c r="D86" s="660"/>
      <c r="E86" s="654"/>
      <c r="F86" s="654"/>
      <c r="G86" s="655"/>
      <c r="I86" s="430"/>
      <c r="L86" s="584"/>
      <c r="M86" s="584"/>
      <c r="N86" s="584"/>
      <c r="O86" s="680" t="s">
        <v>681</v>
      </c>
      <c r="P86" s="584"/>
    </row>
    <row r="87" spans="2:18" ht="15" customHeight="1">
      <c r="B87" s="666" t="s">
        <v>2354</v>
      </c>
      <c r="C87" s="662"/>
      <c r="D87" s="653"/>
      <c r="E87" s="658"/>
      <c r="F87" s="658"/>
      <c r="G87" s="683"/>
      <c r="I87" s="430"/>
    </row>
    <row r="88" spans="2:18" ht="15" customHeight="1">
      <c r="B88" s="681"/>
      <c r="C88" s="658"/>
      <c r="D88" s="658"/>
      <c r="E88" s="682" t="s">
        <v>2355</v>
      </c>
      <c r="F88" s="656"/>
      <c r="G88" s="656" t="s">
        <v>2356</v>
      </c>
      <c r="I88" s="430"/>
      <c r="K88" s="648" t="s">
        <v>2357</v>
      </c>
      <c r="L88" s="555"/>
      <c r="M88" s="555"/>
      <c r="N88" s="555"/>
      <c r="O88" s="555"/>
      <c r="P88" s="555"/>
    </row>
    <row r="89" spans="2:18" ht="15" customHeight="1">
      <c r="B89" s="443" t="s">
        <v>2282</v>
      </c>
      <c r="C89" s="444" t="s">
        <v>2358</v>
      </c>
      <c r="D89" s="667" t="s">
        <v>2359</v>
      </c>
      <c r="E89" s="667" t="s">
        <v>2360</v>
      </c>
      <c r="F89" s="422"/>
      <c r="G89" s="422" t="s">
        <v>2361</v>
      </c>
      <c r="I89" s="430"/>
      <c r="K89" s="648" t="s">
        <v>2362</v>
      </c>
      <c r="L89" s="583"/>
      <c r="M89" s="583"/>
      <c r="N89" s="583"/>
      <c r="O89" s="583"/>
      <c r="P89" s="583"/>
      <c r="Q89" s="1807"/>
      <c r="R89" s="1807"/>
    </row>
    <row r="90" spans="2:18" ht="15" customHeight="1">
      <c r="B90" s="408" t="s">
        <v>2363</v>
      </c>
      <c r="C90" s="409">
        <v>22</v>
      </c>
      <c r="D90" s="410">
        <v>660</v>
      </c>
      <c r="E90" s="410">
        <v>1265</v>
      </c>
      <c r="F90" s="451"/>
      <c r="G90" s="312">
        <f>MAX(($E90-$D90)*$C90*12,0)</f>
        <v>159720</v>
      </c>
      <c r="I90" s="430"/>
      <c r="K90" s="648" t="s">
        <v>2364</v>
      </c>
      <c r="L90" s="583"/>
      <c r="M90" s="583"/>
      <c r="N90" s="583"/>
      <c r="O90" s="583"/>
      <c r="P90" s="583"/>
      <c r="Q90" s="1810"/>
      <c r="R90" s="1810"/>
    </row>
    <row r="91" spans="2:18" ht="15" customHeight="1">
      <c r="B91" s="408" t="s">
        <v>860</v>
      </c>
      <c r="C91" s="409"/>
      <c r="D91" s="410"/>
      <c r="E91" s="410"/>
      <c r="F91" s="451"/>
      <c r="G91" s="312">
        <f t="shared" ref="G91:G97" si="0">MAX(($E91-$D91)*$C91*12,0)</f>
        <v>0</v>
      </c>
      <c r="I91" s="430"/>
      <c r="K91" s="648" t="s">
        <v>2365</v>
      </c>
      <c r="L91" s="583"/>
      <c r="M91" s="583"/>
      <c r="N91" s="583"/>
      <c r="O91" s="583"/>
      <c r="P91" s="583"/>
      <c r="Q91" s="1808">
        <f>IFERROR(Q89/Q90,0)</f>
        <v>0</v>
      </c>
      <c r="R91" s="1808"/>
    </row>
    <row r="92" spans="2:18" ht="15" customHeight="1">
      <c r="B92" s="408" t="s">
        <v>860</v>
      </c>
      <c r="C92" s="409"/>
      <c r="D92" s="410"/>
      <c r="E92" s="410"/>
      <c r="F92" s="451"/>
      <c r="G92" s="312">
        <f t="shared" si="0"/>
        <v>0</v>
      </c>
      <c r="I92" s="430"/>
    </row>
    <row r="93" spans="2:18" ht="15" customHeight="1">
      <c r="B93" s="408" t="s">
        <v>860</v>
      </c>
      <c r="C93" s="409"/>
      <c r="D93" s="410"/>
      <c r="E93" s="410"/>
      <c r="F93" s="451"/>
      <c r="G93" s="312">
        <f t="shared" si="0"/>
        <v>0</v>
      </c>
      <c r="I93" s="430"/>
      <c r="K93" s="304" t="s">
        <v>2366</v>
      </c>
      <c r="L93" s="439"/>
      <c r="M93" s="439"/>
      <c r="N93" s="439"/>
      <c r="O93" s="439"/>
      <c r="P93" s="439"/>
      <c r="Q93" s="1809">
        <f>MAX(Q84,Q91)</f>
        <v>0</v>
      </c>
      <c r="R93" s="1809"/>
    </row>
    <row r="94" spans="2:18" ht="15" customHeight="1">
      <c r="B94" s="408" t="s">
        <v>860</v>
      </c>
      <c r="C94" s="409"/>
      <c r="D94" s="410"/>
      <c r="E94" s="410"/>
      <c r="F94" s="451"/>
      <c r="G94" s="312">
        <f t="shared" si="0"/>
        <v>0</v>
      </c>
      <c r="I94" s="430"/>
      <c r="K94" s="304"/>
      <c r="L94" s="439"/>
      <c r="M94" s="439"/>
      <c r="N94" s="439"/>
      <c r="O94" s="439"/>
      <c r="P94" s="439"/>
      <c r="Q94" s="431"/>
      <c r="R94" s="431"/>
    </row>
    <row r="95" spans="2:18" ht="15" customHeight="1">
      <c r="B95" s="408" t="s">
        <v>860</v>
      </c>
      <c r="C95" s="409"/>
      <c r="D95" s="410"/>
      <c r="E95" s="410"/>
      <c r="F95" s="451"/>
      <c r="G95" s="312">
        <f t="shared" si="0"/>
        <v>0</v>
      </c>
      <c r="I95" s="430"/>
      <c r="K95" s="304"/>
      <c r="L95" s="439"/>
      <c r="M95" s="439"/>
      <c r="N95" s="439"/>
      <c r="O95" s="439"/>
      <c r="P95" s="439"/>
      <c r="Q95" s="431"/>
      <c r="R95" s="431"/>
    </row>
    <row r="96" spans="2:18" ht="15" customHeight="1">
      <c r="B96" s="408" t="s">
        <v>860</v>
      </c>
      <c r="C96" s="409"/>
      <c r="D96" s="410"/>
      <c r="E96" s="410"/>
      <c r="F96" s="451"/>
      <c r="G96" s="312">
        <f t="shared" si="0"/>
        <v>0</v>
      </c>
      <c r="I96" s="430"/>
    </row>
    <row r="97" spans="2:9" ht="15" customHeight="1">
      <c r="B97" s="408" t="s">
        <v>860</v>
      </c>
      <c r="C97" s="409"/>
      <c r="D97" s="410"/>
      <c r="E97" s="410"/>
      <c r="F97" s="451"/>
      <c r="G97" s="312">
        <f t="shared" si="0"/>
        <v>0</v>
      </c>
      <c r="I97" s="430"/>
    </row>
    <row r="98" spans="2:9" ht="15" customHeight="1">
      <c r="C98" s="446"/>
      <c r="D98" s="304"/>
      <c r="E98" s="439" t="s">
        <v>2367</v>
      </c>
      <c r="F98" s="439"/>
      <c r="G98" s="435">
        <f>SUM(G90:G97)</f>
        <v>159720</v>
      </c>
      <c r="I98" s="430"/>
    </row>
    <row r="99" spans="2:9" ht="15" customHeight="1">
      <c r="I99" s="430"/>
    </row>
    <row r="100" spans="2:9" ht="15" customHeight="1">
      <c r="B100" s="304" t="s">
        <v>2368</v>
      </c>
      <c r="D100" s="431">
        <f>G98+Q93</f>
        <v>159720</v>
      </c>
      <c r="I100" s="430"/>
    </row>
    <row r="101" spans="2:9" ht="15" customHeight="1">
      <c r="B101" s="304" t="s">
        <v>2369</v>
      </c>
      <c r="D101" s="447">
        <v>0.05</v>
      </c>
      <c r="I101" s="430"/>
    </row>
    <row r="102" spans="2:9" ht="15" customHeight="1">
      <c r="B102" s="304" t="s">
        <v>2370</v>
      </c>
      <c r="D102" s="431">
        <f>D100-(D100*D101)</f>
        <v>151734</v>
      </c>
    </row>
    <row r="103" spans="2:9" ht="15" customHeight="1">
      <c r="B103" s="304" t="s">
        <v>2371</v>
      </c>
      <c r="D103" s="448"/>
    </row>
    <row r="104" spans="2:9" ht="15" customHeight="1">
      <c r="B104" s="304" t="s">
        <v>2372</v>
      </c>
      <c r="D104" s="431">
        <f>D102/D108</f>
        <v>131942.60869565219</v>
      </c>
    </row>
    <row r="106" spans="2:9" ht="15" customHeight="1">
      <c r="B106" s="304" t="s">
        <v>2373</v>
      </c>
      <c r="D106" s="304">
        <v>15</v>
      </c>
    </row>
    <row r="107" spans="2:9" ht="15" customHeight="1">
      <c r="B107" s="304" t="s">
        <v>2374</v>
      </c>
      <c r="D107" s="547">
        <v>0.04</v>
      </c>
    </row>
    <row r="108" spans="2:9" ht="15" customHeight="1">
      <c r="B108" s="304" t="s">
        <v>2375</v>
      </c>
      <c r="D108" s="449">
        <v>1.1499999999999999</v>
      </c>
    </row>
    <row r="109" spans="2:9" ht="15" customHeight="1">
      <c r="B109" s="304"/>
      <c r="C109" s="304"/>
      <c r="D109" s="450"/>
      <c r="E109" s="450"/>
      <c r="F109" s="450"/>
    </row>
    <row r="110" spans="2:9" ht="15" customHeight="1">
      <c r="B110" s="304" t="s">
        <v>2376</v>
      </c>
      <c r="C110" s="304"/>
      <c r="D110" s="542">
        <f>PV(D107/12,D106*12,-D104/12, ,0)</f>
        <v>1486467.0640997642</v>
      </c>
      <c r="E110" s="304"/>
      <c r="F110" s="304"/>
      <c r="G110" s="445"/>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XFD218"/>
  <sheetViews>
    <sheetView topLeftCell="A39" zoomScale="90" zoomScaleNormal="90" workbookViewId="0">
      <selection activeCell="D27" sqref="D27"/>
    </sheetView>
  </sheetViews>
  <sheetFormatPr defaultColWidth="0" defaultRowHeight="13.2" zeroHeight="1"/>
  <cols>
    <col min="1" max="1" width="3.44140625" customWidth="1"/>
    <col min="2" max="2" width="32.88671875" customWidth="1"/>
    <col min="3" max="3" width="9.44140625" customWidth="1"/>
    <col min="4" max="18" width="12.44140625" customWidth="1"/>
  </cols>
  <sheetData>
    <row r="1" spans="1:18" ht="17.399999999999999">
      <c r="A1" s="305" t="s">
        <v>2377</v>
      </c>
      <c r="B1" s="305"/>
      <c r="C1" s="295"/>
      <c r="D1" s="295"/>
      <c r="E1" s="295"/>
      <c r="F1" s="295"/>
      <c r="G1" s="295"/>
      <c r="H1" s="295"/>
      <c r="I1" s="295"/>
      <c r="J1" s="295"/>
      <c r="K1" s="295"/>
      <c r="L1" s="295"/>
      <c r="M1" s="295"/>
      <c r="N1" s="295"/>
      <c r="O1" s="295"/>
      <c r="P1" s="295"/>
      <c r="Q1" s="295"/>
      <c r="R1" s="295"/>
    </row>
    <row r="2" spans="1:18"/>
    <row r="3" spans="1:18" ht="15.6">
      <c r="A3" s="306" t="s">
        <v>2378</v>
      </c>
      <c r="B3" s="306"/>
      <c r="C3" s="331" t="s">
        <v>2379</v>
      </c>
      <c r="D3" s="332" t="s">
        <v>2380</v>
      </c>
      <c r="E3" s="332" t="s">
        <v>2381</v>
      </c>
      <c r="F3" s="332" t="s">
        <v>2382</v>
      </c>
      <c r="G3" s="332" t="s">
        <v>2383</v>
      </c>
      <c r="H3" s="332" t="s">
        <v>2384</v>
      </c>
      <c r="I3" s="332" t="s">
        <v>2385</v>
      </c>
      <c r="J3" s="332" t="s">
        <v>2386</v>
      </c>
      <c r="K3" s="332" t="s">
        <v>2387</v>
      </c>
      <c r="L3" s="332" t="s">
        <v>2388</v>
      </c>
      <c r="M3" s="332" t="s">
        <v>2389</v>
      </c>
      <c r="N3" s="332" t="s">
        <v>2390</v>
      </c>
      <c r="O3" s="332" t="s">
        <v>2391</v>
      </c>
      <c r="P3" s="332" t="s">
        <v>2392</v>
      </c>
      <c r="Q3" s="332" t="s">
        <v>2393</v>
      </c>
      <c r="R3" s="332" t="s">
        <v>2394</v>
      </c>
    </row>
    <row r="4" spans="1:18" ht="13.8">
      <c r="A4" s="312" t="s">
        <v>2395</v>
      </c>
      <c r="B4" s="312"/>
      <c r="C4" s="333">
        <v>1.0249999999999999</v>
      </c>
      <c r="D4" s="312">
        <f>Application!Y780</f>
        <v>198000</v>
      </c>
      <c r="E4" s="312">
        <f t="shared" ref="E4:R4" si="0">D4*$C$4</f>
        <v>202949.99999999997</v>
      </c>
      <c r="F4" s="312">
        <f t="shared" si="0"/>
        <v>208023.74999999994</v>
      </c>
      <c r="G4" s="312">
        <f t="shared" si="0"/>
        <v>213224.34374999991</v>
      </c>
      <c r="H4" s="312">
        <f t="shared" si="0"/>
        <v>218554.9523437499</v>
      </c>
      <c r="I4" s="312">
        <f t="shared" si="0"/>
        <v>224018.82615234362</v>
      </c>
      <c r="J4" s="312">
        <f t="shared" si="0"/>
        <v>229619.29680615218</v>
      </c>
      <c r="K4" s="312">
        <f t="shared" si="0"/>
        <v>235359.77922630595</v>
      </c>
      <c r="L4" s="312">
        <f t="shared" si="0"/>
        <v>241243.77370696358</v>
      </c>
      <c r="M4" s="312">
        <f t="shared" si="0"/>
        <v>247274.86804963765</v>
      </c>
      <c r="N4" s="312">
        <f t="shared" si="0"/>
        <v>253456.73975087857</v>
      </c>
      <c r="O4" s="312">
        <f t="shared" si="0"/>
        <v>259793.15824465052</v>
      </c>
      <c r="P4" s="312">
        <f t="shared" si="0"/>
        <v>266287.98720076674</v>
      </c>
      <c r="Q4" s="312">
        <f t="shared" si="0"/>
        <v>272945.18688078591</v>
      </c>
      <c r="R4" s="312">
        <f t="shared" si="0"/>
        <v>279768.81655280554</v>
      </c>
    </row>
    <row r="5" spans="1:18" ht="13.8">
      <c r="A5" s="304"/>
      <c r="B5" s="304" t="s">
        <v>2369</v>
      </c>
      <c r="C5" s="915">
        <f>IF(Application!$D$214="Special Needs",0.1,0.05)</f>
        <v>0.05</v>
      </c>
      <c r="D5" s="314">
        <f t="shared" ref="D5:R5" si="1">-D4*$C$5</f>
        <v>-9900</v>
      </c>
      <c r="E5" s="314">
        <f t="shared" si="1"/>
        <v>-10147.5</v>
      </c>
      <c r="F5" s="314">
        <f t="shared" si="1"/>
        <v>-10401.187499999998</v>
      </c>
      <c r="G5" s="314">
        <f t="shared" si="1"/>
        <v>-10661.217187499997</v>
      </c>
      <c r="H5" s="314">
        <f t="shared" si="1"/>
        <v>-10927.747617187495</v>
      </c>
      <c r="I5" s="314">
        <f t="shared" si="1"/>
        <v>-11200.941307617182</v>
      </c>
      <c r="J5" s="314">
        <f t="shared" si="1"/>
        <v>-11480.96484030761</v>
      </c>
      <c r="K5" s="314">
        <f t="shared" si="1"/>
        <v>-11767.988961315299</v>
      </c>
      <c r="L5" s="314">
        <f t="shared" si="1"/>
        <v>-12062.188685348179</v>
      </c>
      <c r="M5" s="314">
        <f t="shared" si="1"/>
        <v>-12363.743402481883</v>
      </c>
      <c r="N5" s="314">
        <f t="shared" si="1"/>
        <v>-12672.836987543929</v>
      </c>
      <c r="O5" s="314">
        <f t="shared" si="1"/>
        <v>-12989.657912232527</v>
      </c>
      <c r="P5" s="314">
        <f t="shared" si="1"/>
        <v>-13314.399360038338</v>
      </c>
      <c r="Q5" s="314">
        <f t="shared" si="1"/>
        <v>-13647.259344039296</v>
      </c>
      <c r="R5" s="314">
        <f t="shared" si="1"/>
        <v>-13988.440827640277</v>
      </c>
    </row>
    <row r="6" spans="1:18" ht="13.8">
      <c r="A6" s="304" t="s">
        <v>2396</v>
      </c>
      <c r="B6" s="304"/>
      <c r="C6" s="333">
        <v>1.0249999999999999</v>
      </c>
      <c r="D6" s="315">
        <f>Application!Z788</f>
        <v>135960</v>
      </c>
      <c r="E6" s="315">
        <f t="shared" ref="E6:R6" si="2">D6*$C$6</f>
        <v>139359</v>
      </c>
      <c r="F6" s="315">
        <f t="shared" si="2"/>
        <v>142842.97499999998</v>
      </c>
      <c r="G6" s="315">
        <f t="shared" si="2"/>
        <v>146414.04937499997</v>
      </c>
      <c r="H6" s="315">
        <f t="shared" si="2"/>
        <v>150074.40060937495</v>
      </c>
      <c r="I6" s="315">
        <f t="shared" si="2"/>
        <v>153826.26062460931</v>
      </c>
      <c r="J6" s="315">
        <f t="shared" si="2"/>
        <v>157671.91714022451</v>
      </c>
      <c r="K6" s="315">
        <f t="shared" si="2"/>
        <v>161613.71506873012</v>
      </c>
      <c r="L6" s="315">
        <f t="shared" si="2"/>
        <v>165654.05794544835</v>
      </c>
      <c r="M6" s="315">
        <f t="shared" si="2"/>
        <v>169795.40939408453</v>
      </c>
      <c r="N6" s="315">
        <f t="shared" si="2"/>
        <v>174040.29462893662</v>
      </c>
      <c r="O6" s="315">
        <f t="shared" si="2"/>
        <v>178391.30199466003</v>
      </c>
      <c r="P6" s="315">
        <f t="shared" si="2"/>
        <v>182851.0845445265</v>
      </c>
      <c r="Q6" s="315">
        <f t="shared" si="2"/>
        <v>187422.36165813965</v>
      </c>
      <c r="R6" s="315">
        <f t="shared" si="2"/>
        <v>192107.92069959312</v>
      </c>
    </row>
    <row r="7" spans="1:18" ht="13.8">
      <c r="A7" s="304"/>
      <c r="B7" s="304" t="s">
        <v>2369</v>
      </c>
      <c r="C7" s="915">
        <f>IF(Application!$D$214="Special Needs",0.1,0.05)</f>
        <v>0.05</v>
      </c>
      <c r="D7" s="314">
        <f t="shared" ref="D7:R7" si="3">-D6*$C$7</f>
        <v>-6798</v>
      </c>
      <c r="E7" s="314">
        <f t="shared" si="3"/>
        <v>-6967.9500000000007</v>
      </c>
      <c r="F7" s="314">
        <f t="shared" si="3"/>
        <v>-7142.1487499999994</v>
      </c>
      <c r="G7" s="314">
        <f t="shared" si="3"/>
        <v>-7320.7024687499988</v>
      </c>
      <c r="H7" s="314">
        <f t="shared" si="3"/>
        <v>-7503.7200304687476</v>
      </c>
      <c r="I7" s="314">
        <f t="shared" si="3"/>
        <v>-7691.3130312304656</v>
      </c>
      <c r="J7" s="314">
        <f t="shared" si="3"/>
        <v>-7883.5958570112261</v>
      </c>
      <c r="K7" s="314">
        <f t="shared" si="3"/>
        <v>-8080.6857534365063</v>
      </c>
      <c r="L7" s="314">
        <f t="shared" si="3"/>
        <v>-8282.7028972724183</v>
      </c>
      <c r="M7" s="314">
        <f t="shared" si="3"/>
        <v>-8489.7704697042263</v>
      </c>
      <c r="N7" s="314">
        <f t="shared" si="3"/>
        <v>-8702.0147314468322</v>
      </c>
      <c r="O7" s="314">
        <f t="shared" si="3"/>
        <v>-8919.5650997330013</v>
      </c>
      <c r="P7" s="314">
        <f t="shared" si="3"/>
        <v>-9142.5542272263247</v>
      </c>
      <c r="Q7" s="314">
        <f t="shared" si="3"/>
        <v>-9371.1180829069835</v>
      </c>
      <c r="R7" s="314">
        <f t="shared" si="3"/>
        <v>-9605.3960349796562</v>
      </c>
    </row>
    <row r="8" spans="1:18" ht="13.8">
      <c r="A8" s="304" t="s">
        <v>210</v>
      </c>
      <c r="B8" s="304"/>
      <c r="C8" s="333">
        <v>1.0249999999999999</v>
      </c>
      <c r="D8" s="315">
        <f>Application!Z796</f>
        <v>0</v>
      </c>
      <c r="E8" s="315">
        <f t="shared" ref="E8:R8" si="4">D8*$C$8</f>
        <v>0</v>
      </c>
      <c r="F8" s="315">
        <f t="shared" si="4"/>
        <v>0</v>
      </c>
      <c r="G8" s="315">
        <f t="shared" si="4"/>
        <v>0</v>
      </c>
      <c r="H8" s="315">
        <f t="shared" si="4"/>
        <v>0</v>
      </c>
      <c r="I8" s="315">
        <f t="shared" si="4"/>
        <v>0</v>
      </c>
      <c r="J8" s="315">
        <f t="shared" si="4"/>
        <v>0</v>
      </c>
      <c r="K8" s="315">
        <f t="shared" si="4"/>
        <v>0</v>
      </c>
      <c r="L8" s="315">
        <f t="shared" si="4"/>
        <v>0</v>
      </c>
      <c r="M8" s="315">
        <f t="shared" si="4"/>
        <v>0</v>
      </c>
      <c r="N8" s="315">
        <f t="shared" si="4"/>
        <v>0</v>
      </c>
      <c r="O8" s="315">
        <f t="shared" si="4"/>
        <v>0</v>
      </c>
      <c r="P8" s="315">
        <f t="shared" si="4"/>
        <v>0</v>
      </c>
      <c r="Q8" s="315">
        <f t="shared" si="4"/>
        <v>0</v>
      </c>
      <c r="R8" s="315">
        <f t="shared" si="4"/>
        <v>0</v>
      </c>
    </row>
    <row r="9" spans="1:18" ht="13.8">
      <c r="A9" s="304"/>
      <c r="B9" s="304" t="s">
        <v>2369</v>
      </c>
      <c r="C9" s="915">
        <f>IF(Application!$D$214="Special Needs",0.1,0.05)</f>
        <v>0.05</v>
      </c>
      <c r="D9" s="314">
        <f t="shared" ref="D9:R9" si="5">-D8*$C$9</f>
        <v>0</v>
      </c>
      <c r="E9" s="314">
        <f t="shared" si="5"/>
        <v>0</v>
      </c>
      <c r="F9" s="314">
        <f t="shared" si="5"/>
        <v>0</v>
      </c>
      <c r="G9" s="314">
        <f t="shared" si="5"/>
        <v>0</v>
      </c>
      <c r="H9" s="314">
        <f t="shared" si="5"/>
        <v>0</v>
      </c>
      <c r="I9" s="314">
        <f t="shared" si="5"/>
        <v>0</v>
      </c>
      <c r="J9" s="314">
        <f t="shared" si="5"/>
        <v>0</v>
      </c>
      <c r="K9" s="314">
        <f t="shared" si="5"/>
        <v>0</v>
      </c>
      <c r="L9" s="314">
        <f t="shared" si="5"/>
        <v>0</v>
      </c>
      <c r="M9" s="314">
        <f t="shared" si="5"/>
        <v>0</v>
      </c>
      <c r="N9" s="314">
        <f t="shared" si="5"/>
        <v>0</v>
      </c>
      <c r="O9" s="314">
        <f t="shared" si="5"/>
        <v>0</v>
      </c>
      <c r="P9" s="314">
        <f t="shared" si="5"/>
        <v>0</v>
      </c>
      <c r="Q9" s="314">
        <f t="shared" si="5"/>
        <v>0</v>
      </c>
      <c r="R9" s="314">
        <f t="shared" si="5"/>
        <v>0</v>
      </c>
    </row>
    <row r="10" spans="1:18" ht="13.8">
      <c r="A10" s="819" t="s">
        <v>2397</v>
      </c>
      <c r="B10" s="819"/>
      <c r="C10" s="915"/>
      <c r="D10" s="820"/>
      <c r="E10" s="820"/>
      <c r="F10" s="820"/>
      <c r="G10" s="820"/>
      <c r="H10" s="820"/>
      <c r="I10" s="820"/>
      <c r="J10" s="820"/>
      <c r="K10" s="820"/>
      <c r="L10" s="820"/>
      <c r="M10" s="820"/>
      <c r="N10" s="820"/>
      <c r="O10" s="820"/>
      <c r="P10" s="820"/>
      <c r="Q10" s="820"/>
      <c r="R10" s="820"/>
    </row>
    <row r="11" spans="1:18" ht="13.8">
      <c r="A11" s="316" t="s">
        <v>2398</v>
      </c>
      <c r="B11" s="316"/>
      <c r="C11" s="309"/>
      <c r="D11" s="316">
        <f t="shared" ref="D11:R11" si="6">SUM(D4:D10)</f>
        <v>317262</v>
      </c>
      <c r="E11" s="316">
        <f t="shared" si="6"/>
        <v>325193.55</v>
      </c>
      <c r="F11" s="316">
        <f t="shared" si="6"/>
        <v>333323.38874999993</v>
      </c>
      <c r="G11" s="316">
        <f t="shared" si="6"/>
        <v>341656.47346874984</v>
      </c>
      <c r="H11" s="316">
        <f t="shared" si="6"/>
        <v>350197.88530546858</v>
      </c>
      <c r="I11" s="316">
        <f t="shared" si="6"/>
        <v>358952.83243810525</v>
      </c>
      <c r="J11" s="316">
        <f t="shared" si="6"/>
        <v>367926.65324905788</v>
      </c>
      <c r="K11" s="316">
        <f t="shared" si="6"/>
        <v>377124.81958028424</v>
      </c>
      <c r="L11" s="316">
        <f t="shared" si="6"/>
        <v>386552.94006979134</v>
      </c>
      <c r="M11" s="316">
        <f t="shared" si="6"/>
        <v>396216.76357153605</v>
      </c>
      <c r="N11" s="316">
        <f t="shared" si="6"/>
        <v>406122.18266082444</v>
      </c>
      <c r="O11" s="316">
        <f t="shared" si="6"/>
        <v>416275.237227345</v>
      </c>
      <c r="P11" s="316">
        <f t="shared" si="6"/>
        <v>426682.11815802858</v>
      </c>
      <c r="Q11" s="316">
        <f t="shared" si="6"/>
        <v>437349.17111197923</v>
      </c>
      <c r="R11" s="316">
        <f t="shared" si="6"/>
        <v>448282.90038977872</v>
      </c>
    </row>
    <row r="12" spans="1:18">
      <c r="A12" s="295"/>
      <c r="B12" s="295"/>
      <c r="C12" s="326"/>
      <c r="D12" s="308"/>
      <c r="E12" s="308"/>
      <c r="F12" s="308"/>
      <c r="G12" s="308"/>
      <c r="H12" s="308"/>
      <c r="I12" s="308"/>
      <c r="J12" s="308"/>
      <c r="K12" s="308"/>
      <c r="L12" s="308"/>
      <c r="M12" s="308"/>
      <c r="N12" s="308"/>
      <c r="O12" s="308"/>
      <c r="P12" s="308"/>
      <c r="Q12" s="308"/>
      <c r="R12" s="308"/>
    </row>
    <row r="13" spans="1:18" ht="15.6">
      <c r="A13" s="306" t="s">
        <v>2399</v>
      </c>
      <c r="B13" s="295"/>
      <c r="C13" s="326"/>
      <c r="D13" s="308"/>
      <c r="E13" s="308"/>
      <c r="F13" s="308"/>
      <c r="G13" s="308"/>
      <c r="H13" s="308"/>
      <c r="I13" s="308"/>
      <c r="J13" s="308"/>
      <c r="K13" s="308"/>
      <c r="L13" s="308"/>
      <c r="M13" s="308"/>
      <c r="N13" s="308"/>
      <c r="O13" s="308"/>
      <c r="P13" s="308"/>
      <c r="Q13" s="308"/>
      <c r="R13" s="308"/>
    </row>
    <row r="14" spans="1:18" ht="13.8">
      <c r="A14" s="304" t="s">
        <v>2400</v>
      </c>
      <c r="B14" s="304"/>
      <c r="C14" s="333">
        <v>1.0349999999999999</v>
      </c>
      <c r="D14" s="315"/>
      <c r="E14" s="315"/>
      <c r="F14" s="315"/>
      <c r="G14" s="315"/>
      <c r="H14" s="315"/>
      <c r="I14" s="315"/>
      <c r="J14" s="315"/>
      <c r="K14" s="315"/>
      <c r="L14" s="315"/>
      <c r="M14" s="315"/>
      <c r="N14" s="315"/>
      <c r="O14" s="315"/>
      <c r="P14" s="315"/>
      <c r="Q14" s="315"/>
      <c r="R14" s="315"/>
    </row>
    <row r="15" spans="1:18" ht="13.8">
      <c r="A15" s="312" t="s">
        <v>2401</v>
      </c>
      <c r="B15" s="312"/>
      <c r="C15" s="327"/>
      <c r="D15" s="312">
        <f>Application!W826</f>
        <v>23450</v>
      </c>
      <c r="E15" s="312">
        <f t="shared" ref="E15:Q15" si="7">D15*$C$14</f>
        <v>24270.749999999996</v>
      </c>
      <c r="F15" s="312">
        <f t="shared" si="7"/>
        <v>25120.226249999996</v>
      </c>
      <c r="G15" s="312">
        <f t="shared" si="7"/>
        <v>25999.434168749995</v>
      </c>
      <c r="H15" s="312">
        <f t="shared" si="7"/>
        <v>26909.414364656241</v>
      </c>
      <c r="I15" s="312">
        <f t="shared" si="7"/>
        <v>27851.243867419205</v>
      </c>
      <c r="J15" s="312">
        <f t="shared" si="7"/>
        <v>28826.037402778875</v>
      </c>
      <c r="K15" s="312">
        <f t="shared" si="7"/>
        <v>29834.948711876132</v>
      </c>
      <c r="L15" s="312">
        <f t="shared" si="7"/>
        <v>30879.171916791795</v>
      </c>
      <c r="M15" s="312">
        <f t="shared" si="7"/>
        <v>31959.942933879505</v>
      </c>
      <c r="N15" s="312">
        <f t="shared" si="7"/>
        <v>33078.540936565289</v>
      </c>
      <c r="O15" s="312">
        <f t="shared" si="7"/>
        <v>34236.28986934507</v>
      </c>
      <c r="P15" s="312">
        <f t="shared" si="7"/>
        <v>35434.560014772142</v>
      </c>
      <c r="Q15" s="312">
        <f t="shared" si="7"/>
        <v>36674.769615289166</v>
      </c>
      <c r="R15" s="312">
        <f t="shared" ref="R15:R21" si="8">Q15*$C$14</f>
        <v>37958.386551824282</v>
      </c>
    </row>
    <row r="16" spans="1:18" ht="13.8">
      <c r="A16" s="304" t="s">
        <v>1452</v>
      </c>
      <c r="B16" s="304"/>
      <c r="C16" s="326"/>
      <c r="D16" s="315">
        <f>Application!W828</f>
        <v>24564</v>
      </c>
      <c r="E16" s="315">
        <f t="shared" ref="E16:Q16" si="9">D16*$C$14</f>
        <v>25423.739999999998</v>
      </c>
      <c r="F16" s="315">
        <f t="shared" si="9"/>
        <v>26313.570899999995</v>
      </c>
      <c r="G16" s="315">
        <f t="shared" si="9"/>
        <v>27234.545881499991</v>
      </c>
      <c r="H16" s="315">
        <f t="shared" si="9"/>
        <v>28187.754987352488</v>
      </c>
      <c r="I16" s="315">
        <f t="shared" si="9"/>
        <v>29174.326411909824</v>
      </c>
      <c r="J16" s="315">
        <f t="shared" si="9"/>
        <v>30195.427836326664</v>
      </c>
      <c r="K16" s="315">
        <f t="shared" si="9"/>
        <v>31252.267810598096</v>
      </c>
      <c r="L16" s="315">
        <f t="shared" si="9"/>
        <v>32346.097183969028</v>
      </c>
      <c r="M16" s="315">
        <f t="shared" si="9"/>
        <v>33478.210585407942</v>
      </c>
      <c r="N16" s="315">
        <f t="shared" si="9"/>
        <v>34649.947955897216</v>
      </c>
      <c r="O16" s="315">
        <f t="shared" si="9"/>
        <v>35862.696134353617</v>
      </c>
      <c r="P16" s="315">
        <f t="shared" si="9"/>
        <v>37117.890499055989</v>
      </c>
      <c r="Q16" s="315">
        <f t="shared" si="9"/>
        <v>38417.016666522948</v>
      </c>
      <c r="R16" s="315">
        <f t="shared" si="8"/>
        <v>39761.612249851249</v>
      </c>
    </row>
    <row r="17" spans="1:18" ht="13.8">
      <c r="A17" s="304" t="s">
        <v>225</v>
      </c>
      <c r="B17" s="304"/>
      <c r="C17" s="326"/>
      <c r="D17" s="315">
        <f>Application!W834</f>
        <v>57500</v>
      </c>
      <c r="E17" s="315">
        <f t="shared" ref="E17:Q17" si="10">D17*$C$14</f>
        <v>59512.499999999993</v>
      </c>
      <c r="F17" s="315">
        <f t="shared" si="10"/>
        <v>61595.437499999985</v>
      </c>
      <c r="G17" s="315">
        <f t="shared" si="10"/>
        <v>63751.277812499982</v>
      </c>
      <c r="H17" s="315">
        <f t="shared" si="10"/>
        <v>65982.572535937477</v>
      </c>
      <c r="I17" s="315">
        <f t="shared" si="10"/>
        <v>68291.962574695281</v>
      </c>
      <c r="J17" s="315">
        <f t="shared" si="10"/>
        <v>70682.181264809609</v>
      </c>
      <c r="K17" s="315">
        <f t="shared" si="10"/>
        <v>73156.057609077936</v>
      </c>
      <c r="L17" s="315">
        <f t="shared" si="10"/>
        <v>75716.519625395653</v>
      </c>
      <c r="M17" s="315">
        <f t="shared" si="10"/>
        <v>78366.597812284497</v>
      </c>
      <c r="N17" s="315">
        <f t="shared" si="10"/>
        <v>81109.428735714449</v>
      </c>
      <c r="O17" s="315">
        <f t="shared" si="10"/>
        <v>83948.258741464451</v>
      </c>
      <c r="P17" s="315">
        <f t="shared" si="10"/>
        <v>86886.447797415705</v>
      </c>
      <c r="Q17" s="315">
        <f t="shared" si="10"/>
        <v>89927.473470325247</v>
      </c>
      <c r="R17" s="315">
        <f t="shared" si="8"/>
        <v>93074.935041786623</v>
      </c>
    </row>
    <row r="18" spans="1:18" ht="13.8">
      <c r="A18" s="304" t="s">
        <v>2402</v>
      </c>
      <c r="B18" s="304"/>
      <c r="C18" s="326"/>
      <c r="D18" s="315">
        <f>Application!W841</f>
        <v>65632</v>
      </c>
      <c r="E18" s="315">
        <f t="shared" ref="E18:Q18" si="11">D18*$C$14</f>
        <v>67929.119999999995</v>
      </c>
      <c r="F18" s="315">
        <f t="shared" si="11"/>
        <v>70306.639199999991</v>
      </c>
      <c r="G18" s="315">
        <f t="shared" si="11"/>
        <v>72767.371571999989</v>
      </c>
      <c r="H18" s="315">
        <f t="shared" si="11"/>
        <v>75314.229577019985</v>
      </c>
      <c r="I18" s="315">
        <f t="shared" si="11"/>
        <v>77950.227612215676</v>
      </c>
      <c r="J18" s="315">
        <f t="shared" si="11"/>
        <v>80678.485578643216</v>
      </c>
      <c r="K18" s="315">
        <f t="shared" si="11"/>
        <v>83502.232573895715</v>
      </c>
      <c r="L18" s="315">
        <f t="shared" si="11"/>
        <v>86424.810713982064</v>
      </c>
      <c r="M18" s="315">
        <f t="shared" si="11"/>
        <v>89449.679088971432</v>
      </c>
      <c r="N18" s="315">
        <f t="shared" si="11"/>
        <v>92580.417857085427</v>
      </c>
      <c r="O18" s="315">
        <f t="shared" si="11"/>
        <v>95820.732482083404</v>
      </c>
      <c r="P18" s="315">
        <f t="shared" si="11"/>
        <v>99174.458118956318</v>
      </c>
      <c r="Q18" s="315">
        <f t="shared" si="11"/>
        <v>102645.56415311978</v>
      </c>
      <c r="R18" s="315">
        <f t="shared" si="8"/>
        <v>106238.15889847896</v>
      </c>
    </row>
    <row r="19" spans="1:18" ht="13.8">
      <c r="A19" s="304" t="s">
        <v>1670</v>
      </c>
      <c r="B19" s="304"/>
      <c r="C19" s="326"/>
      <c r="D19" s="315">
        <f>Application!W842</f>
        <v>10582</v>
      </c>
      <c r="E19" s="315">
        <f t="shared" ref="E19:Q19" si="12">D19*$C$14</f>
        <v>10952.369999999999</v>
      </c>
      <c r="F19" s="315">
        <f t="shared" si="12"/>
        <v>11335.702949999999</v>
      </c>
      <c r="G19" s="315">
        <f t="shared" si="12"/>
        <v>11732.452553249997</v>
      </c>
      <c r="H19" s="315">
        <f t="shared" si="12"/>
        <v>12143.088392613747</v>
      </c>
      <c r="I19" s="315">
        <f t="shared" si="12"/>
        <v>12568.096486355227</v>
      </c>
      <c r="J19" s="315">
        <f t="shared" si="12"/>
        <v>13007.979863377659</v>
      </c>
      <c r="K19" s="315">
        <f t="shared" si="12"/>
        <v>13463.259158595876</v>
      </c>
      <c r="L19" s="315">
        <f t="shared" si="12"/>
        <v>13934.473229146732</v>
      </c>
      <c r="M19" s="315">
        <f t="shared" si="12"/>
        <v>14422.179792166866</v>
      </c>
      <c r="N19" s="315">
        <f t="shared" si="12"/>
        <v>14926.956084892705</v>
      </c>
      <c r="O19" s="315">
        <f t="shared" si="12"/>
        <v>15449.399547863948</v>
      </c>
      <c r="P19" s="315">
        <f t="shared" si="12"/>
        <v>15990.128532039185</v>
      </c>
      <c r="Q19" s="315">
        <f t="shared" si="12"/>
        <v>16549.783030660554</v>
      </c>
      <c r="R19" s="315">
        <f t="shared" si="8"/>
        <v>17129.025436733671</v>
      </c>
    </row>
    <row r="20" spans="1:18" ht="13.8">
      <c r="A20" s="304" t="s">
        <v>227</v>
      </c>
      <c r="B20" s="304"/>
      <c r="C20" s="326"/>
      <c r="D20" s="315">
        <f>Application!W851</f>
        <v>38300</v>
      </c>
      <c r="E20" s="315">
        <f t="shared" ref="E20:Q20" si="13">D20*$C$14</f>
        <v>39640.5</v>
      </c>
      <c r="F20" s="315">
        <f t="shared" si="13"/>
        <v>41027.917499999996</v>
      </c>
      <c r="G20" s="315">
        <f t="shared" si="13"/>
        <v>42463.894612499993</v>
      </c>
      <c r="H20" s="315">
        <f t="shared" si="13"/>
        <v>43950.13092393749</v>
      </c>
      <c r="I20" s="315">
        <f t="shared" si="13"/>
        <v>45488.385506275299</v>
      </c>
      <c r="J20" s="315">
        <f t="shared" si="13"/>
        <v>47080.478998994928</v>
      </c>
      <c r="K20" s="315">
        <f t="shared" si="13"/>
        <v>48728.295763959744</v>
      </c>
      <c r="L20" s="315">
        <f t="shared" si="13"/>
        <v>50433.786115698334</v>
      </c>
      <c r="M20" s="315">
        <f t="shared" si="13"/>
        <v>52198.968629747775</v>
      </c>
      <c r="N20" s="315">
        <f t="shared" si="13"/>
        <v>54025.932531788945</v>
      </c>
      <c r="O20" s="315">
        <f t="shared" si="13"/>
        <v>55916.840170401556</v>
      </c>
      <c r="P20" s="315">
        <f t="shared" si="13"/>
        <v>57873.929576365605</v>
      </c>
      <c r="Q20" s="315">
        <f t="shared" si="13"/>
        <v>59899.517111538393</v>
      </c>
      <c r="R20" s="315">
        <f t="shared" si="8"/>
        <v>61996.000210442231</v>
      </c>
    </row>
    <row r="21" spans="1:18" ht="13.8">
      <c r="A21" s="505" t="s">
        <v>2403</v>
      </c>
      <c r="B21" s="505"/>
      <c r="C21" s="326"/>
      <c r="D21" s="325">
        <f>Application!W858</f>
        <v>1270</v>
      </c>
      <c r="E21" s="325">
        <f t="shared" ref="E21:Q21" si="14">D21*$C$14</f>
        <v>1314.4499999999998</v>
      </c>
      <c r="F21" s="325">
        <f t="shared" si="14"/>
        <v>1360.4557499999996</v>
      </c>
      <c r="G21" s="325">
        <f t="shared" si="14"/>
        <v>1408.0717012499995</v>
      </c>
      <c r="H21" s="325">
        <f t="shared" si="14"/>
        <v>1457.3542107937494</v>
      </c>
      <c r="I21" s="325">
        <f t="shared" si="14"/>
        <v>1508.3616081715306</v>
      </c>
      <c r="J21" s="325">
        <f t="shared" si="14"/>
        <v>1561.1542644575341</v>
      </c>
      <c r="K21" s="325">
        <f t="shared" si="14"/>
        <v>1615.7946637135476</v>
      </c>
      <c r="L21" s="325">
        <f t="shared" si="14"/>
        <v>1672.3474769435215</v>
      </c>
      <c r="M21" s="325">
        <f t="shared" si="14"/>
        <v>1730.8796386365448</v>
      </c>
      <c r="N21" s="325">
        <f t="shared" si="14"/>
        <v>1791.4604259888238</v>
      </c>
      <c r="O21" s="325">
        <f t="shared" si="14"/>
        <v>1854.1615408984323</v>
      </c>
      <c r="P21" s="325">
        <f t="shared" si="14"/>
        <v>1919.0571948298773</v>
      </c>
      <c r="Q21" s="325">
        <f t="shared" si="14"/>
        <v>1986.2241966489228</v>
      </c>
      <c r="R21" s="325">
        <f t="shared" si="8"/>
        <v>2055.7420435316349</v>
      </c>
    </row>
    <row r="22" spans="1:18" ht="13.8">
      <c r="A22" s="316" t="s">
        <v>2404</v>
      </c>
      <c r="B22" s="316"/>
      <c r="C22" s="326"/>
      <c r="D22" s="316">
        <f t="shared" ref="D22:R22" si="15">SUM(D15:D21)</f>
        <v>221298</v>
      </c>
      <c r="E22" s="316">
        <f t="shared" si="15"/>
        <v>229043.43</v>
      </c>
      <c r="F22" s="316">
        <f t="shared" si="15"/>
        <v>237059.95004999996</v>
      </c>
      <c r="G22" s="316">
        <f t="shared" si="15"/>
        <v>245357.04830174995</v>
      </c>
      <c r="H22" s="316">
        <f t="shared" si="15"/>
        <v>253944.54499231116</v>
      </c>
      <c r="I22" s="316">
        <f t="shared" si="15"/>
        <v>262832.60406704206</v>
      </c>
      <c r="J22" s="316">
        <f t="shared" si="15"/>
        <v>272031.74520938849</v>
      </c>
      <c r="K22" s="316">
        <f t="shared" si="15"/>
        <v>281552.85629171703</v>
      </c>
      <c r="L22" s="316">
        <f t="shared" si="15"/>
        <v>291407.20626192709</v>
      </c>
      <c r="M22" s="316">
        <f t="shared" si="15"/>
        <v>301606.45848109457</v>
      </c>
      <c r="N22" s="316">
        <f t="shared" si="15"/>
        <v>312162.68452793284</v>
      </c>
      <c r="O22" s="316">
        <f t="shared" si="15"/>
        <v>323088.37848641048</v>
      </c>
      <c r="P22" s="316">
        <f t="shared" si="15"/>
        <v>334396.47173343482</v>
      </c>
      <c r="Q22" s="316">
        <f t="shared" si="15"/>
        <v>346100.348244105</v>
      </c>
      <c r="R22" s="316">
        <f t="shared" si="15"/>
        <v>358213.86043264862</v>
      </c>
    </row>
    <row r="23" spans="1:18" ht="13.8">
      <c r="A23" s="316"/>
      <c r="B23" s="316"/>
      <c r="C23" s="326"/>
      <c r="D23" s="316"/>
      <c r="E23" s="316"/>
      <c r="F23" s="316"/>
      <c r="G23" s="316"/>
      <c r="H23" s="316"/>
      <c r="I23" s="316"/>
      <c r="J23" s="316"/>
      <c r="K23" s="316"/>
      <c r="L23" s="316"/>
      <c r="M23" s="316"/>
      <c r="N23" s="316"/>
      <c r="O23" s="316"/>
      <c r="P23" s="316"/>
      <c r="Q23" s="316"/>
      <c r="R23" s="316"/>
    </row>
    <row r="24" spans="1:18" ht="13.8">
      <c r="A24" s="505" t="s">
        <v>2405</v>
      </c>
      <c r="B24" s="505"/>
      <c r="C24" s="705"/>
      <c r="D24" s="706"/>
      <c r="E24" s="312">
        <f t="shared" ref="E24:R24" si="16">D24*$C$24</f>
        <v>0</v>
      </c>
      <c r="F24" s="312">
        <f t="shared" si="16"/>
        <v>0</v>
      </c>
      <c r="G24" s="312">
        <f t="shared" si="16"/>
        <v>0</v>
      </c>
      <c r="H24" s="312">
        <f t="shared" si="16"/>
        <v>0</v>
      </c>
      <c r="I24" s="312">
        <f t="shared" si="16"/>
        <v>0</v>
      </c>
      <c r="J24" s="312">
        <f t="shared" si="16"/>
        <v>0</v>
      </c>
      <c r="K24" s="312">
        <f t="shared" si="16"/>
        <v>0</v>
      </c>
      <c r="L24" s="312">
        <f t="shared" si="16"/>
        <v>0</v>
      </c>
      <c r="M24" s="312">
        <f t="shared" si="16"/>
        <v>0</v>
      </c>
      <c r="N24" s="312">
        <f t="shared" si="16"/>
        <v>0</v>
      </c>
      <c r="O24" s="312">
        <f t="shared" si="16"/>
        <v>0</v>
      </c>
      <c r="P24" s="312">
        <f t="shared" si="16"/>
        <v>0</v>
      </c>
      <c r="Q24" s="312">
        <f t="shared" si="16"/>
        <v>0</v>
      </c>
      <c r="R24" s="312">
        <f t="shared" si="16"/>
        <v>0</v>
      </c>
    </row>
    <row r="25" spans="1:18" ht="13.8">
      <c r="A25" s="304"/>
      <c r="B25" s="304"/>
      <c r="C25" s="326"/>
      <c r="D25" s="315"/>
      <c r="E25" s="315"/>
      <c r="F25" s="315"/>
      <c r="G25" s="315"/>
      <c r="H25" s="315"/>
      <c r="I25" s="315"/>
      <c r="J25" s="315"/>
      <c r="K25" s="315"/>
      <c r="L25" s="315"/>
      <c r="M25" s="315"/>
      <c r="N25" s="315"/>
      <c r="O25" s="315"/>
      <c r="P25" s="315"/>
      <c r="Q25" s="315"/>
      <c r="R25" s="315"/>
    </row>
    <row r="26" spans="1:18" ht="13.8">
      <c r="A26" s="304" t="s">
        <v>2406</v>
      </c>
      <c r="B26" s="304"/>
      <c r="C26" s="333">
        <v>1.0349999999999999</v>
      </c>
      <c r="D26" s="312">
        <f>Application!AC866</f>
        <v>0</v>
      </c>
      <c r="E26" s="312">
        <f t="shared" ref="E26:R26" si="17">D26*$C$26</f>
        <v>0</v>
      </c>
      <c r="F26" s="312">
        <f t="shared" si="17"/>
        <v>0</v>
      </c>
      <c r="G26" s="312">
        <f t="shared" si="17"/>
        <v>0</v>
      </c>
      <c r="H26" s="312">
        <f t="shared" si="17"/>
        <v>0</v>
      </c>
      <c r="I26" s="312">
        <f t="shared" si="17"/>
        <v>0</v>
      </c>
      <c r="J26" s="312">
        <f t="shared" si="17"/>
        <v>0</v>
      </c>
      <c r="K26" s="312">
        <f t="shared" si="17"/>
        <v>0</v>
      </c>
      <c r="L26" s="312">
        <f t="shared" si="17"/>
        <v>0</v>
      </c>
      <c r="M26" s="312">
        <f t="shared" si="17"/>
        <v>0</v>
      </c>
      <c r="N26" s="312">
        <f t="shared" si="17"/>
        <v>0</v>
      </c>
      <c r="O26" s="312">
        <f t="shared" si="17"/>
        <v>0</v>
      </c>
      <c r="P26" s="312">
        <f t="shared" si="17"/>
        <v>0</v>
      </c>
      <c r="Q26" s="312">
        <f t="shared" si="17"/>
        <v>0</v>
      </c>
      <c r="R26" s="312">
        <f t="shared" si="17"/>
        <v>0</v>
      </c>
    </row>
    <row r="27" spans="1:18" ht="13.8">
      <c r="A27" s="304" t="s">
        <v>2407</v>
      </c>
      <c r="B27" s="304"/>
      <c r="C27" s="333">
        <v>1.0349999999999999</v>
      </c>
      <c r="D27" s="315">
        <f>Application!AC867</f>
        <v>5390</v>
      </c>
      <c r="E27" s="315">
        <f t="shared" ref="E27:R27" si="18">D27*$C$27</f>
        <v>5578.65</v>
      </c>
      <c r="F27" s="315">
        <f t="shared" si="18"/>
        <v>5773.9027499999993</v>
      </c>
      <c r="G27" s="315">
        <f t="shared" si="18"/>
        <v>5975.9893462499986</v>
      </c>
      <c r="H27" s="315">
        <f t="shared" si="18"/>
        <v>6185.1489733687476</v>
      </c>
      <c r="I27" s="315">
        <f t="shared" si="18"/>
        <v>6401.6291874366534</v>
      </c>
      <c r="J27" s="315">
        <f t="shared" si="18"/>
        <v>6625.6862089969354</v>
      </c>
      <c r="K27" s="315">
        <f t="shared" si="18"/>
        <v>6857.5852263118277</v>
      </c>
      <c r="L27" s="315">
        <f t="shared" si="18"/>
        <v>7097.6007092327409</v>
      </c>
      <c r="M27" s="315">
        <f t="shared" si="18"/>
        <v>7346.0167340558864</v>
      </c>
      <c r="N27" s="315">
        <f t="shared" si="18"/>
        <v>7603.1273197478422</v>
      </c>
      <c r="O27" s="315">
        <f t="shared" si="18"/>
        <v>7869.2367759390163</v>
      </c>
      <c r="P27" s="315">
        <f t="shared" si="18"/>
        <v>8144.6600630968815</v>
      </c>
      <c r="Q27" s="315">
        <f t="shared" si="18"/>
        <v>8429.7231653052713</v>
      </c>
      <c r="R27" s="315">
        <f t="shared" si="18"/>
        <v>8724.763476090955</v>
      </c>
    </row>
    <row r="28" spans="1:18" ht="13.8">
      <c r="A28" s="505" t="s">
        <v>2408</v>
      </c>
      <c r="B28" s="304"/>
      <c r="C28" s="333"/>
      <c r="D28" s="315">
        <f>Application!AC868</f>
        <v>20700</v>
      </c>
      <c r="E28" s="315">
        <f t="shared" ref="E28:R28" si="19">$D$28</f>
        <v>20700</v>
      </c>
      <c r="F28" s="315">
        <f t="shared" si="19"/>
        <v>20700</v>
      </c>
      <c r="G28" s="315">
        <f t="shared" si="19"/>
        <v>20700</v>
      </c>
      <c r="H28" s="315">
        <f t="shared" si="19"/>
        <v>20700</v>
      </c>
      <c r="I28" s="315">
        <f t="shared" si="19"/>
        <v>20700</v>
      </c>
      <c r="J28" s="315">
        <f t="shared" si="19"/>
        <v>20700</v>
      </c>
      <c r="K28" s="315">
        <f t="shared" si="19"/>
        <v>20700</v>
      </c>
      <c r="L28" s="315">
        <f t="shared" si="19"/>
        <v>20700</v>
      </c>
      <c r="M28" s="315">
        <f t="shared" si="19"/>
        <v>20700</v>
      </c>
      <c r="N28" s="315">
        <f t="shared" si="19"/>
        <v>20700</v>
      </c>
      <c r="O28" s="315">
        <f t="shared" si="19"/>
        <v>20700</v>
      </c>
      <c r="P28" s="315">
        <f t="shared" si="19"/>
        <v>20700</v>
      </c>
      <c r="Q28" s="315">
        <f t="shared" si="19"/>
        <v>20700</v>
      </c>
      <c r="R28" s="315">
        <f t="shared" si="19"/>
        <v>20700</v>
      </c>
    </row>
    <row r="29" spans="1:18" ht="13.8">
      <c r="A29" s="505" t="s">
        <v>2409</v>
      </c>
      <c r="B29" s="304"/>
      <c r="C29" s="333"/>
      <c r="D29" s="315">
        <f>Application!AC869</f>
        <v>0</v>
      </c>
      <c r="E29" s="315">
        <f t="shared" ref="E29:R29" si="20">$D$29</f>
        <v>0</v>
      </c>
      <c r="F29" s="315">
        <f t="shared" si="20"/>
        <v>0</v>
      </c>
      <c r="G29" s="315">
        <f t="shared" si="20"/>
        <v>0</v>
      </c>
      <c r="H29" s="315">
        <f t="shared" si="20"/>
        <v>0</v>
      </c>
      <c r="I29" s="315">
        <f t="shared" si="20"/>
        <v>0</v>
      </c>
      <c r="J29" s="315">
        <f t="shared" si="20"/>
        <v>0</v>
      </c>
      <c r="K29" s="315">
        <f t="shared" si="20"/>
        <v>0</v>
      </c>
      <c r="L29" s="315">
        <f t="shared" si="20"/>
        <v>0</v>
      </c>
      <c r="M29" s="315">
        <f t="shared" si="20"/>
        <v>0</v>
      </c>
      <c r="N29" s="315">
        <f t="shared" si="20"/>
        <v>0</v>
      </c>
      <c r="O29" s="315">
        <f t="shared" si="20"/>
        <v>0</v>
      </c>
      <c r="P29" s="315">
        <f t="shared" si="20"/>
        <v>0</v>
      </c>
      <c r="Q29" s="315">
        <f t="shared" si="20"/>
        <v>0</v>
      </c>
      <c r="R29" s="315">
        <f t="shared" si="20"/>
        <v>0</v>
      </c>
    </row>
    <row r="30" spans="1:18" ht="13.8">
      <c r="A30" s="505" t="s">
        <v>2410</v>
      </c>
      <c r="B30" s="304"/>
      <c r="C30" s="333">
        <v>1.02</v>
      </c>
      <c r="D30" s="315">
        <f>Application!AC870</f>
        <v>0</v>
      </c>
      <c r="E30" s="315">
        <f t="shared" ref="E30:R30" si="21">D30*$C$30</f>
        <v>0</v>
      </c>
      <c r="F30" s="315">
        <f t="shared" si="21"/>
        <v>0</v>
      </c>
      <c r="G30" s="315">
        <f t="shared" si="21"/>
        <v>0</v>
      </c>
      <c r="H30" s="315">
        <f t="shared" si="21"/>
        <v>0</v>
      </c>
      <c r="I30" s="315">
        <f t="shared" si="21"/>
        <v>0</v>
      </c>
      <c r="J30" s="315">
        <f t="shared" si="21"/>
        <v>0</v>
      </c>
      <c r="K30" s="315">
        <f t="shared" si="21"/>
        <v>0</v>
      </c>
      <c r="L30" s="315">
        <f t="shared" si="21"/>
        <v>0</v>
      </c>
      <c r="M30" s="315">
        <f t="shared" si="21"/>
        <v>0</v>
      </c>
      <c r="N30" s="315">
        <f t="shared" si="21"/>
        <v>0</v>
      </c>
      <c r="O30" s="315">
        <f t="shared" si="21"/>
        <v>0</v>
      </c>
      <c r="P30" s="315">
        <f t="shared" si="21"/>
        <v>0</v>
      </c>
      <c r="Q30" s="315">
        <f t="shared" si="21"/>
        <v>0</v>
      </c>
      <c r="R30" s="315">
        <f t="shared" si="21"/>
        <v>0</v>
      </c>
    </row>
    <row r="31" spans="1:18" ht="13.8">
      <c r="A31" s="505" t="s">
        <v>2411</v>
      </c>
      <c r="B31" s="304"/>
      <c r="C31" s="333">
        <v>1.02</v>
      </c>
      <c r="D31" s="315">
        <f>Application!AC871</f>
        <v>0</v>
      </c>
      <c r="E31" s="315">
        <f t="shared" ref="E31:R31" si="22">D31*$C$31</f>
        <v>0</v>
      </c>
      <c r="F31" s="315">
        <f t="shared" si="22"/>
        <v>0</v>
      </c>
      <c r="G31" s="315">
        <f t="shared" si="22"/>
        <v>0</v>
      </c>
      <c r="H31" s="315">
        <f t="shared" si="22"/>
        <v>0</v>
      </c>
      <c r="I31" s="315">
        <f t="shared" si="22"/>
        <v>0</v>
      </c>
      <c r="J31" s="315">
        <f t="shared" si="22"/>
        <v>0</v>
      </c>
      <c r="K31" s="315">
        <f t="shared" si="22"/>
        <v>0</v>
      </c>
      <c r="L31" s="315">
        <f t="shared" si="22"/>
        <v>0</v>
      </c>
      <c r="M31" s="315">
        <f t="shared" si="22"/>
        <v>0</v>
      </c>
      <c r="N31" s="315">
        <f t="shared" si="22"/>
        <v>0</v>
      </c>
      <c r="O31" s="315">
        <f t="shared" si="22"/>
        <v>0</v>
      </c>
      <c r="P31" s="315">
        <f t="shared" si="22"/>
        <v>0</v>
      </c>
      <c r="Q31" s="315">
        <f t="shared" si="22"/>
        <v>0</v>
      </c>
      <c r="R31" s="315">
        <f t="shared" si="22"/>
        <v>0</v>
      </c>
    </row>
    <row r="32" spans="1:18" ht="13.8">
      <c r="A32" s="304" t="str">
        <f>Application!E872</f>
        <v>Other (Specify):</v>
      </c>
      <c r="B32" s="304"/>
      <c r="C32" s="400">
        <v>1.0349999999999999</v>
      </c>
      <c r="D32" s="315">
        <f>Application!AC872</f>
        <v>0</v>
      </c>
      <c r="E32" s="315">
        <f t="shared" ref="E32:R32" si="23">D32*$C$32</f>
        <v>0</v>
      </c>
      <c r="F32" s="315">
        <f t="shared" si="23"/>
        <v>0</v>
      </c>
      <c r="G32" s="315">
        <f t="shared" si="23"/>
        <v>0</v>
      </c>
      <c r="H32" s="315">
        <f t="shared" si="23"/>
        <v>0</v>
      </c>
      <c r="I32" s="315">
        <f t="shared" si="23"/>
        <v>0</v>
      </c>
      <c r="J32" s="315">
        <f t="shared" si="23"/>
        <v>0</v>
      </c>
      <c r="K32" s="315">
        <f t="shared" si="23"/>
        <v>0</v>
      </c>
      <c r="L32" s="315">
        <f t="shared" si="23"/>
        <v>0</v>
      </c>
      <c r="M32" s="315">
        <f t="shared" si="23"/>
        <v>0</v>
      </c>
      <c r="N32" s="315">
        <f t="shared" si="23"/>
        <v>0</v>
      </c>
      <c r="O32" s="315">
        <f t="shared" si="23"/>
        <v>0</v>
      </c>
      <c r="P32" s="315">
        <f t="shared" si="23"/>
        <v>0</v>
      </c>
      <c r="Q32" s="315">
        <f t="shared" si="23"/>
        <v>0</v>
      </c>
      <c r="R32" s="315">
        <f t="shared" si="23"/>
        <v>0</v>
      </c>
    </row>
    <row r="33" spans="1:19" ht="13.8">
      <c r="A33" s="304" t="str">
        <f>Application!E873</f>
        <v>Other (Specify):</v>
      </c>
      <c r="B33" s="304"/>
      <c r="C33" s="400">
        <v>1.0349999999999999</v>
      </c>
      <c r="D33" s="315">
        <f>Application!AC873</f>
        <v>0</v>
      </c>
      <c r="E33" s="315">
        <f t="shared" ref="E33:R33" si="24">D33*$C$33</f>
        <v>0</v>
      </c>
      <c r="F33" s="315">
        <f t="shared" si="24"/>
        <v>0</v>
      </c>
      <c r="G33" s="315">
        <f t="shared" si="24"/>
        <v>0</v>
      </c>
      <c r="H33" s="315">
        <f t="shared" si="24"/>
        <v>0</v>
      </c>
      <c r="I33" s="315">
        <f t="shared" si="24"/>
        <v>0</v>
      </c>
      <c r="J33" s="315">
        <f t="shared" si="24"/>
        <v>0</v>
      </c>
      <c r="K33" s="315">
        <f t="shared" si="24"/>
        <v>0</v>
      </c>
      <c r="L33" s="315">
        <f t="shared" si="24"/>
        <v>0</v>
      </c>
      <c r="M33" s="315">
        <f t="shared" si="24"/>
        <v>0</v>
      </c>
      <c r="N33" s="315">
        <f t="shared" si="24"/>
        <v>0</v>
      </c>
      <c r="O33" s="315">
        <f t="shared" si="24"/>
        <v>0</v>
      </c>
      <c r="P33" s="315">
        <f t="shared" si="24"/>
        <v>0</v>
      </c>
      <c r="Q33" s="315">
        <f t="shared" si="24"/>
        <v>0</v>
      </c>
      <c r="R33" s="315">
        <f t="shared" si="24"/>
        <v>0</v>
      </c>
    </row>
    <row r="34" spans="1:19" ht="13.8">
      <c r="A34" s="304"/>
      <c r="B34" s="304"/>
      <c r="C34" s="313"/>
      <c r="D34" s="315"/>
      <c r="E34" s="315"/>
      <c r="F34" s="315"/>
      <c r="G34" s="315"/>
      <c r="H34" s="315"/>
      <c r="I34" s="315"/>
      <c r="J34" s="315"/>
      <c r="K34" s="315"/>
      <c r="L34" s="315"/>
      <c r="M34" s="315"/>
      <c r="N34" s="315"/>
      <c r="O34" s="315"/>
      <c r="P34" s="315"/>
      <c r="Q34" s="315"/>
      <c r="R34" s="315"/>
    </row>
    <row r="35" spans="1:19" ht="13.8">
      <c r="A35" s="316" t="s">
        <v>1480</v>
      </c>
      <c r="B35" s="316"/>
      <c r="C35" s="317"/>
      <c r="D35" s="316">
        <f t="shared" ref="D35:R35" si="25">SUM(D22:D33)</f>
        <v>247388</v>
      </c>
      <c r="E35" s="316">
        <f t="shared" si="25"/>
        <v>255322.08</v>
      </c>
      <c r="F35" s="316">
        <f t="shared" si="25"/>
        <v>263533.85279999999</v>
      </c>
      <c r="G35" s="316">
        <f t="shared" si="25"/>
        <v>272033.03764799994</v>
      </c>
      <c r="H35" s="316">
        <f t="shared" si="25"/>
        <v>280829.69396567991</v>
      </c>
      <c r="I35" s="316">
        <f t="shared" si="25"/>
        <v>289934.23325447872</v>
      </c>
      <c r="J35" s="316">
        <f t="shared" si="25"/>
        <v>299357.43141838541</v>
      </c>
      <c r="K35" s="316">
        <f t="shared" si="25"/>
        <v>309110.44151802885</v>
      </c>
      <c r="L35" s="316">
        <f t="shared" si="25"/>
        <v>319204.80697115982</v>
      </c>
      <c r="M35" s="316">
        <f t="shared" si="25"/>
        <v>329652.47521515045</v>
      </c>
      <c r="N35" s="316">
        <f t="shared" si="25"/>
        <v>340465.81184768066</v>
      </c>
      <c r="O35" s="316">
        <f t="shared" si="25"/>
        <v>351657.61526234949</v>
      </c>
      <c r="P35" s="316">
        <f t="shared" si="25"/>
        <v>363241.13179653173</v>
      </c>
      <c r="Q35" s="316">
        <f t="shared" si="25"/>
        <v>375230.07140941027</v>
      </c>
      <c r="R35" s="316">
        <f t="shared" si="25"/>
        <v>387638.6239087396</v>
      </c>
    </row>
    <row r="36" spans="1:19" ht="13.8">
      <c r="A36" s="304"/>
      <c r="B36" s="304"/>
      <c r="C36" s="313"/>
      <c r="D36" s="315"/>
      <c r="E36" s="315"/>
      <c r="F36" s="315"/>
      <c r="G36" s="315"/>
      <c r="H36" s="315"/>
      <c r="I36" s="315"/>
      <c r="J36" s="315"/>
      <c r="K36" s="315"/>
      <c r="L36" s="315"/>
      <c r="M36" s="315"/>
      <c r="N36" s="315"/>
      <c r="O36" s="315"/>
      <c r="P36" s="315"/>
      <c r="Q36" s="315"/>
      <c r="R36" s="315"/>
    </row>
    <row r="37" spans="1:19" ht="13.8">
      <c r="A37" s="316" t="s">
        <v>2412</v>
      </c>
      <c r="B37" s="316"/>
      <c r="C37" s="317"/>
      <c r="D37" s="316">
        <f t="shared" ref="D37:R37" si="26">D11-D35</f>
        <v>69874</v>
      </c>
      <c r="E37" s="316">
        <f t="shared" si="26"/>
        <v>69871.47</v>
      </c>
      <c r="F37" s="316">
        <f t="shared" si="26"/>
        <v>69789.535949999932</v>
      </c>
      <c r="G37" s="316">
        <f t="shared" si="26"/>
        <v>69623.435820749903</v>
      </c>
      <c r="H37" s="316">
        <f t="shared" si="26"/>
        <v>69368.191339788667</v>
      </c>
      <c r="I37" s="316">
        <f t="shared" si="26"/>
        <v>69018.599183626531</v>
      </c>
      <c r="J37" s="316">
        <f t="shared" si="26"/>
        <v>68569.221830672468</v>
      </c>
      <c r="K37" s="316">
        <f t="shared" si="26"/>
        <v>68014.37806225539</v>
      </c>
      <c r="L37" s="316">
        <f t="shared" si="26"/>
        <v>67348.133098631515</v>
      </c>
      <c r="M37" s="316">
        <f t="shared" si="26"/>
        <v>66564.288356385601</v>
      </c>
      <c r="N37" s="316">
        <f t="shared" si="26"/>
        <v>65656.370813143789</v>
      </c>
      <c r="O37" s="316">
        <f t="shared" si="26"/>
        <v>64617.621964995516</v>
      </c>
      <c r="P37" s="316">
        <f t="shared" si="26"/>
        <v>63440.986361496849</v>
      </c>
      <c r="Q37" s="316">
        <f t="shared" si="26"/>
        <v>62119.099702568958</v>
      </c>
      <c r="R37" s="316">
        <f t="shared" si="26"/>
        <v>60644.276481039124</v>
      </c>
    </row>
    <row r="38" spans="1:19" ht="13.8">
      <c r="A38" s="304"/>
      <c r="B38" s="304"/>
      <c r="C38" s="313"/>
      <c r="D38" s="315"/>
      <c r="E38" s="315"/>
      <c r="F38" s="315"/>
      <c r="G38" s="315"/>
      <c r="H38" s="315"/>
      <c r="I38" s="315"/>
      <c r="J38" s="315"/>
      <c r="K38" s="315"/>
      <c r="L38" s="315"/>
      <c r="M38" s="315"/>
      <c r="N38" s="315"/>
      <c r="O38" s="315"/>
      <c r="P38" s="315"/>
      <c r="Q38" s="315"/>
      <c r="R38" s="315"/>
    </row>
    <row r="39" spans="1:19" ht="13.8">
      <c r="A39" s="311" t="s">
        <v>2413</v>
      </c>
      <c r="B39" s="304"/>
      <c r="C39" s="313"/>
      <c r="D39" s="315"/>
      <c r="E39" s="315"/>
      <c r="F39" s="315"/>
      <c r="G39" s="315"/>
      <c r="H39" s="315"/>
      <c r="I39" s="315"/>
      <c r="J39" s="315"/>
      <c r="K39" s="315"/>
      <c r="L39" s="315"/>
      <c r="M39" s="315"/>
      <c r="N39" s="315"/>
      <c r="O39" s="315"/>
      <c r="P39" s="315"/>
      <c r="Q39" s="315"/>
      <c r="R39" s="315"/>
    </row>
    <row r="40" spans="1:19" ht="13.8">
      <c r="A40" s="318" t="str">
        <f>Application!C621</f>
        <v>USDA 515 (New)</v>
      </c>
      <c r="B40" s="319"/>
      <c r="C40" s="313"/>
      <c r="D40" s="312">
        <f>Application!AF621</f>
        <v>49357.47728207615</v>
      </c>
      <c r="E40" s="312">
        <f t="shared" ref="E40:R40" si="27">$D$40</f>
        <v>49357.47728207615</v>
      </c>
      <c r="F40" s="312">
        <f t="shared" si="27"/>
        <v>49357.47728207615</v>
      </c>
      <c r="G40" s="312">
        <f t="shared" si="27"/>
        <v>49357.47728207615</v>
      </c>
      <c r="H40" s="312">
        <f t="shared" si="27"/>
        <v>49357.47728207615</v>
      </c>
      <c r="I40" s="312">
        <f t="shared" si="27"/>
        <v>49357.47728207615</v>
      </c>
      <c r="J40" s="312">
        <f t="shared" si="27"/>
        <v>49357.47728207615</v>
      </c>
      <c r="K40" s="312">
        <f t="shared" si="27"/>
        <v>49357.47728207615</v>
      </c>
      <c r="L40" s="312">
        <f t="shared" si="27"/>
        <v>49357.47728207615</v>
      </c>
      <c r="M40" s="312">
        <f t="shared" si="27"/>
        <v>49357.47728207615</v>
      </c>
      <c r="N40" s="312">
        <f t="shared" si="27"/>
        <v>49357.47728207615</v>
      </c>
      <c r="O40" s="312">
        <f t="shared" si="27"/>
        <v>49357.47728207615</v>
      </c>
      <c r="P40" s="312">
        <f t="shared" si="27"/>
        <v>49357.47728207615</v>
      </c>
      <c r="Q40" s="312">
        <f t="shared" si="27"/>
        <v>49357.47728207615</v>
      </c>
      <c r="R40" s="312">
        <f t="shared" si="27"/>
        <v>49357.47728207615</v>
      </c>
      <c r="S40" s="304"/>
    </row>
    <row r="41" spans="1:19" ht="13.8">
      <c r="A41" s="318" t="s">
        <v>1309</v>
      </c>
      <c r="B41" s="319"/>
      <c r="C41" s="313"/>
      <c r="D41" s="315">
        <f>+Application!AF622</f>
        <v>3682.1803482291934</v>
      </c>
      <c r="E41" s="315">
        <f t="shared" ref="E41:R41" si="28">$D$41</f>
        <v>3682.1803482291934</v>
      </c>
      <c r="F41" s="315">
        <f t="shared" si="28"/>
        <v>3682.1803482291934</v>
      </c>
      <c r="G41" s="315">
        <f t="shared" si="28"/>
        <v>3682.1803482291934</v>
      </c>
      <c r="H41" s="315">
        <f t="shared" si="28"/>
        <v>3682.1803482291934</v>
      </c>
      <c r="I41" s="315">
        <f t="shared" si="28"/>
        <v>3682.1803482291934</v>
      </c>
      <c r="J41" s="315">
        <f t="shared" si="28"/>
        <v>3682.1803482291934</v>
      </c>
      <c r="K41" s="315">
        <f t="shared" si="28"/>
        <v>3682.1803482291934</v>
      </c>
      <c r="L41" s="315">
        <f t="shared" si="28"/>
        <v>3682.1803482291934</v>
      </c>
      <c r="M41" s="315">
        <f t="shared" si="28"/>
        <v>3682.1803482291934</v>
      </c>
      <c r="N41" s="315">
        <f t="shared" si="28"/>
        <v>3682.1803482291934</v>
      </c>
      <c r="O41" s="315">
        <f t="shared" si="28"/>
        <v>3682.1803482291934</v>
      </c>
      <c r="P41" s="315">
        <f t="shared" si="28"/>
        <v>3682.1803482291934</v>
      </c>
      <c r="Q41" s="315">
        <f t="shared" si="28"/>
        <v>3682.1803482291934</v>
      </c>
      <c r="R41" s="315">
        <f t="shared" si="28"/>
        <v>3682.1803482291934</v>
      </c>
      <c r="S41" s="304"/>
    </row>
    <row r="42" spans="1:19" ht="13.8">
      <c r="A42" s="318"/>
      <c r="B42" s="319"/>
      <c r="C42" s="313"/>
      <c r="D42" s="325"/>
      <c r="E42" s="325">
        <f t="shared" ref="E42:R42" si="29">$D$42</f>
        <v>0</v>
      </c>
      <c r="F42" s="325">
        <f t="shared" si="29"/>
        <v>0</v>
      </c>
      <c r="G42" s="325">
        <f t="shared" si="29"/>
        <v>0</v>
      </c>
      <c r="H42" s="325">
        <f t="shared" si="29"/>
        <v>0</v>
      </c>
      <c r="I42" s="325">
        <f t="shared" si="29"/>
        <v>0</v>
      </c>
      <c r="J42" s="325">
        <f t="shared" si="29"/>
        <v>0</v>
      </c>
      <c r="K42" s="325">
        <f t="shared" si="29"/>
        <v>0</v>
      </c>
      <c r="L42" s="325">
        <f t="shared" si="29"/>
        <v>0</v>
      </c>
      <c r="M42" s="325">
        <f t="shared" si="29"/>
        <v>0</v>
      </c>
      <c r="N42" s="325">
        <f t="shared" si="29"/>
        <v>0</v>
      </c>
      <c r="O42" s="325">
        <f t="shared" si="29"/>
        <v>0</v>
      </c>
      <c r="P42" s="325">
        <f t="shared" si="29"/>
        <v>0</v>
      </c>
      <c r="Q42" s="325">
        <f t="shared" si="29"/>
        <v>0</v>
      </c>
      <c r="R42" s="325">
        <f t="shared" si="29"/>
        <v>0</v>
      </c>
      <c r="S42" s="304"/>
    </row>
    <row r="43" spans="1:19" ht="13.8">
      <c r="A43" s="316" t="s">
        <v>2414</v>
      </c>
      <c r="B43" s="316"/>
      <c r="C43" s="317"/>
      <c r="D43" s="316">
        <f t="shared" ref="D43:R43" si="30">SUM(D40:D42)</f>
        <v>53039.657630305344</v>
      </c>
      <c r="E43" s="316">
        <f t="shared" si="30"/>
        <v>53039.657630305344</v>
      </c>
      <c r="F43" s="316">
        <f t="shared" si="30"/>
        <v>53039.657630305344</v>
      </c>
      <c r="G43" s="316">
        <f t="shared" si="30"/>
        <v>53039.657630305344</v>
      </c>
      <c r="H43" s="316">
        <f t="shared" si="30"/>
        <v>53039.657630305344</v>
      </c>
      <c r="I43" s="316">
        <f t="shared" si="30"/>
        <v>53039.657630305344</v>
      </c>
      <c r="J43" s="316">
        <f t="shared" si="30"/>
        <v>53039.657630305344</v>
      </c>
      <c r="K43" s="316">
        <f t="shared" si="30"/>
        <v>53039.657630305344</v>
      </c>
      <c r="L43" s="316">
        <f t="shared" si="30"/>
        <v>53039.657630305344</v>
      </c>
      <c r="M43" s="316">
        <f t="shared" si="30"/>
        <v>53039.657630305344</v>
      </c>
      <c r="N43" s="316">
        <f t="shared" si="30"/>
        <v>53039.657630305344</v>
      </c>
      <c r="O43" s="316">
        <f t="shared" si="30"/>
        <v>53039.657630305344</v>
      </c>
      <c r="P43" s="316">
        <f t="shared" si="30"/>
        <v>53039.657630305344</v>
      </c>
      <c r="Q43" s="316">
        <f t="shared" si="30"/>
        <v>53039.657630305344</v>
      </c>
      <c r="R43" s="316">
        <f t="shared" si="30"/>
        <v>53039.657630305344</v>
      </c>
      <c r="S43" s="316"/>
    </row>
    <row r="44" spans="1:19" ht="13.8">
      <c r="A44" s="304"/>
      <c r="B44" s="304"/>
      <c r="C44" s="313"/>
      <c r="D44" s="315"/>
      <c r="E44" s="315"/>
      <c r="F44" s="315"/>
      <c r="G44" s="315"/>
      <c r="H44" s="315"/>
      <c r="I44" s="315"/>
      <c r="J44" s="315"/>
      <c r="K44" s="315"/>
      <c r="L44" s="315"/>
      <c r="M44" s="315"/>
      <c r="N44" s="315"/>
      <c r="O44" s="315"/>
      <c r="P44" s="315"/>
      <c r="Q44" s="315"/>
      <c r="R44" s="315"/>
      <c r="S44" s="304"/>
    </row>
    <row r="45" spans="1:19" ht="13.8">
      <c r="A45" s="316" t="s">
        <v>2415</v>
      </c>
      <c r="B45" s="316"/>
      <c r="C45" s="317"/>
      <c r="D45" s="316">
        <f t="shared" ref="D45:R45" si="31">D37-D43</f>
        <v>16834.342369694656</v>
      </c>
      <c r="E45" s="316">
        <f t="shared" si="31"/>
        <v>16831.812369694657</v>
      </c>
      <c r="F45" s="316">
        <f t="shared" si="31"/>
        <v>16749.878319694588</v>
      </c>
      <c r="G45" s="316">
        <f t="shared" si="31"/>
        <v>16583.778190444558</v>
      </c>
      <c r="H45" s="316">
        <f t="shared" si="31"/>
        <v>16328.533709483323</v>
      </c>
      <c r="I45" s="316">
        <f t="shared" si="31"/>
        <v>15978.941553321187</v>
      </c>
      <c r="J45" s="316">
        <f t="shared" si="31"/>
        <v>15529.564200367124</v>
      </c>
      <c r="K45" s="316">
        <f t="shared" si="31"/>
        <v>14974.720431950045</v>
      </c>
      <c r="L45" s="316">
        <f t="shared" si="31"/>
        <v>14308.475468326171</v>
      </c>
      <c r="M45" s="316">
        <f t="shared" si="31"/>
        <v>13524.630726080257</v>
      </c>
      <c r="N45" s="316">
        <f t="shared" si="31"/>
        <v>12616.713182838444</v>
      </c>
      <c r="O45" s="316">
        <f t="shared" si="31"/>
        <v>11577.964334690172</v>
      </c>
      <c r="P45" s="316">
        <f t="shared" si="31"/>
        <v>10401.328731191505</v>
      </c>
      <c r="Q45" s="316">
        <f t="shared" si="31"/>
        <v>9079.4420722636132</v>
      </c>
      <c r="R45" s="316">
        <f t="shared" si="31"/>
        <v>7604.6188507337793</v>
      </c>
      <c r="S45" s="316"/>
    </row>
    <row r="46" spans="1:19" ht="13.8">
      <c r="A46" s="304"/>
      <c r="B46" s="304"/>
      <c r="C46" s="313"/>
      <c r="D46" s="315"/>
      <c r="E46" s="315"/>
      <c r="F46" s="315"/>
      <c r="G46" s="315"/>
      <c r="H46" s="315"/>
      <c r="I46" s="315"/>
      <c r="J46" s="315"/>
      <c r="K46" s="315"/>
      <c r="L46" s="315"/>
      <c r="M46" s="315"/>
      <c r="N46" s="315"/>
      <c r="O46" s="315"/>
      <c r="P46" s="315"/>
      <c r="Q46" s="315"/>
      <c r="R46" s="315"/>
      <c r="S46" s="304"/>
    </row>
    <row r="47" spans="1:19" ht="13.8">
      <c r="A47" s="320" t="s">
        <v>2416</v>
      </c>
      <c r="B47" s="320"/>
      <c r="C47" s="313"/>
      <c r="D47" s="320">
        <f t="shared" ref="D47:R47" si="32">D45/(D4+D6+D8)</f>
        <v>5.0408259581071556E-2</v>
      </c>
      <c r="E47" s="320">
        <f t="shared" si="32"/>
        <v>4.9171398852191024E-2</v>
      </c>
      <c r="F47" s="320">
        <f t="shared" si="32"/>
        <v>4.7738577431914044E-2</v>
      </c>
      <c r="G47" s="320">
        <f t="shared" si="32"/>
        <v>4.6112368722214032E-2</v>
      </c>
      <c r="H47" s="320">
        <f t="shared" si="32"/>
        <v>4.4295261835971239E-2</v>
      </c>
      <c r="I47" s="320">
        <f t="shared" si="32"/>
        <v>4.228966344282193E-2</v>
      </c>
      <c r="J47" s="320">
        <f t="shared" si="32"/>
        <v>4.0097899567939348E-2</v>
      </c>
      <c r="K47" s="320">
        <f t="shared" si="32"/>
        <v>3.7722217344870461E-2</v>
      </c>
      <c r="L47" s="320">
        <f t="shared" si="32"/>
        <v>3.5164786723535631E-2</v>
      </c>
      <c r="M47" s="320">
        <f t="shared" si="32"/>
        <v>3.2427702134456747E-2</v>
      </c>
      <c r="N47" s="320">
        <f t="shared" si="32"/>
        <v>2.951298411026862E-2</v>
      </c>
      <c r="O47" s="320">
        <f t="shared" si="32"/>
        <v>2.6422580865526291E-2</v>
      </c>
      <c r="P47" s="320">
        <f t="shared" si="32"/>
        <v>2.3158369835813569E-2</v>
      </c>
      <c r="Q47" s="320">
        <f t="shared" si="32"/>
        <v>1.9722159177116536E-2</v>
      </c>
      <c r="R47" s="320">
        <f t="shared" si="32"/>
        <v>1.6115689226413807E-2</v>
      </c>
      <c r="S47" s="320"/>
    </row>
    <row r="48" spans="1:19" ht="13.8">
      <c r="A48" s="320" t="s">
        <v>2417</v>
      </c>
      <c r="B48" s="320"/>
      <c r="C48" s="313"/>
      <c r="D48" s="320">
        <f t="shared" ref="D48:R48" si="33">D45/D43</f>
        <v>0.31739161076477224</v>
      </c>
      <c r="E48" s="320">
        <f t="shared" si="33"/>
        <v>0.31734391060770045</v>
      </c>
      <c r="F48" s="320">
        <f t="shared" si="33"/>
        <v>0.31579914102092893</v>
      </c>
      <c r="G48" s="320">
        <f t="shared" si="33"/>
        <v>0.31266751957631533</v>
      </c>
      <c r="H48" s="320">
        <f t="shared" si="33"/>
        <v>0.30785518683577751</v>
      </c>
      <c r="I48" s="320">
        <f t="shared" si="33"/>
        <v>0.30126404029032189</v>
      </c>
      <c r="J48" s="320">
        <f t="shared" si="33"/>
        <v>0.29279156190280486</v>
      </c>
      <c r="K48" s="320">
        <f t="shared" si="33"/>
        <v>0.28233063901592603</v>
      </c>
      <c r="L48" s="320">
        <f t="shared" si="33"/>
        <v>0.26976937837831588</v>
      </c>
      <c r="M48" s="320">
        <f t="shared" si="33"/>
        <v>0.25499091303245269</v>
      </c>
      <c r="N48" s="320">
        <f t="shared" si="33"/>
        <v>0.23787320179890481</v>
      </c>
      <c r="O48" s="320">
        <f t="shared" si="33"/>
        <v>0.21828882108158357</v>
      </c>
      <c r="P48" s="320">
        <f t="shared" si="33"/>
        <v>0.19610474870879413</v>
      </c>
      <c r="Q48" s="320">
        <f t="shared" si="33"/>
        <v>0.17118213951433728</v>
      </c>
      <c r="R48" s="320">
        <f t="shared" si="33"/>
        <v>0.14337609235223867</v>
      </c>
      <c r="S48" s="320"/>
    </row>
    <row r="49" spans="1:16384" ht="13.8">
      <c r="A49" s="321" t="s">
        <v>2375</v>
      </c>
      <c r="B49" s="321"/>
      <c r="C49" s="322"/>
      <c r="D49" s="321">
        <f t="shared" ref="D49:R49" si="34">D37/D43</f>
        <v>1.3173916107647723</v>
      </c>
      <c r="E49" s="321">
        <f t="shared" si="34"/>
        <v>1.3173439106077005</v>
      </c>
      <c r="F49" s="321">
        <f t="shared" si="34"/>
        <v>1.3157991410209289</v>
      </c>
      <c r="G49" s="321">
        <f t="shared" si="34"/>
        <v>1.3126675195763153</v>
      </c>
      <c r="H49" s="321">
        <f t="shared" si="34"/>
        <v>1.3078551868357775</v>
      </c>
      <c r="I49" s="321">
        <f t="shared" si="34"/>
        <v>1.3012640402903219</v>
      </c>
      <c r="J49" s="321">
        <f t="shared" si="34"/>
        <v>1.292791561902805</v>
      </c>
      <c r="K49" s="321">
        <f t="shared" si="34"/>
        <v>1.2823306390159261</v>
      </c>
      <c r="L49" s="321">
        <f t="shared" si="34"/>
        <v>1.2697693783783159</v>
      </c>
      <c r="M49" s="321">
        <f t="shared" si="34"/>
        <v>1.2549909130324528</v>
      </c>
      <c r="N49" s="321">
        <f t="shared" si="34"/>
        <v>1.2378732017989049</v>
      </c>
      <c r="O49" s="321">
        <f t="shared" si="34"/>
        <v>1.2182888210815837</v>
      </c>
      <c r="P49" s="321">
        <f t="shared" si="34"/>
        <v>1.1961047487087941</v>
      </c>
      <c r="Q49" s="321">
        <f t="shared" si="34"/>
        <v>1.1711821395143374</v>
      </c>
      <c r="R49" s="321">
        <f t="shared" si="34"/>
        <v>1.1433760923522387</v>
      </c>
      <c r="S49" s="321"/>
    </row>
    <row r="50" spans="1:16384" ht="13.8">
      <c r="A50" s="323"/>
      <c r="B50" s="323"/>
      <c r="C50" s="324"/>
      <c r="D50" s="325"/>
      <c r="E50" s="325"/>
      <c r="F50" s="325"/>
      <c r="G50" s="325"/>
      <c r="H50" s="325"/>
      <c r="I50" s="325"/>
      <c r="J50" s="325"/>
      <c r="K50" s="325"/>
      <c r="L50" s="325"/>
      <c r="M50" s="325"/>
      <c r="N50" s="325"/>
      <c r="O50" s="325"/>
      <c r="P50" s="325"/>
      <c r="Q50" s="325"/>
      <c r="R50" s="325"/>
      <c r="S50" s="304"/>
    </row>
    <row r="51" spans="1:16384">
      <c r="A51" s="295" t="s">
        <v>2418</v>
      </c>
      <c r="B51" s="295"/>
      <c r="C51" s="326"/>
      <c r="D51" s="308"/>
      <c r="E51" s="308"/>
      <c r="F51" s="308"/>
      <c r="G51" s="308"/>
      <c r="H51" s="308"/>
      <c r="I51" s="308"/>
      <c r="J51" s="308"/>
      <c r="K51" s="308"/>
      <c r="L51" s="308"/>
      <c r="M51" s="308"/>
      <c r="N51" s="308"/>
      <c r="O51" s="308"/>
      <c r="P51" s="308"/>
      <c r="Q51" s="308"/>
      <c r="R51" s="308"/>
      <c r="S51" s="295"/>
    </row>
    <row r="52" spans="1:16384">
      <c r="A52" s="295"/>
      <c r="B52" s="295"/>
      <c r="C52" s="326"/>
      <c r="D52" s="308"/>
      <c r="E52" s="308"/>
      <c r="F52" s="308"/>
      <c r="G52" s="308"/>
      <c r="H52" s="308"/>
      <c r="I52" s="308"/>
      <c r="J52" s="308"/>
      <c r="K52" s="308"/>
      <c r="L52" s="308"/>
      <c r="M52" s="308"/>
      <c r="N52" s="308"/>
      <c r="O52" s="308"/>
      <c r="P52" s="308"/>
      <c r="Q52" s="308"/>
      <c r="R52" s="308"/>
      <c r="S52" s="295"/>
    </row>
    <row r="53" spans="1:16384">
      <c r="A53" s="295" t="s">
        <v>2419</v>
      </c>
      <c r="B53" s="295"/>
      <c r="C53" s="707">
        <v>1.03</v>
      </c>
      <c r="D53" s="329">
        <v>5000</v>
      </c>
      <c r="E53" s="708">
        <f>D53*$C$53</f>
        <v>5150</v>
      </c>
      <c r="F53" s="708">
        <f t="shared" ref="F53:BQ53" si="35">E53*$C$53</f>
        <v>5304.5</v>
      </c>
      <c r="G53" s="708">
        <f t="shared" si="35"/>
        <v>5463.6350000000002</v>
      </c>
      <c r="H53" s="708">
        <f t="shared" si="35"/>
        <v>5627.5440500000004</v>
      </c>
      <c r="I53" s="708">
        <f t="shared" si="35"/>
        <v>5796.3703715000001</v>
      </c>
      <c r="J53" s="708">
        <f t="shared" si="35"/>
        <v>5970.2614826449999</v>
      </c>
      <c r="K53" s="708">
        <f t="shared" si="35"/>
        <v>6149.3693271243501</v>
      </c>
      <c r="L53" s="708">
        <f t="shared" si="35"/>
        <v>6333.8504069380806</v>
      </c>
      <c r="M53" s="708">
        <f t="shared" si="35"/>
        <v>6523.865919146223</v>
      </c>
      <c r="N53" s="708">
        <f t="shared" si="35"/>
        <v>6719.5818967206096</v>
      </c>
      <c r="O53" s="708">
        <f t="shared" si="35"/>
        <v>6921.1693536222283</v>
      </c>
      <c r="P53" s="708">
        <f t="shared" si="35"/>
        <v>7128.8044342308949</v>
      </c>
      <c r="Q53" s="708">
        <f t="shared" si="35"/>
        <v>7342.6685672578224</v>
      </c>
      <c r="R53" s="708">
        <f t="shared" si="35"/>
        <v>7562.9486242755574</v>
      </c>
      <c r="S53" s="708">
        <f t="shared" si="35"/>
        <v>7789.8370830038248</v>
      </c>
      <c r="T53" s="708">
        <f t="shared" si="35"/>
        <v>8023.53219549394</v>
      </c>
      <c r="U53" s="708">
        <f t="shared" si="35"/>
        <v>8264.2381613587586</v>
      </c>
      <c r="V53" s="708">
        <f t="shared" si="35"/>
        <v>8512.1653061995221</v>
      </c>
      <c r="W53" s="708">
        <f t="shared" si="35"/>
        <v>8767.5302653855088</v>
      </c>
      <c r="X53" s="708">
        <f t="shared" si="35"/>
        <v>9030.5561733470749</v>
      </c>
      <c r="Y53" s="708">
        <f t="shared" si="35"/>
        <v>9301.4728585474877</v>
      </c>
      <c r="Z53" s="708">
        <f t="shared" si="35"/>
        <v>9580.5170443039133</v>
      </c>
      <c r="AA53" s="708">
        <f t="shared" si="35"/>
        <v>9867.9325556330314</v>
      </c>
      <c r="AB53" s="708">
        <f t="shared" si="35"/>
        <v>10163.970532302023</v>
      </c>
      <c r="AC53" s="708">
        <f t="shared" si="35"/>
        <v>10468.889648271084</v>
      </c>
      <c r="AD53" s="708">
        <f t="shared" si="35"/>
        <v>10782.956337719217</v>
      </c>
      <c r="AE53" s="708">
        <f t="shared" si="35"/>
        <v>11106.445027850794</v>
      </c>
      <c r="AF53" s="708">
        <f t="shared" si="35"/>
        <v>11439.638378686317</v>
      </c>
      <c r="AG53" s="708">
        <f t="shared" si="35"/>
        <v>11782.827530046907</v>
      </c>
      <c r="AH53" s="708">
        <f t="shared" si="35"/>
        <v>12136.312355948314</v>
      </c>
      <c r="AI53" s="708">
        <f t="shared" si="35"/>
        <v>12500.401726626764</v>
      </c>
      <c r="AJ53" s="708">
        <f t="shared" si="35"/>
        <v>12875.413778425567</v>
      </c>
      <c r="AK53" s="708">
        <f t="shared" si="35"/>
        <v>13261.676191778335</v>
      </c>
      <c r="AL53" s="708">
        <f t="shared" si="35"/>
        <v>13659.526477531686</v>
      </c>
      <c r="AM53" s="708">
        <f t="shared" si="35"/>
        <v>14069.312271857638</v>
      </c>
      <c r="AN53" s="708">
        <f t="shared" si="35"/>
        <v>14491.391640013368</v>
      </c>
      <c r="AO53" s="708">
        <f t="shared" si="35"/>
        <v>14926.133389213768</v>
      </c>
      <c r="AP53" s="708">
        <f t="shared" si="35"/>
        <v>15373.917390890181</v>
      </c>
      <c r="AQ53" s="708">
        <f t="shared" si="35"/>
        <v>15835.134912616886</v>
      </c>
      <c r="AR53" s="708">
        <f t="shared" si="35"/>
        <v>16310.188959995394</v>
      </c>
      <c r="AS53" s="708">
        <f t="shared" si="35"/>
        <v>16799.494628795255</v>
      </c>
      <c r="AT53" s="708">
        <f t="shared" si="35"/>
        <v>17303.479467659112</v>
      </c>
      <c r="AU53" s="708">
        <f t="shared" si="35"/>
        <v>17822.583851688887</v>
      </c>
      <c r="AV53" s="708">
        <f t="shared" si="35"/>
        <v>18357.261367239553</v>
      </c>
      <c r="AW53" s="708">
        <f t="shared" si="35"/>
        <v>18907.97920825674</v>
      </c>
      <c r="AX53" s="708">
        <f t="shared" si="35"/>
        <v>19475.218584504444</v>
      </c>
      <c r="AY53" s="708">
        <f t="shared" si="35"/>
        <v>20059.475142039577</v>
      </c>
      <c r="AZ53" s="708">
        <f t="shared" si="35"/>
        <v>20661.259396300764</v>
      </c>
      <c r="BA53" s="708">
        <f t="shared" si="35"/>
        <v>21281.097178189786</v>
      </c>
      <c r="BB53" s="708">
        <f t="shared" si="35"/>
        <v>21919.530093535479</v>
      </c>
      <c r="BC53" s="708">
        <f t="shared" si="35"/>
        <v>22577.115996341545</v>
      </c>
      <c r="BD53" s="708">
        <f t="shared" si="35"/>
        <v>23254.429476231791</v>
      </c>
      <c r="BE53" s="708">
        <f t="shared" si="35"/>
        <v>23952.062360518747</v>
      </c>
      <c r="BF53" s="708">
        <f t="shared" si="35"/>
        <v>24670.62423133431</v>
      </c>
      <c r="BG53" s="708">
        <f t="shared" si="35"/>
        <v>25410.742958274339</v>
      </c>
      <c r="BH53" s="708">
        <f t="shared" si="35"/>
        <v>26173.065247022569</v>
      </c>
      <c r="BI53" s="708">
        <f t="shared" si="35"/>
        <v>26958.257204433245</v>
      </c>
      <c r="BJ53" s="708">
        <f t="shared" si="35"/>
        <v>27767.004920566244</v>
      </c>
      <c r="BK53" s="708">
        <f t="shared" si="35"/>
        <v>28600.015068183231</v>
      </c>
      <c r="BL53" s="708">
        <f t="shared" si="35"/>
        <v>29458.015520228728</v>
      </c>
      <c r="BM53" s="708">
        <f t="shared" si="35"/>
        <v>30341.755985835589</v>
      </c>
      <c r="BN53" s="708">
        <f t="shared" si="35"/>
        <v>31252.008665410656</v>
      </c>
      <c r="BO53" s="708">
        <f t="shared" si="35"/>
        <v>32189.568925372976</v>
      </c>
      <c r="BP53" s="708">
        <f t="shared" si="35"/>
        <v>33155.255993134168</v>
      </c>
      <c r="BQ53" s="708">
        <f t="shared" si="35"/>
        <v>34149.913672928196</v>
      </c>
      <c r="BR53" s="708">
        <f t="shared" ref="BR53:EC53" si="36">BQ53*$C$53</f>
        <v>35174.411083116043</v>
      </c>
      <c r="BS53" s="708">
        <f t="shared" si="36"/>
        <v>36229.643415609527</v>
      </c>
      <c r="BT53" s="708">
        <f t="shared" si="36"/>
        <v>37316.532718077811</v>
      </c>
      <c r="BU53" s="708">
        <f t="shared" si="36"/>
        <v>38436.028699620147</v>
      </c>
      <c r="BV53" s="708">
        <f t="shared" si="36"/>
        <v>39589.109560608755</v>
      </c>
      <c r="BW53" s="708">
        <f t="shared" si="36"/>
        <v>40776.782847427021</v>
      </c>
      <c r="BX53" s="708">
        <f t="shared" si="36"/>
        <v>42000.086332849831</v>
      </c>
      <c r="BY53" s="708">
        <f t="shared" si="36"/>
        <v>43260.088922835326</v>
      </c>
      <c r="BZ53" s="708">
        <f t="shared" si="36"/>
        <v>44557.89159052039</v>
      </c>
      <c r="CA53" s="708">
        <f t="shared" si="36"/>
        <v>45894.628338236005</v>
      </c>
      <c r="CB53" s="708">
        <f t="shared" si="36"/>
        <v>47271.467188383089</v>
      </c>
      <c r="CC53" s="708">
        <f t="shared" si="36"/>
        <v>48689.611204034583</v>
      </c>
      <c r="CD53" s="708">
        <f t="shared" si="36"/>
        <v>50150.299540155625</v>
      </c>
      <c r="CE53" s="708">
        <f t="shared" si="36"/>
        <v>51654.808526360299</v>
      </c>
      <c r="CF53" s="708">
        <f t="shared" si="36"/>
        <v>53204.452782151107</v>
      </c>
      <c r="CG53" s="708">
        <f t="shared" si="36"/>
        <v>54800.586365615643</v>
      </c>
      <c r="CH53" s="708">
        <f t="shared" si="36"/>
        <v>56444.603956584113</v>
      </c>
      <c r="CI53" s="708">
        <f t="shared" si="36"/>
        <v>58137.942075281637</v>
      </c>
      <c r="CJ53" s="708">
        <f t="shared" si="36"/>
        <v>59882.080337540086</v>
      </c>
      <c r="CK53" s="708">
        <f t="shared" si="36"/>
        <v>61678.542747666288</v>
      </c>
      <c r="CL53" s="708">
        <f t="shared" si="36"/>
        <v>63528.899030096276</v>
      </c>
      <c r="CM53" s="708">
        <f t="shared" si="36"/>
        <v>65434.766000999167</v>
      </c>
      <c r="CN53" s="708">
        <f t="shared" si="36"/>
        <v>67397.808981029142</v>
      </c>
      <c r="CO53" s="708">
        <f t="shared" si="36"/>
        <v>69419.743250460015</v>
      </c>
      <c r="CP53" s="708">
        <f t="shared" si="36"/>
        <v>71502.335547973824</v>
      </c>
      <c r="CQ53" s="708">
        <f t="shared" si="36"/>
        <v>73647.405614413045</v>
      </c>
      <c r="CR53" s="708">
        <f t="shared" si="36"/>
        <v>75856.827782845445</v>
      </c>
      <c r="CS53" s="708">
        <f t="shared" si="36"/>
        <v>78132.532616330805</v>
      </c>
      <c r="CT53" s="708">
        <f t="shared" si="36"/>
        <v>80476.508594820727</v>
      </c>
      <c r="CU53" s="708">
        <f t="shared" si="36"/>
        <v>82890.803852665354</v>
      </c>
      <c r="CV53" s="708">
        <f t="shared" si="36"/>
        <v>85377.527968245311</v>
      </c>
      <c r="CW53" s="708">
        <f t="shared" si="36"/>
        <v>87938.853807292675</v>
      </c>
      <c r="CX53" s="708">
        <f t="shared" si="36"/>
        <v>90577.019421511461</v>
      </c>
      <c r="CY53" s="708">
        <f t="shared" si="36"/>
        <v>93294.3300041568</v>
      </c>
      <c r="CZ53" s="708">
        <f t="shared" si="36"/>
        <v>96093.159904281507</v>
      </c>
      <c r="DA53" s="708">
        <f t="shared" si="36"/>
        <v>98975.954701409952</v>
      </c>
      <c r="DB53" s="708">
        <f t="shared" si="36"/>
        <v>101945.23334245225</v>
      </c>
      <c r="DC53" s="708">
        <f t="shared" si="36"/>
        <v>105003.59034272582</v>
      </c>
      <c r="DD53" s="708">
        <f t="shared" si="36"/>
        <v>108153.6980530076</v>
      </c>
      <c r="DE53" s="708">
        <f t="shared" si="36"/>
        <v>111398.30899459783</v>
      </c>
      <c r="DF53" s="708">
        <f t="shared" si="36"/>
        <v>114740.25826443576</v>
      </c>
      <c r="DG53" s="708">
        <f t="shared" si="36"/>
        <v>118182.46601236884</v>
      </c>
      <c r="DH53" s="708">
        <f t="shared" si="36"/>
        <v>121727.93999273991</v>
      </c>
      <c r="DI53" s="708">
        <f t="shared" si="36"/>
        <v>125379.77819252211</v>
      </c>
      <c r="DJ53" s="708">
        <f t="shared" si="36"/>
        <v>129141.17153829777</v>
      </c>
      <c r="DK53" s="708">
        <f t="shared" si="36"/>
        <v>133015.4066844467</v>
      </c>
      <c r="DL53" s="708">
        <f t="shared" si="36"/>
        <v>137005.8688849801</v>
      </c>
      <c r="DM53" s="708">
        <f t="shared" si="36"/>
        <v>141116.0449515295</v>
      </c>
      <c r="DN53" s="708">
        <f t="shared" si="36"/>
        <v>145349.52630007541</v>
      </c>
      <c r="DO53" s="708">
        <f t="shared" si="36"/>
        <v>149710.01208907767</v>
      </c>
      <c r="DP53" s="708">
        <f t="shared" si="36"/>
        <v>154201.31245175001</v>
      </c>
      <c r="DQ53" s="708">
        <f t="shared" si="36"/>
        <v>158827.35182530252</v>
      </c>
      <c r="DR53" s="708">
        <f t="shared" si="36"/>
        <v>163592.17238006162</v>
      </c>
      <c r="DS53" s="708">
        <f t="shared" si="36"/>
        <v>168499.93755146346</v>
      </c>
      <c r="DT53" s="708">
        <f t="shared" si="36"/>
        <v>173554.93567800737</v>
      </c>
      <c r="DU53" s="708">
        <f t="shared" si="36"/>
        <v>178761.58374834759</v>
      </c>
      <c r="DV53" s="708">
        <f t="shared" si="36"/>
        <v>184124.43126079801</v>
      </c>
      <c r="DW53" s="708">
        <f t="shared" si="36"/>
        <v>189648.16419862196</v>
      </c>
      <c r="DX53" s="708">
        <f t="shared" si="36"/>
        <v>195337.60912458063</v>
      </c>
      <c r="DY53" s="708">
        <f t="shared" si="36"/>
        <v>201197.73739831804</v>
      </c>
      <c r="DZ53" s="708">
        <f t="shared" si="36"/>
        <v>207233.66952026758</v>
      </c>
      <c r="EA53" s="708">
        <f t="shared" si="36"/>
        <v>213450.6796058756</v>
      </c>
      <c r="EB53" s="708">
        <f t="shared" si="36"/>
        <v>219854.19999405189</v>
      </c>
      <c r="EC53" s="708">
        <f t="shared" si="36"/>
        <v>226449.82599387344</v>
      </c>
      <c r="ED53" s="708">
        <f t="shared" ref="ED53:GO53" si="37">EC53*$C$53</f>
        <v>233243.32077368966</v>
      </c>
      <c r="EE53" s="708">
        <f t="shared" si="37"/>
        <v>240240.62039690034</v>
      </c>
      <c r="EF53" s="708">
        <f t="shared" si="37"/>
        <v>247447.83900880735</v>
      </c>
      <c r="EG53" s="708">
        <f t="shared" si="37"/>
        <v>254871.27417907157</v>
      </c>
      <c r="EH53" s="708">
        <f t="shared" si="37"/>
        <v>262517.41240444372</v>
      </c>
      <c r="EI53" s="708">
        <f t="shared" si="37"/>
        <v>270392.93477657705</v>
      </c>
      <c r="EJ53" s="708">
        <f t="shared" si="37"/>
        <v>278504.72281987435</v>
      </c>
      <c r="EK53" s="708">
        <f t="shared" si="37"/>
        <v>286859.86450447061</v>
      </c>
      <c r="EL53" s="708">
        <f t="shared" si="37"/>
        <v>295465.66043960472</v>
      </c>
      <c r="EM53" s="708">
        <f t="shared" si="37"/>
        <v>304329.63025279285</v>
      </c>
      <c r="EN53" s="708">
        <f t="shared" si="37"/>
        <v>313459.51916037663</v>
      </c>
      <c r="EO53" s="708">
        <f t="shared" si="37"/>
        <v>322863.30473518796</v>
      </c>
      <c r="EP53" s="708">
        <f t="shared" si="37"/>
        <v>332549.20387724362</v>
      </c>
      <c r="EQ53" s="708">
        <f t="shared" si="37"/>
        <v>342525.67999356095</v>
      </c>
      <c r="ER53" s="708">
        <f t="shared" si="37"/>
        <v>352801.45039336779</v>
      </c>
      <c r="ES53" s="708">
        <f t="shared" si="37"/>
        <v>363385.49390516884</v>
      </c>
      <c r="ET53" s="708">
        <f t="shared" si="37"/>
        <v>374287.05872232391</v>
      </c>
      <c r="EU53" s="708">
        <f t="shared" si="37"/>
        <v>385515.67048399366</v>
      </c>
      <c r="EV53" s="708">
        <f t="shared" si="37"/>
        <v>397081.14059851348</v>
      </c>
      <c r="EW53" s="708">
        <f t="shared" si="37"/>
        <v>408993.57481646887</v>
      </c>
      <c r="EX53" s="708">
        <f t="shared" si="37"/>
        <v>421263.38206096296</v>
      </c>
      <c r="EY53" s="708">
        <f t="shared" si="37"/>
        <v>433901.28352279187</v>
      </c>
      <c r="EZ53" s="708">
        <f t="shared" si="37"/>
        <v>446918.32202847564</v>
      </c>
      <c r="FA53" s="708">
        <f t="shared" si="37"/>
        <v>460325.87168932991</v>
      </c>
      <c r="FB53" s="708">
        <f t="shared" si="37"/>
        <v>474135.64784000983</v>
      </c>
      <c r="FC53" s="708">
        <f t="shared" si="37"/>
        <v>488359.71727521013</v>
      </c>
      <c r="FD53" s="708">
        <f t="shared" si="37"/>
        <v>503010.50879346643</v>
      </c>
      <c r="FE53" s="708">
        <f t="shared" si="37"/>
        <v>518100.82405727042</v>
      </c>
      <c r="FF53" s="708">
        <f t="shared" si="37"/>
        <v>533643.84877898858</v>
      </c>
      <c r="FG53" s="708">
        <f t="shared" si="37"/>
        <v>549653.1642423583</v>
      </c>
      <c r="FH53" s="708">
        <f t="shared" si="37"/>
        <v>566142.75916962908</v>
      </c>
      <c r="FI53" s="708">
        <f t="shared" si="37"/>
        <v>583127.04194471799</v>
      </c>
      <c r="FJ53" s="708">
        <f t="shared" si="37"/>
        <v>600620.85320305952</v>
      </c>
      <c r="FK53" s="708">
        <f t="shared" si="37"/>
        <v>618639.47879915137</v>
      </c>
      <c r="FL53" s="708">
        <f t="shared" si="37"/>
        <v>637198.66316312598</v>
      </c>
      <c r="FM53" s="708">
        <f t="shared" si="37"/>
        <v>656314.62305801979</v>
      </c>
      <c r="FN53" s="708">
        <f t="shared" si="37"/>
        <v>676004.06174976041</v>
      </c>
      <c r="FO53" s="708">
        <f t="shared" si="37"/>
        <v>696284.18360225321</v>
      </c>
      <c r="FP53" s="708">
        <f t="shared" si="37"/>
        <v>717172.70911032078</v>
      </c>
      <c r="FQ53" s="708">
        <f t="shared" si="37"/>
        <v>738687.89038363041</v>
      </c>
      <c r="FR53" s="708">
        <f t="shared" si="37"/>
        <v>760848.52709513938</v>
      </c>
      <c r="FS53" s="708">
        <f t="shared" si="37"/>
        <v>783673.9829079936</v>
      </c>
      <c r="FT53" s="708">
        <f t="shared" si="37"/>
        <v>807184.20239523344</v>
      </c>
      <c r="FU53" s="708">
        <f t="shared" si="37"/>
        <v>831399.72846709052</v>
      </c>
      <c r="FV53" s="708">
        <f t="shared" si="37"/>
        <v>856341.72032110323</v>
      </c>
      <c r="FW53" s="708">
        <f t="shared" si="37"/>
        <v>882031.97193073633</v>
      </c>
      <c r="FX53" s="708">
        <f t="shared" si="37"/>
        <v>908492.9310886584</v>
      </c>
      <c r="FY53" s="708">
        <f t="shared" si="37"/>
        <v>935747.71902131813</v>
      </c>
      <c r="FZ53" s="708">
        <f t="shared" si="37"/>
        <v>963820.15059195773</v>
      </c>
      <c r="GA53" s="708">
        <f t="shared" si="37"/>
        <v>992734.75510971644</v>
      </c>
      <c r="GB53" s="708">
        <f t="shared" si="37"/>
        <v>1022516.7977630079</v>
      </c>
      <c r="GC53" s="708">
        <f t="shared" si="37"/>
        <v>1053192.3016958982</v>
      </c>
      <c r="GD53" s="708">
        <f t="shared" si="37"/>
        <v>1084788.0707467753</v>
      </c>
      <c r="GE53" s="708">
        <f t="shared" si="37"/>
        <v>1117331.7128691785</v>
      </c>
      <c r="GF53" s="708">
        <f t="shared" si="37"/>
        <v>1150851.664255254</v>
      </c>
      <c r="GG53" s="708">
        <f t="shared" si="37"/>
        <v>1185377.2141829117</v>
      </c>
      <c r="GH53" s="708">
        <f t="shared" si="37"/>
        <v>1220938.5306083991</v>
      </c>
      <c r="GI53" s="708">
        <f t="shared" si="37"/>
        <v>1257566.686526651</v>
      </c>
      <c r="GJ53" s="708">
        <f t="shared" si="37"/>
        <v>1295293.6871224507</v>
      </c>
      <c r="GK53" s="708">
        <f t="shared" si="37"/>
        <v>1334152.4977361243</v>
      </c>
      <c r="GL53" s="708">
        <f t="shared" si="37"/>
        <v>1374177.072668208</v>
      </c>
      <c r="GM53" s="708">
        <f t="shared" si="37"/>
        <v>1415402.3848482543</v>
      </c>
      <c r="GN53" s="708">
        <f t="shared" si="37"/>
        <v>1457864.456393702</v>
      </c>
      <c r="GO53" s="708">
        <f t="shared" si="37"/>
        <v>1501600.390085513</v>
      </c>
      <c r="GP53" s="708">
        <f t="shared" ref="GP53:JA53" si="38">GO53*$C$53</f>
        <v>1546648.4017880785</v>
      </c>
      <c r="GQ53" s="708">
        <f t="shared" si="38"/>
        <v>1593047.8538417208</v>
      </c>
      <c r="GR53" s="708">
        <f t="shared" si="38"/>
        <v>1640839.2894569726</v>
      </c>
      <c r="GS53" s="708">
        <f t="shared" si="38"/>
        <v>1690064.4681406817</v>
      </c>
      <c r="GT53" s="708">
        <f t="shared" si="38"/>
        <v>1740766.4021849022</v>
      </c>
      <c r="GU53" s="708">
        <f t="shared" si="38"/>
        <v>1792989.3942504493</v>
      </c>
      <c r="GV53" s="708">
        <f t="shared" si="38"/>
        <v>1846779.0760779628</v>
      </c>
      <c r="GW53" s="708">
        <f t="shared" si="38"/>
        <v>1902182.4483603018</v>
      </c>
      <c r="GX53" s="708">
        <f t="shared" si="38"/>
        <v>1959247.9218111108</v>
      </c>
      <c r="GY53" s="708">
        <f t="shared" si="38"/>
        <v>2018025.3594654442</v>
      </c>
      <c r="GZ53" s="708">
        <f t="shared" si="38"/>
        <v>2078566.1202494076</v>
      </c>
      <c r="HA53" s="708">
        <f t="shared" si="38"/>
        <v>2140923.10385689</v>
      </c>
      <c r="HB53" s="708">
        <f t="shared" si="38"/>
        <v>2205150.7969725966</v>
      </c>
      <c r="HC53" s="708">
        <f t="shared" si="38"/>
        <v>2271305.3208817746</v>
      </c>
      <c r="HD53" s="708">
        <f t="shared" si="38"/>
        <v>2339444.4805082278</v>
      </c>
      <c r="HE53" s="708">
        <f t="shared" si="38"/>
        <v>2409627.8149234746</v>
      </c>
      <c r="HF53" s="708">
        <f t="shared" si="38"/>
        <v>2481916.6493711788</v>
      </c>
      <c r="HG53" s="708">
        <f t="shared" si="38"/>
        <v>2556374.1488523143</v>
      </c>
      <c r="HH53" s="708">
        <f t="shared" si="38"/>
        <v>2633065.3733178838</v>
      </c>
      <c r="HI53" s="708">
        <f t="shared" si="38"/>
        <v>2712057.3345174203</v>
      </c>
      <c r="HJ53" s="708">
        <f t="shared" si="38"/>
        <v>2793419.054552943</v>
      </c>
      <c r="HK53" s="708">
        <f t="shared" si="38"/>
        <v>2877221.6261895313</v>
      </c>
      <c r="HL53" s="708">
        <f t="shared" si="38"/>
        <v>2963538.2749752174</v>
      </c>
      <c r="HM53" s="708">
        <f t="shared" si="38"/>
        <v>3052444.4232244738</v>
      </c>
      <c r="HN53" s="708">
        <f t="shared" si="38"/>
        <v>3144017.7559212083</v>
      </c>
      <c r="HO53" s="708">
        <f t="shared" si="38"/>
        <v>3238338.2885988448</v>
      </c>
      <c r="HP53" s="708">
        <f t="shared" si="38"/>
        <v>3335488.4372568103</v>
      </c>
      <c r="HQ53" s="708">
        <f t="shared" si="38"/>
        <v>3435553.0903745145</v>
      </c>
      <c r="HR53" s="708">
        <f t="shared" si="38"/>
        <v>3538619.6830857499</v>
      </c>
      <c r="HS53" s="708">
        <f t="shared" si="38"/>
        <v>3644778.2735783225</v>
      </c>
      <c r="HT53" s="708">
        <f t="shared" si="38"/>
        <v>3754121.6217856724</v>
      </c>
      <c r="HU53" s="708">
        <f t="shared" si="38"/>
        <v>3866745.2704392425</v>
      </c>
      <c r="HV53" s="708">
        <f t="shared" si="38"/>
        <v>3982747.6285524201</v>
      </c>
      <c r="HW53" s="708">
        <f t="shared" si="38"/>
        <v>4102230.0574089927</v>
      </c>
      <c r="HX53" s="708">
        <f t="shared" si="38"/>
        <v>4225296.9591312623</v>
      </c>
      <c r="HY53" s="708">
        <f t="shared" si="38"/>
        <v>4352055.8679052005</v>
      </c>
      <c r="HZ53" s="708">
        <f t="shared" si="38"/>
        <v>4482617.5439423565</v>
      </c>
      <c r="IA53" s="708">
        <f t="shared" si="38"/>
        <v>4617096.0702606272</v>
      </c>
      <c r="IB53" s="708">
        <f t="shared" si="38"/>
        <v>4755608.9523684457</v>
      </c>
      <c r="IC53" s="708">
        <f t="shared" si="38"/>
        <v>4898277.2209394993</v>
      </c>
      <c r="ID53" s="708">
        <f t="shared" si="38"/>
        <v>5045225.5375676844</v>
      </c>
      <c r="IE53" s="708">
        <f t="shared" si="38"/>
        <v>5196582.3036947148</v>
      </c>
      <c r="IF53" s="708">
        <f t="shared" si="38"/>
        <v>5352479.7728055567</v>
      </c>
      <c r="IG53" s="708">
        <f t="shared" si="38"/>
        <v>5513054.1659897231</v>
      </c>
      <c r="IH53" s="708">
        <f t="shared" si="38"/>
        <v>5678445.7909694146</v>
      </c>
      <c r="II53" s="708">
        <f t="shared" si="38"/>
        <v>5848799.1646984974</v>
      </c>
      <c r="IJ53" s="708">
        <f t="shared" si="38"/>
        <v>6024263.1396394521</v>
      </c>
      <c r="IK53" s="708">
        <f t="shared" si="38"/>
        <v>6204991.0338286357</v>
      </c>
      <c r="IL53" s="708">
        <f t="shared" si="38"/>
        <v>6391140.7648434946</v>
      </c>
      <c r="IM53" s="708">
        <f t="shared" si="38"/>
        <v>6582874.9877887992</v>
      </c>
      <c r="IN53" s="708">
        <f t="shared" si="38"/>
        <v>6780361.2374224635</v>
      </c>
      <c r="IO53" s="708">
        <f t="shared" si="38"/>
        <v>6983772.0745451376</v>
      </c>
      <c r="IP53" s="708">
        <f t="shared" si="38"/>
        <v>7193285.2367814919</v>
      </c>
      <c r="IQ53" s="708">
        <f t="shared" si="38"/>
        <v>7409083.7938849367</v>
      </c>
      <c r="IR53" s="708">
        <f t="shared" si="38"/>
        <v>7631356.3077014852</v>
      </c>
      <c r="IS53" s="708">
        <f t="shared" si="38"/>
        <v>7860296.9969325298</v>
      </c>
      <c r="IT53" s="708">
        <f t="shared" si="38"/>
        <v>8096105.906840506</v>
      </c>
      <c r="IU53" s="708">
        <f t="shared" si="38"/>
        <v>8338989.0840457212</v>
      </c>
      <c r="IV53" s="708">
        <f t="shared" si="38"/>
        <v>8589158.7565670926</v>
      </c>
      <c r="IW53" s="708">
        <f t="shared" si="38"/>
        <v>8846833.5192641057</v>
      </c>
      <c r="IX53" s="708">
        <f t="shared" si="38"/>
        <v>9112238.5248420294</v>
      </c>
      <c r="IY53" s="708">
        <f t="shared" si="38"/>
        <v>9385605.6805872899</v>
      </c>
      <c r="IZ53" s="708">
        <f t="shared" si="38"/>
        <v>9667173.8510049097</v>
      </c>
      <c r="JA53" s="708">
        <f t="shared" si="38"/>
        <v>9957189.0665350575</v>
      </c>
      <c r="JB53" s="708">
        <f t="shared" ref="JB53:LM53" si="39">JA53*$C$53</f>
        <v>10255904.738531109</v>
      </c>
      <c r="JC53" s="708">
        <f t="shared" si="39"/>
        <v>10563581.880687043</v>
      </c>
      <c r="JD53" s="708">
        <f t="shared" si="39"/>
        <v>10880489.337107655</v>
      </c>
      <c r="JE53" s="708">
        <f t="shared" si="39"/>
        <v>11206904.017220885</v>
      </c>
      <c r="JF53" s="708">
        <f t="shared" si="39"/>
        <v>11543111.137737511</v>
      </c>
      <c r="JG53" s="708">
        <f t="shared" si="39"/>
        <v>11889404.471869636</v>
      </c>
      <c r="JH53" s="708">
        <f t="shared" si="39"/>
        <v>12246086.606025726</v>
      </c>
      <c r="JI53" s="708">
        <f t="shared" si="39"/>
        <v>12613469.204206498</v>
      </c>
      <c r="JJ53" s="708">
        <f t="shared" si="39"/>
        <v>12991873.280332694</v>
      </c>
      <c r="JK53" s="708">
        <f t="shared" si="39"/>
        <v>13381629.478742676</v>
      </c>
      <c r="JL53" s="708">
        <f t="shared" si="39"/>
        <v>13783078.363104956</v>
      </c>
      <c r="JM53" s="708">
        <f t="shared" si="39"/>
        <v>14196570.713998105</v>
      </c>
      <c r="JN53" s="708">
        <f t="shared" si="39"/>
        <v>14622467.835418049</v>
      </c>
      <c r="JO53" s="708">
        <f t="shared" si="39"/>
        <v>15061141.870480591</v>
      </c>
      <c r="JP53" s="708">
        <f t="shared" si="39"/>
        <v>15512976.126595009</v>
      </c>
      <c r="JQ53" s="708">
        <f t="shared" si="39"/>
        <v>15978365.41039286</v>
      </c>
      <c r="JR53" s="708">
        <f t="shared" si="39"/>
        <v>16457716.372704646</v>
      </c>
      <c r="JS53" s="708">
        <f t="shared" si="39"/>
        <v>16951447.863885786</v>
      </c>
      <c r="JT53" s="708">
        <f t="shared" si="39"/>
        <v>17459991.299802359</v>
      </c>
      <c r="JU53" s="708">
        <f t="shared" si="39"/>
        <v>17983791.038796429</v>
      </c>
      <c r="JV53" s="708">
        <f t="shared" si="39"/>
        <v>18523304.769960321</v>
      </c>
      <c r="JW53" s="708">
        <f t="shared" si="39"/>
        <v>19079003.91305913</v>
      </c>
      <c r="JX53" s="708">
        <f t="shared" si="39"/>
        <v>19651374.030450903</v>
      </c>
      <c r="JY53" s="708">
        <f t="shared" si="39"/>
        <v>20240915.251364432</v>
      </c>
      <c r="JZ53" s="708">
        <f t="shared" si="39"/>
        <v>20848142.708905365</v>
      </c>
      <c r="KA53" s="708">
        <f t="shared" si="39"/>
        <v>21473586.990172528</v>
      </c>
      <c r="KB53" s="708">
        <f t="shared" si="39"/>
        <v>22117794.599877704</v>
      </c>
      <c r="KC53" s="708">
        <f t="shared" si="39"/>
        <v>22781328.437874034</v>
      </c>
      <c r="KD53" s="708">
        <f t="shared" si="39"/>
        <v>23464768.291010257</v>
      </c>
      <c r="KE53" s="708">
        <f t="shared" si="39"/>
        <v>24168711.339740567</v>
      </c>
      <c r="KF53" s="708">
        <f t="shared" si="39"/>
        <v>24893772.679932784</v>
      </c>
      <c r="KG53" s="708">
        <f t="shared" si="39"/>
        <v>25640585.860330768</v>
      </c>
      <c r="KH53" s="708">
        <f t="shared" si="39"/>
        <v>26409803.43614069</v>
      </c>
      <c r="KI53" s="708">
        <f t="shared" si="39"/>
        <v>27202097.539224911</v>
      </c>
      <c r="KJ53" s="708">
        <f t="shared" si="39"/>
        <v>28018160.465401661</v>
      </c>
      <c r="KK53" s="708">
        <f t="shared" si="39"/>
        <v>28858705.27936371</v>
      </c>
      <c r="KL53" s="708">
        <f t="shared" si="39"/>
        <v>29724466.437744621</v>
      </c>
      <c r="KM53" s="708">
        <f t="shared" si="39"/>
        <v>30616200.430876959</v>
      </c>
      <c r="KN53" s="708">
        <f t="shared" si="39"/>
        <v>31534686.443803269</v>
      </c>
      <c r="KO53" s="708">
        <f t="shared" si="39"/>
        <v>32480727.037117369</v>
      </c>
      <c r="KP53" s="708">
        <f t="shared" si="39"/>
        <v>33455148.848230891</v>
      </c>
      <c r="KQ53" s="708">
        <f t="shared" si="39"/>
        <v>34458803.313677818</v>
      </c>
      <c r="KR53" s="708">
        <f t="shared" si="39"/>
        <v>35492567.41308815</v>
      </c>
      <c r="KS53" s="708">
        <f t="shared" si="39"/>
        <v>36557344.435480796</v>
      </c>
      <c r="KT53" s="708">
        <f t="shared" si="39"/>
        <v>37654064.768545218</v>
      </c>
      <c r="KU53" s="708">
        <f t="shared" si="39"/>
        <v>38783686.711601578</v>
      </c>
      <c r="KV53" s="708">
        <f t="shared" si="39"/>
        <v>39947197.312949628</v>
      </c>
      <c r="KW53" s="708">
        <f t="shared" si="39"/>
        <v>41145613.232338116</v>
      </c>
      <c r="KX53" s="708">
        <f t="shared" si="39"/>
        <v>42379981.629308261</v>
      </c>
      <c r="KY53" s="708">
        <f t="shared" si="39"/>
        <v>43651381.07818751</v>
      </c>
      <c r="KZ53" s="708">
        <f t="shared" si="39"/>
        <v>44960922.510533139</v>
      </c>
      <c r="LA53" s="708">
        <f t="shared" si="39"/>
        <v>46309750.185849138</v>
      </c>
      <c r="LB53" s="708">
        <f t="shared" si="39"/>
        <v>47699042.691424616</v>
      </c>
      <c r="LC53" s="708">
        <f t="shared" si="39"/>
        <v>49130013.972167358</v>
      </c>
      <c r="LD53" s="708">
        <f t="shared" si="39"/>
        <v>50603914.39133238</v>
      </c>
      <c r="LE53" s="708">
        <f t="shared" si="39"/>
        <v>52122031.823072352</v>
      </c>
      <c r="LF53" s="708">
        <f t="shared" si="39"/>
        <v>53685692.777764522</v>
      </c>
      <c r="LG53" s="708">
        <f t="shared" si="39"/>
        <v>55296263.561097458</v>
      </c>
      <c r="LH53" s="708">
        <f t="shared" si="39"/>
        <v>56955151.467930384</v>
      </c>
      <c r="LI53" s="708">
        <f t="shared" si="39"/>
        <v>58663806.0119683</v>
      </c>
      <c r="LJ53" s="708">
        <f t="shared" si="39"/>
        <v>60423720.19232735</v>
      </c>
      <c r="LK53" s="708">
        <f t="shared" si="39"/>
        <v>62236431.798097171</v>
      </c>
      <c r="LL53" s="708">
        <f t="shared" si="39"/>
        <v>64103524.752040088</v>
      </c>
      <c r="LM53" s="708">
        <f t="shared" si="39"/>
        <v>66026630.494601294</v>
      </c>
      <c r="LN53" s="708">
        <f t="shared" ref="LN53:NY53" si="40">LM53*$C$53</f>
        <v>68007429.40943934</v>
      </c>
      <c r="LO53" s="708">
        <f t="shared" si="40"/>
        <v>70047652.291722521</v>
      </c>
      <c r="LP53" s="708">
        <f t="shared" si="40"/>
        <v>72149081.860474199</v>
      </c>
      <c r="LQ53" s="708">
        <f t="shared" si="40"/>
        <v>74313554.316288427</v>
      </c>
      <c r="LR53" s="708">
        <f t="shared" si="40"/>
        <v>76542960.945777088</v>
      </c>
      <c r="LS53" s="708">
        <f t="shared" si="40"/>
        <v>78839249.774150401</v>
      </c>
      <c r="LT53" s="708">
        <f t="shared" si="40"/>
        <v>81204427.267374918</v>
      </c>
      <c r="LU53" s="708">
        <f t="shared" si="40"/>
        <v>83640560.085396171</v>
      </c>
      <c r="LV53" s="708">
        <f t="shared" si="40"/>
        <v>86149776.887958065</v>
      </c>
      <c r="LW53" s="708">
        <f t="shared" si="40"/>
        <v>88734270.194596812</v>
      </c>
      <c r="LX53" s="708">
        <f t="shared" si="40"/>
        <v>91396298.300434723</v>
      </c>
      <c r="LY53" s="708">
        <f t="shared" si="40"/>
        <v>94138187.249447763</v>
      </c>
      <c r="LZ53" s="708">
        <f t="shared" si="40"/>
        <v>96962332.8669312</v>
      </c>
      <c r="MA53" s="708">
        <f t="shared" si="40"/>
        <v>99871202.852939144</v>
      </c>
      <c r="MB53" s="708">
        <f t="shared" si="40"/>
        <v>102867338.93852732</v>
      </c>
      <c r="MC53" s="708">
        <f t="shared" si="40"/>
        <v>105953359.10668314</v>
      </c>
      <c r="MD53" s="708">
        <f t="shared" si="40"/>
        <v>109131959.87988363</v>
      </c>
      <c r="ME53" s="708">
        <f t="shared" si="40"/>
        <v>112405918.67628014</v>
      </c>
      <c r="MF53" s="708">
        <f t="shared" si="40"/>
        <v>115778096.23656856</v>
      </c>
      <c r="MG53" s="708">
        <f t="shared" si="40"/>
        <v>119251439.12366562</v>
      </c>
      <c r="MH53" s="708">
        <f t="shared" si="40"/>
        <v>122828982.29737559</v>
      </c>
      <c r="MI53" s="708">
        <f t="shared" si="40"/>
        <v>126513851.76629686</v>
      </c>
      <c r="MJ53" s="708">
        <f t="shared" si="40"/>
        <v>130309267.31928578</v>
      </c>
      <c r="MK53" s="708">
        <f t="shared" si="40"/>
        <v>134218545.33886436</v>
      </c>
      <c r="ML53" s="708">
        <f t="shared" si="40"/>
        <v>138245101.69903028</v>
      </c>
      <c r="MM53" s="708">
        <f t="shared" si="40"/>
        <v>142392454.75000119</v>
      </c>
      <c r="MN53" s="708">
        <f t="shared" si="40"/>
        <v>146664228.39250124</v>
      </c>
      <c r="MO53" s="708">
        <f t="shared" si="40"/>
        <v>151064155.24427629</v>
      </c>
      <c r="MP53" s="708">
        <f t="shared" si="40"/>
        <v>155596079.90160456</v>
      </c>
      <c r="MQ53" s="708">
        <f t="shared" si="40"/>
        <v>160263962.29865271</v>
      </c>
      <c r="MR53" s="708">
        <f t="shared" si="40"/>
        <v>165071881.16761228</v>
      </c>
      <c r="MS53" s="708">
        <f t="shared" si="40"/>
        <v>170024037.60264066</v>
      </c>
      <c r="MT53" s="708">
        <f t="shared" si="40"/>
        <v>175124758.73071989</v>
      </c>
      <c r="MU53" s="708">
        <f t="shared" si="40"/>
        <v>180378501.49264151</v>
      </c>
      <c r="MV53" s="708">
        <f t="shared" si="40"/>
        <v>185789856.53742075</v>
      </c>
      <c r="MW53" s="708">
        <f t="shared" si="40"/>
        <v>191363552.23354337</v>
      </c>
      <c r="MX53" s="708">
        <f t="shared" si="40"/>
        <v>197104458.80054969</v>
      </c>
      <c r="MY53" s="708">
        <f t="shared" si="40"/>
        <v>203017592.5645662</v>
      </c>
      <c r="MZ53" s="708">
        <f t="shared" si="40"/>
        <v>209108120.34150317</v>
      </c>
      <c r="NA53" s="708">
        <f t="shared" si="40"/>
        <v>215381363.95174828</v>
      </c>
      <c r="NB53" s="708">
        <f t="shared" si="40"/>
        <v>221842804.87030074</v>
      </c>
      <c r="NC53" s="708">
        <f t="shared" si="40"/>
        <v>228498089.01640975</v>
      </c>
      <c r="ND53" s="708">
        <f t="shared" si="40"/>
        <v>235353031.68690205</v>
      </c>
      <c r="NE53" s="708">
        <f t="shared" si="40"/>
        <v>242413622.63750911</v>
      </c>
      <c r="NF53" s="708">
        <f t="shared" si="40"/>
        <v>249686031.31663439</v>
      </c>
      <c r="NG53" s="708">
        <f t="shared" si="40"/>
        <v>257176612.25613344</v>
      </c>
      <c r="NH53" s="708">
        <f t="shared" si="40"/>
        <v>264891910.62381744</v>
      </c>
      <c r="NI53" s="708">
        <f t="shared" si="40"/>
        <v>272838667.942532</v>
      </c>
      <c r="NJ53" s="708">
        <f t="shared" si="40"/>
        <v>281023827.98080796</v>
      </c>
      <c r="NK53" s="708">
        <f t="shared" si="40"/>
        <v>289454542.82023221</v>
      </c>
      <c r="NL53" s="708">
        <f t="shared" si="40"/>
        <v>298138179.10483921</v>
      </c>
      <c r="NM53" s="708">
        <f t="shared" si="40"/>
        <v>307082324.47798437</v>
      </c>
      <c r="NN53" s="708">
        <f t="shared" si="40"/>
        <v>316294794.2123239</v>
      </c>
      <c r="NO53" s="708">
        <f t="shared" si="40"/>
        <v>325783638.03869361</v>
      </c>
      <c r="NP53" s="708">
        <f t="shared" si="40"/>
        <v>335557147.17985445</v>
      </c>
      <c r="NQ53" s="708">
        <f t="shared" si="40"/>
        <v>345623861.59525007</v>
      </c>
      <c r="NR53" s="708">
        <f t="shared" si="40"/>
        <v>355992577.4431076</v>
      </c>
      <c r="NS53" s="708">
        <f t="shared" si="40"/>
        <v>366672354.76640081</v>
      </c>
      <c r="NT53" s="708">
        <f t="shared" si="40"/>
        <v>377672525.40939283</v>
      </c>
      <c r="NU53" s="708">
        <f t="shared" si="40"/>
        <v>389002701.17167461</v>
      </c>
      <c r="NV53" s="708">
        <f t="shared" si="40"/>
        <v>400672782.20682484</v>
      </c>
      <c r="NW53" s="708">
        <f t="shared" si="40"/>
        <v>412692965.6730296</v>
      </c>
      <c r="NX53" s="708">
        <f t="shared" si="40"/>
        <v>425073754.64322048</v>
      </c>
      <c r="NY53" s="708">
        <f t="shared" si="40"/>
        <v>437825967.28251714</v>
      </c>
      <c r="NZ53" s="708">
        <f t="shared" ref="NZ53:QK53" si="41">NY53*$C$53</f>
        <v>450960746.30099267</v>
      </c>
      <c r="OA53" s="708">
        <f t="shared" si="41"/>
        <v>464489568.69002247</v>
      </c>
      <c r="OB53" s="708">
        <f t="shared" si="41"/>
        <v>478424255.75072318</v>
      </c>
      <c r="OC53" s="708">
        <f t="shared" si="41"/>
        <v>492776983.42324489</v>
      </c>
      <c r="OD53" s="708">
        <f t="shared" si="41"/>
        <v>507560292.92594224</v>
      </c>
      <c r="OE53" s="708">
        <f t="shared" si="41"/>
        <v>522787101.7137205</v>
      </c>
      <c r="OF53" s="708">
        <f t="shared" si="41"/>
        <v>538470714.76513219</v>
      </c>
      <c r="OG53" s="708">
        <f t="shared" si="41"/>
        <v>554624836.20808613</v>
      </c>
      <c r="OH53" s="708">
        <f t="shared" si="41"/>
        <v>571263581.29432869</v>
      </c>
      <c r="OI53" s="708">
        <f t="shared" si="41"/>
        <v>588401488.73315859</v>
      </c>
      <c r="OJ53" s="708">
        <f t="shared" si="41"/>
        <v>606053533.3951534</v>
      </c>
      <c r="OK53" s="708">
        <f t="shared" si="41"/>
        <v>624235139.39700806</v>
      </c>
      <c r="OL53" s="708">
        <f t="shared" si="41"/>
        <v>642962193.57891834</v>
      </c>
      <c r="OM53" s="708">
        <f t="shared" si="41"/>
        <v>662251059.3862859</v>
      </c>
      <c r="ON53" s="708">
        <f t="shared" si="41"/>
        <v>682118591.16787446</v>
      </c>
      <c r="OO53" s="708">
        <f t="shared" si="41"/>
        <v>702582148.90291071</v>
      </c>
      <c r="OP53" s="708">
        <f t="shared" si="41"/>
        <v>723659613.3699981</v>
      </c>
      <c r="OQ53" s="708">
        <f t="shared" si="41"/>
        <v>745369401.77109802</v>
      </c>
      <c r="OR53" s="708">
        <f t="shared" si="41"/>
        <v>767730483.82423103</v>
      </c>
      <c r="OS53" s="708">
        <f t="shared" si="41"/>
        <v>790762398.33895802</v>
      </c>
      <c r="OT53" s="708">
        <f t="shared" si="41"/>
        <v>814485270.28912675</v>
      </c>
      <c r="OU53" s="708">
        <f t="shared" si="41"/>
        <v>838919828.39780056</v>
      </c>
      <c r="OV53" s="708">
        <f t="shared" si="41"/>
        <v>864087423.24973464</v>
      </c>
      <c r="OW53" s="708">
        <f t="shared" si="41"/>
        <v>890010045.94722664</v>
      </c>
      <c r="OX53" s="708">
        <f t="shared" si="41"/>
        <v>916710347.32564342</v>
      </c>
      <c r="OY53" s="708">
        <f t="shared" si="41"/>
        <v>944211657.74541271</v>
      </c>
      <c r="OZ53" s="708">
        <f t="shared" si="41"/>
        <v>972538007.4777751</v>
      </c>
      <c r="PA53" s="708">
        <f t="shared" si="41"/>
        <v>1001714147.7021084</v>
      </c>
      <c r="PB53" s="708">
        <f t="shared" si="41"/>
        <v>1031765572.1331717</v>
      </c>
      <c r="PC53" s="708">
        <f t="shared" si="41"/>
        <v>1062718539.2971668</v>
      </c>
      <c r="PD53" s="708">
        <f t="shared" si="41"/>
        <v>1094600095.4760818</v>
      </c>
      <c r="PE53" s="708">
        <f t="shared" si="41"/>
        <v>1127438098.3403642</v>
      </c>
      <c r="PF53" s="708">
        <f t="shared" si="41"/>
        <v>1161261241.2905753</v>
      </c>
      <c r="PG53" s="708">
        <f t="shared" si="41"/>
        <v>1196099078.5292926</v>
      </c>
      <c r="PH53" s="708">
        <f t="shared" si="41"/>
        <v>1231982050.8851714</v>
      </c>
      <c r="PI53" s="708">
        <f t="shared" si="41"/>
        <v>1268941512.4117265</v>
      </c>
      <c r="PJ53" s="708">
        <f t="shared" si="41"/>
        <v>1307009757.7840784</v>
      </c>
      <c r="PK53" s="708">
        <f t="shared" si="41"/>
        <v>1346220050.5176008</v>
      </c>
      <c r="PL53" s="708">
        <f t="shared" si="41"/>
        <v>1386606652.0331287</v>
      </c>
      <c r="PM53" s="708">
        <f t="shared" si="41"/>
        <v>1428204851.5941226</v>
      </c>
      <c r="PN53" s="708">
        <f t="shared" si="41"/>
        <v>1471050997.1419463</v>
      </c>
      <c r="PO53" s="708">
        <f t="shared" si="41"/>
        <v>1515182527.0562048</v>
      </c>
      <c r="PP53" s="708">
        <f t="shared" si="41"/>
        <v>1560638002.8678911</v>
      </c>
      <c r="PQ53" s="708">
        <f t="shared" si="41"/>
        <v>1607457142.9539278</v>
      </c>
      <c r="PR53" s="708">
        <f t="shared" si="41"/>
        <v>1655680857.2425456</v>
      </c>
      <c r="PS53" s="708">
        <f t="shared" si="41"/>
        <v>1705351282.9598219</v>
      </c>
      <c r="PT53" s="708">
        <f t="shared" si="41"/>
        <v>1756511821.4486167</v>
      </c>
      <c r="PU53" s="708">
        <f t="shared" si="41"/>
        <v>1809207176.0920753</v>
      </c>
      <c r="PV53" s="708">
        <f t="shared" si="41"/>
        <v>1863483391.3748376</v>
      </c>
      <c r="PW53" s="708">
        <f t="shared" si="41"/>
        <v>1919387893.1160829</v>
      </c>
      <c r="PX53" s="708">
        <f t="shared" si="41"/>
        <v>1976969529.9095654</v>
      </c>
      <c r="PY53" s="708">
        <f t="shared" si="41"/>
        <v>2036278615.8068526</v>
      </c>
      <c r="PZ53" s="708">
        <f t="shared" si="41"/>
        <v>2097366974.2810583</v>
      </c>
      <c r="QA53" s="708">
        <f t="shared" si="41"/>
        <v>2160287983.50949</v>
      </c>
      <c r="QB53" s="708">
        <f t="shared" si="41"/>
        <v>2225096623.0147748</v>
      </c>
      <c r="QC53" s="708">
        <f t="shared" si="41"/>
        <v>2291849521.7052183</v>
      </c>
      <c r="QD53" s="708">
        <f t="shared" si="41"/>
        <v>2360605007.3563747</v>
      </c>
      <c r="QE53" s="708">
        <f t="shared" si="41"/>
        <v>2431423157.5770659</v>
      </c>
      <c r="QF53" s="708">
        <f t="shared" si="41"/>
        <v>2504365852.304378</v>
      </c>
      <c r="QG53" s="708">
        <f t="shared" si="41"/>
        <v>2579496827.8735094</v>
      </c>
      <c r="QH53" s="708">
        <f t="shared" si="41"/>
        <v>2656881732.7097149</v>
      </c>
      <c r="QI53" s="708">
        <f t="shared" si="41"/>
        <v>2736588184.6910062</v>
      </c>
      <c r="QJ53" s="708">
        <f t="shared" si="41"/>
        <v>2818685830.2317367</v>
      </c>
      <c r="QK53" s="708">
        <f t="shared" si="41"/>
        <v>2903246405.138689</v>
      </c>
      <c r="QL53" s="708">
        <f t="shared" ref="QL53:SW53" si="42">QK53*$C$53</f>
        <v>2990343797.29285</v>
      </c>
      <c r="QM53" s="708">
        <f t="shared" si="42"/>
        <v>3080054111.2116356</v>
      </c>
      <c r="QN53" s="708">
        <f t="shared" si="42"/>
        <v>3172455734.5479846</v>
      </c>
      <c r="QO53" s="708">
        <f t="shared" si="42"/>
        <v>3267629406.584424</v>
      </c>
      <c r="QP53" s="708">
        <f t="shared" si="42"/>
        <v>3365658288.7819567</v>
      </c>
      <c r="QQ53" s="708">
        <f t="shared" si="42"/>
        <v>3466628037.4454155</v>
      </c>
      <c r="QR53" s="708">
        <f t="shared" si="42"/>
        <v>3570626878.568778</v>
      </c>
      <c r="QS53" s="708">
        <f t="shared" si="42"/>
        <v>3677745684.9258413</v>
      </c>
      <c r="QT53" s="708">
        <f t="shared" si="42"/>
        <v>3788078055.4736166</v>
      </c>
      <c r="QU53" s="708">
        <f t="shared" si="42"/>
        <v>3901720397.137825</v>
      </c>
      <c r="QV53" s="708">
        <f t="shared" si="42"/>
        <v>4018772009.05196</v>
      </c>
      <c r="QW53" s="708">
        <f t="shared" si="42"/>
        <v>4139335169.3235188</v>
      </c>
      <c r="QX53" s="708">
        <f t="shared" si="42"/>
        <v>4263515224.4032245</v>
      </c>
      <c r="QY53" s="708">
        <f t="shared" si="42"/>
        <v>4391420681.1353216</v>
      </c>
      <c r="QZ53" s="708">
        <f t="shared" si="42"/>
        <v>4523163301.5693817</v>
      </c>
      <c r="RA53" s="708">
        <f t="shared" si="42"/>
        <v>4658858200.6164637</v>
      </c>
      <c r="RB53" s="708">
        <f t="shared" si="42"/>
        <v>4798623946.6349573</v>
      </c>
      <c r="RC53" s="708">
        <f t="shared" si="42"/>
        <v>4942582665.0340061</v>
      </c>
      <c r="RD53" s="708">
        <f t="shared" si="42"/>
        <v>5090860144.9850264</v>
      </c>
      <c r="RE53" s="708">
        <f t="shared" si="42"/>
        <v>5243585949.3345776</v>
      </c>
      <c r="RF53" s="708">
        <f t="shared" si="42"/>
        <v>5400893527.8146152</v>
      </c>
      <c r="RG53" s="708">
        <f t="shared" si="42"/>
        <v>5562920333.6490536</v>
      </c>
      <c r="RH53" s="708">
        <f t="shared" si="42"/>
        <v>5729807943.6585255</v>
      </c>
      <c r="RI53" s="708">
        <f t="shared" si="42"/>
        <v>5901702181.9682817</v>
      </c>
      <c r="RJ53" s="708">
        <f t="shared" si="42"/>
        <v>6078753247.42733</v>
      </c>
      <c r="RK53" s="708">
        <f t="shared" si="42"/>
        <v>6261115844.8501501</v>
      </c>
      <c r="RL53" s="708">
        <f t="shared" si="42"/>
        <v>6448949320.1956549</v>
      </c>
      <c r="RM53" s="708">
        <f t="shared" si="42"/>
        <v>6642417799.8015251</v>
      </c>
      <c r="RN53" s="708">
        <f t="shared" si="42"/>
        <v>6841690333.7955713</v>
      </c>
      <c r="RO53" s="708">
        <f t="shared" si="42"/>
        <v>7046941043.8094387</v>
      </c>
      <c r="RP53" s="708">
        <f t="shared" si="42"/>
        <v>7258349275.1237221</v>
      </c>
      <c r="RQ53" s="708">
        <f t="shared" si="42"/>
        <v>7476099753.3774338</v>
      </c>
      <c r="RR53" s="708">
        <f t="shared" si="42"/>
        <v>7700382745.9787569</v>
      </c>
      <c r="RS53" s="708">
        <f t="shared" si="42"/>
        <v>7931394228.35812</v>
      </c>
      <c r="RT53" s="708">
        <f t="shared" si="42"/>
        <v>8169336055.2088642</v>
      </c>
      <c r="RU53" s="708">
        <f t="shared" si="42"/>
        <v>8414416136.8651304</v>
      </c>
      <c r="RV53" s="708">
        <f t="shared" si="42"/>
        <v>8666848620.9710846</v>
      </c>
      <c r="RW53" s="708">
        <f t="shared" si="42"/>
        <v>8926854079.6002178</v>
      </c>
      <c r="RX53" s="708">
        <f t="shared" si="42"/>
        <v>9194659701.988224</v>
      </c>
      <c r="RY53" s="708">
        <f t="shared" si="42"/>
        <v>9470499493.0478706</v>
      </c>
      <c r="RZ53" s="708">
        <f t="shared" si="42"/>
        <v>9754614477.8393078</v>
      </c>
      <c r="SA53" s="708">
        <f t="shared" si="42"/>
        <v>10047252912.174488</v>
      </c>
      <c r="SB53" s="708">
        <f t="shared" si="42"/>
        <v>10348670499.539722</v>
      </c>
      <c r="SC53" s="708">
        <f t="shared" si="42"/>
        <v>10659130614.525915</v>
      </c>
      <c r="SD53" s="708">
        <f t="shared" si="42"/>
        <v>10978904532.961693</v>
      </c>
      <c r="SE53" s="708">
        <f t="shared" si="42"/>
        <v>11308271668.950544</v>
      </c>
      <c r="SF53" s="708">
        <f t="shared" si="42"/>
        <v>11647519819.01906</v>
      </c>
      <c r="SG53" s="708">
        <f t="shared" si="42"/>
        <v>11996945413.589632</v>
      </c>
      <c r="SH53" s="708">
        <f t="shared" si="42"/>
        <v>12356853775.997322</v>
      </c>
      <c r="SI53" s="708">
        <f t="shared" si="42"/>
        <v>12727559389.277243</v>
      </c>
      <c r="SJ53" s="708">
        <f t="shared" si="42"/>
        <v>13109386170.955561</v>
      </c>
      <c r="SK53" s="708">
        <f t="shared" si="42"/>
        <v>13502667756.084229</v>
      </c>
      <c r="SL53" s="708">
        <f t="shared" si="42"/>
        <v>13907747788.766756</v>
      </c>
      <c r="SM53" s="708">
        <f t="shared" si="42"/>
        <v>14324980222.42976</v>
      </c>
      <c r="SN53" s="708">
        <f t="shared" si="42"/>
        <v>14754729629.102654</v>
      </c>
      <c r="SO53" s="708">
        <f t="shared" si="42"/>
        <v>15197371517.975733</v>
      </c>
      <c r="SP53" s="708">
        <f t="shared" si="42"/>
        <v>15653292663.515005</v>
      </c>
      <c r="SQ53" s="708">
        <f t="shared" si="42"/>
        <v>16122891443.420456</v>
      </c>
      <c r="SR53" s="708">
        <f t="shared" si="42"/>
        <v>16606578186.72307</v>
      </c>
      <c r="SS53" s="708">
        <f t="shared" si="42"/>
        <v>17104775532.324762</v>
      </c>
      <c r="ST53" s="708">
        <f t="shared" si="42"/>
        <v>17617918798.294506</v>
      </c>
      <c r="SU53" s="708">
        <f t="shared" si="42"/>
        <v>18146456362.243343</v>
      </c>
      <c r="SV53" s="708">
        <f t="shared" si="42"/>
        <v>18690850053.110645</v>
      </c>
      <c r="SW53" s="708">
        <f t="shared" si="42"/>
        <v>19251575554.703964</v>
      </c>
      <c r="SX53" s="708">
        <f t="shared" ref="SX53:VI53" si="43">SW53*$C$53</f>
        <v>19829122821.345085</v>
      </c>
      <c r="SY53" s="708">
        <f t="shared" si="43"/>
        <v>20423996505.985439</v>
      </c>
      <c r="SZ53" s="708">
        <f t="shared" si="43"/>
        <v>21036716401.165005</v>
      </c>
      <c r="TA53" s="708">
        <f t="shared" si="43"/>
        <v>21667817893.199955</v>
      </c>
      <c r="TB53" s="708">
        <f t="shared" si="43"/>
        <v>22317852429.995953</v>
      </c>
      <c r="TC53" s="708">
        <f t="shared" si="43"/>
        <v>22987388002.895832</v>
      </c>
      <c r="TD53" s="708">
        <f t="shared" si="43"/>
        <v>23677009642.982708</v>
      </c>
      <c r="TE53" s="708">
        <f t="shared" si="43"/>
        <v>24387319932.27219</v>
      </c>
      <c r="TF53" s="708">
        <f t="shared" si="43"/>
        <v>25118939530.240356</v>
      </c>
      <c r="TG53" s="708">
        <f t="shared" si="43"/>
        <v>25872507716.147568</v>
      </c>
      <c r="TH53" s="708">
        <f t="shared" si="43"/>
        <v>26648682947.631996</v>
      </c>
      <c r="TI53" s="708">
        <f t="shared" si="43"/>
        <v>27448143436.060955</v>
      </c>
      <c r="TJ53" s="708">
        <f t="shared" si="43"/>
        <v>28271587739.142784</v>
      </c>
      <c r="TK53" s="708">
        <f t="shared" si="43"/>
        <v>29119735371.31707</v>
      </c>
      <c r="TL53" s="708">
        <f t="shared" si="43"/>
        <v>29993327432.456581</v>
      </c>
      <c r="TM53" s="708">
        <f t="shared" si="43"/>
        <v>30893127255.430279</v>
      </c>
      <c r="TN53" s="708">
        <f t="shared" si="43"/>
        <v>31819921073.093189</v>
      </c>
      <c r="TO53" s="708">
        <f t="shared" si="43"/>
        <v>32774518705.285984</v>
      </c>
      <c r="TP53" s="708">
        <f t="shared" si="43"/>
        <v>33757754266.444565</v>
      </c>
      <c r="TQ53" s="708">
        <f t="shared" si="43"/>
        <v>34770486894.437904</v>
      </c>
      <c r="TR53" s="708">
        <f t="shared" si="43"/>
        <v>35813601501.271042</v>
      </c>
      <c r="TS53" s="708">
        <f t="shared" si="43"/>
        <v>36888009546.309174</v>
      </c>
      <c r="TT53" s="708">
        <f t="shared" si="43"/>
        <v>37994649832.698448</v>
      </c>
      <c r="TU53" s="708">
        <f t="shared" si="43"/>
        <v>39134489327.679405</v>
      </c>
      <c r="TV53" s="708">
        <f t="shared" si="43"/>
        <v>40308524007.509789</v>
      </c>
      <c r="TW53" s="708">
        <f t="shared" si="43"/>
        <v>41517779727.735085</v>
      </c>
      <c r="TX53" s="708">
        <f t="shared" si="43"/>
        <v>42763313119.567139</v>
      </c>
      <c r="TY53" s="708">
        <f t="shared" si="43"/>
        <v>44046212513.154152</v>
      </c>
      <c r="TZ53" s="708">
        <f t="shared" si="43"/>
        <v>45367598888.548775</v>
      </c>
      <c r="UA53" s="708">
        <f t="shared" si="43"/>
        <v>46728626855.205238</v>
      </c>
      <c r="UB53" s="708">
        <f t="shared" si="43"/>
        <v>48130485660.861397</v>
      </c>
      <c r="UC53" s="708">
        <f t="shared" si="43"/>
        <v>49574400230.687241</v>
      </c>
      <c r="UD53" s="708">
        <f t="shared" si="43"/>
        <v>51061632237.607857</v>
      </c>
      <c r="UE53" s="708">
        <f t="shared" si="43"/>
        <v>52593481204.736092</v>
      </c>
      <c r="UF53" s="708">
        <f t="shared" si="43"/>
        <v>54171285640.878174</v>
      </c>
      <c r="UG53" s="708">
        <f t="shared" si="43"/>
        <v>55796424210.104523</v>
      </c>
      <c r="UH53" s="708">
        <f t="shared" si="43"/>
        <v>57470316936.407661</v>
      </c>
      <c r="UI53" s="708">
        <f t="shared" si="43"/>
        <v>59194426444.499893</v>
      </c>
      <c r="UJ53" s="708">
        <f t="shared" si="43"/>
        <v>60970259237.834892</v>
      </c>
      <c r="UK53" s="708">
        <f t="shared" si="43"/>
        <v>62799367014.96994</v>
      </c>
      <c r="UL53" s="708">
        <f t="shared" si="43"/>
        <v>64683348025.419037</v>
      </c>
      <c r="UM53" s="708">
        <f t="shared" si="43"/>
        <v>66623848466.18161</v>
      </c>
      <c r="UN53" s="708">
        <f t="shared" si="43"/>
        <v>68622563920.167061</v>
      </c>
      <c r="UO53" s="708">
        <f t="shared" si="43"/>
        <v>70681240837.772079</v>
      </c>
      <c r="UP53" s="708">
        <f t="shared" si="43"/>
        <v>72801678062.905243</v>
      </c>
      <c r="UQ53" s="708">
        <f t="shared" si="43"/>
        <v>74985728404.792404</v>
      </c>
      <c r="UR53" s="708">
        <f t="shared" si="43"/>
        <v>77235300256.936172</v>
      </c>
      <c r="US53" s="708">
        <f t="shared" si="43"/>
        <v>79552359264.644257</v>
      </c>
      <c r="UT53" s="708">
        <f t="shared" si="43"/>
        <v>81938930042.583588</v>
      </c>
      <c r="UU53" s="708">
        <f t="shared" si="43"/>
        <v>84397097943.861099</v>
      </c>
      <c r="UV53" s="708">
        <f t="shared" si="43"/>
        <v>86929010882.176941</v>
      </c>
      <c r="UW53" s="708">
        <f t="shared" si="43"/>
        <v>89536881208.642258</v>
      </c>
      <c r="UX53" s="708">
        <f t="shared" si="43"/>
        <v>92222987644.901535</v>
      </c>
      <c r="UY53" s="708">
        <f t="shared" si="43"/>
        <v>94989677274.248581</v>
      </c>
      <c r="UZ53" s="708">
        <f t="shared" si="43"/>
        <v>97839367592.476044</v>
      </c>
      <c r="VA53" s="708">
        <f t="shared" si="43"/>
        <v>100774548620.25032</v>
      </c>
      <c r="VB53" s="708">
        <f t="shared" si="43"/>
        <v>103797785078.85783</v>
      </c>
      <c r="VC53" s="708">
        <f t="shared" si="43"/>
        <v>106911718631.22357</v>
      </c>
      <c r="VD53" s="708">
        <f t="shared" si="43"/>
        <v>110119070190.16028</v>
      </c>
      <c r="VE53" s="708">
        <f t="shared" si="43"/>
        <v>113422642295.8651</v>
      </c>
      <c r="VF53" s="708">
        <f t="shared" si="43"/>
        <v>116825321564.74106</v>
      </c>
      <c r="VG53" s="708">
        <f t="shared" si="43"/>
        <v>120330081211.68329</v>
      </c>
      <c r="VH53" s="708">
        <f t="shared" si="43"/>
        <v>123939983648.03378</v>
      </c>
      <c r="VI53" s="708">
        <f t="shared" si="43"/>
        <v>127658183157.47479</v>
      </c>
      <c r="VJ53" s="708">
        <f t="shared" ref="VJ53:XU53" si="44">VI53*$C$53</f>
        <v>131487928652.19904</v>
      </c>
      <c r="VK53" s="708">
        <f t="shared" si="44"/>
        <v>135432566511.76501</v>
      </c>
      <c r="VL53" s="708">
        <f t="shared" si="44"/>
        <v>139495543507.11798</v>
      </c>
      <c r="VM53" s="708">
        <f t="shared" si="44"/>
        <v>143680409812.33151</v>
      </c>
      <c r="VN53" s="708">
        <f t="shared" si="44"/>
        <v>147990822106.70145</v>
      </c>
      <c r="VO53" s="708">
        <f t="shared" si="44"/>
        <v>152430546769.9025</v>
      </c>
      <c r="VP53" s="708">
        <f t="shared" si="44"/>
        <v>157003463172.99957</v>
      </c>
      <c r="VQ53" s="708">
        <f t="shared" si="44"/>
        <v>161713567068.18958</v>
      </c>
      <c r="VR53" s="708">
        <f t="shared" si="44"/>
        <v>166564974080.23526</v>
      </c>
      <c r="VS53" s="708">
        <f t="shared" si="44"/>
        <v>171561923302.64233</v>
      </c>
      <c r="VT53" s="708">
        <f t="shared" si="44"/>
        <v>176708781001.72162</v>
      </c>
      <c r="VU53" s="708">
        <f t="shared" si="44"/>
        <v>182010044431.77328</v>
      </c>
      <c r="VV53" s="708">
        <f t="shared" si="44"/>
        <v>187470345764.7265</v>
      </c>
      <c r="VW53" s="708">
        <f t="shared" si="44"/>
        <v>193094456137.6683</v>
      </c>
      <c r="VX53" s="708">
        <f t="shared" si="44"/>
        <v>198887289821.79837</v>
      </c>
      <c r="VY53" s="708">
        <f t="shared" si="44"/>
        <v>204853908516.45233</v>
      </c>
      <c r="VZ53" s="708">
        <f t="shared" si="44"/>
        <v>210999525771.94589</v>
      </c>
      <c r="WA53" s="708">
        <f t="shared" si="44"/>
        <v>217329511545.10428</v>
      </c>
      <c r="WB53" s="708">
        <f t="shared" si="44"/>
        <v>223849396891.4574</v>
      </c>
      <c r="WC53" s="708">
        <f t="shared" si="44"/>
        <v>230564878798.20111</v>
      </c>
      <c r="WD53" s="708">
        <f t="shared" si="44"/>
        <v>237481825162.14716</v>
      </c>
      <c r="WE53" s="708">
        <f t="shared" si="44"/>
        <v>244606279917.01157</v>
      </c>
      <c r="WF53" s="708">
        <f t="shared" si="44"/>
        <v>251944468314.52191</v>
      </c>
      <c r="WG53" s="708">
        <f t="shared" si="44"/>
        <v>259502802363.95758</v>
      </c>
      <c r="WH53" s="708">
        <f t="shared" si="44"/>
        <v>267287886434.87631</v>
      </c>
      <c r="WI53" s="708">
        <f t="shared" si="44"/>
        <v>275306523027.92261</v>
      </c>
      <c r="WJ53" s="708">
        <f t="shared" si="44"/>
        <v>283565718718.76031</v>
      </c>
      <c r="WK53" s="708">
        <f t="shared" si="44"/>
        <v>292072690280.32312</v>
      </c>
      <c r="WL53" s="708">
        <f t="shared" si="44"/>
        <v>300834870988.73285</v>
      </c>
      <c r="WM53" s="708">
        <f t="shared" si="44"/>
        <v>309859917118.39484</v>
      </c>
      <c r="WN53" s="708">
        <f t="shared" si="44"/>
        <v>319155714631.94672</v>
      </c>
      <c r="WO53" s="708">
        <f t="shared" si="44"/>
        <v>328730386070.90515</v>
      </c>
      <c r="WP53" s="708">
        <f t="shared" si="44"/>
        <v>338592297653.03229</v>
      </c>
      <c r="WQ53" s="708">
        <f t="shared" si="44"/>
        <v>348750066582.62329</v>
      </c>
      <c r="WR53" s="708">
        <f t="shared" si="44"/>
        <v>359212568580.10199</v>
      </c>
      <c r="WS53" s="708">
        <f t="shared" si="44"/>
        <v>369988945637.50507</v>
      </c>
      <c r="WT53" s="708">
        <f t="shared" si="44"/>
        <v>381088614006.63025</v>
      </c>
      <c r="WU53" s="708">
        <f t="shared" si="44"/>
        <v>392521272426.82916</v>
      </c>
      <c r="WV53" s="708">
        <f t="shared" si="44"/>
        <v>404296910599.63403</v>
      </c>
      <c r="WW53" s="708">
        <f t="shared" si="44"/>
        <v>416425817917.62305</v>
      </c>
      <c r="WX53" s="708">
        <f t="shared" si="44"/>
        <v>428918592455.15173</v>
      </c>
      <c r="WY53" s="708">
        <f t="shared" si="44"/>
        <v>441786150228.80627</v>
      </c>
      <c r="WZ53" s="708">
        <f t="shared" si="44"/>
        <v>455039734735.67047</v>
      </c>
      <c r="XA53" s="708">
        <f t="shared" si="44"/>
        <v>468690926777.7406</v>
      </c>
      <c r="XB53" s="708">
        <f t="shared" si="44"/>
        <v>482751654581.07281</v>
      </c>
      <c r="XC53" s="708">
        <f t="shared" si="44"/>
        <v>497234204218.505</v>
      </c>
      <c r="XD53" s="708">
        <f t="shared" si="44"/>
        <v>512151230345.06018</v>
      </c>
      <c r="XE53" s="708">
        <f t="shared" si="44"/>
        <v>527515767255.41199</v>
      </c>
      <c r="XF53" s="708">
        <f t="shared" si="44"/>
        <v>543341240273.07434</v>
      </c>
      <c r="XG53" s="708">
        <f t="shared" si="44"/>
        <v>559641477481.2666</v>
      </c>
      <c r="XH53" s="708">
        <f t="shared" si="44"/>
        <v>576430721805.70459</v>
      </c>
      <c r="XI53" s="708">
        <f t="shared" si="44"/>
        <v>593723643459.87573</v>
      </c>
      <c r="XJ53" s="708">
        <f t="shared" si="44"/>
        <v>611535352763.672</v>
      </c>
      <c r="XK53" s="708">
        <f t="shared" si="44"/>
        <v>629881413346.58215</v>
      </c>
      <c r="XL53" s="708">
        <f t="shared" si="44"/>
        <v>648777855746.97961</v>
      </c>
      <c r="XM53" s="708">
        <f t="shared" si="44"/>
        <v>668241191419.38904</v>
      </c>
      <c r="XN53" s="708">
        <f t="shared" si="44"/>
        <v>688288427161.9707</v>
      </c>
      <c r="XO53" s="708">
        <f t="shared" si="44"/>
        <v>708937079976.82983</v>
      </c>
      <c r="XP53" s="708">
        <f t="shared" si="44"/>
        <v>730205192376.13477</v>
      </c>
      <c r="XQ53" s="708">
        <f t="shared" si="44"/>
        <v>752111348147.41882</v>
      </c>
      <c r="XR53" s="708">
        <f t="shared" si="44"/>
        <v>774674688591.84143</v>
      </c>
      <c r="XS53" s="708">
        <f t="shared" si="44"/>
        <v>797914929249.59668</v>
      </c>
      <c r="XT53" s="708">
        <f t="shared" si="44"/>
        <v>821852377127.08459</v>
      </c>
      <c r="XU53" s="708">
        <f t="shared" si="44"/>
        <v>846507948440.89709</v>
      </c>
      <c r="XV53" s="708">
        <f t="shared" ref="XV53:AAG53" si="45">XU53*$C$53</f>
        <v>871903186894.12402</v>
      </c>
      <c r="XW53" s="708">
        <f t="shared" si="45"/>
        <v>898060282500.94775</v>
      </c>
      <c r="XX53" s="708">
        <f t="shared" si="45"/>
        <v>925002090975.9762</v>
      </c>
      <c r="XY53" s="708">
        <f t="shared" si="45"/>
        <v>952752153705.25549</v>
      </c>
      <c r="XZ53" s="708">
        <f t="shared" si="45"/>
        <v>981334718316.41321</v>
      </c>
      <c r="YA53" s="708">
        <f t="shared" si="45"/>
        <v>1010774759865.9056</v>
      </c>
      <c r="YB53" s="708">
        <f t="shared" si="45"/>
        <v>1041098002661.8828</v>
      </c>
      <c r="YC53" s="708">
        <f t="shared" si="45"/>
        <v>1072330942741.7394</v>
      </c>
      <c r="YD53" s="708">
        <f t="shared" si="45"/>
        <v>1104500871023.9917</v>
      </c>
      <c r="YE53" s="708">
        <f t="shared" si="45"/>
        <v>1137635897154.7114</v>
      </c>
      <c r="YF53" s="708">
        <f t="shared" si="45"/>
        <v>1171764974069.3528</v>
      </c>
      <c r="YG53" s="708">
        <f t="shared" si="45"/>
        <v>1206917923291.4333</v>
      </c>
      <c r="YH53" s="708">
        <f t="shared" si="45"/>
        <v>1243125460990.1763</v>
      </c>
      <c r="YI53" s="708">
        <f t="shared" si="45"/>
        <v>1280419224819.8816</v>
      </c>
      <c r="YJ53" s="708">
        <f t="shared" si="45"/>
        <v>1318831801564.478</v>
      </c>
      <c r="YK53" s="708">
        <f t="shared" si="45"/>
        <v>1358396755611.4124</v>
      </c>
      <c r="YL53" s="708">
        <f t="shared" si="45"/>
        <v>1399148658279.7546</v>
      </c>
      <c r="YM53" s="708">
        <f t="shared" si="45"/>
        <v>1441123118028.1472</v>
      </c>
      <c r="YN53" s="708">
        <f t="shared" si="45"/>
        <v>1484356811568.9917</v>
      </c>
      <c r="YO53" s="708">
        <f t="shared" si="45"/>
        <v>1528887515916.0615</v>
      </c>
      <c r="YP53" s="708">
        <f t="shared" si="45"/>
        <v>1574754141393.5435</v>
      </c>
      <c r="YQ53" s="708">
        <f t="shared" si="45"/>
        <v>1621996765635.3499</v>
      </c>
      <c r="YR53" s="708">
        <f t="shared" si="45"/>
        <v>1670656668604.4104</v>
      </c>
      <c r="YS53" s="708">
        <f t="shared" si="45"/>
        <v>1720776368662.5427</v>
      </c>
      <c r="YT53" s="708">
        <f t="shared" si="45"/>
        <v>1772399659722.4189</v>
      </c>
      <c r="YU53" s="708">
        <f t="shared" si="45"/>
        <v>1825571649514.0916</v>
      </c>
      <c r="YV53" s="708">
        <f t="shared" si="45"/>
        <v>1880338798999.5144</v>
      </c>
      <c r="YW53" s="708">
        <f t="shared" si="45"/>
        <v>1936748962969.5</v>
      </c>
      <c r="YX53" s="708">
        <f t="shared" si="45"/>
        <v>1994851431858.585</v>
      </c>
      <c r="YY53" s="708">
        <f t="shared" si="45"/>
        <v>2054696974814.3425</v>
      </c>
      <c r="YZ53" s="708">
        <f t="shared" si="45"/>
        <v>2116337884058.7729</v>
      </c>
      <c r="ZA53" s="708">
        <f t="shared" si="45"/>
        <v>2179828020580.5361</v>
      </c>
      <c r="ZB53" s="708">
        <f t="shared" si="45"/>
        <v>2245222861197.9521</v>
      </c>
      <c r="ZC53" s="708">
        <f t="shared" si="45"/>
        <v>2312579547033.8906</v>
      </c>
      <c r="ZD53" s="708">
        <f t="shared" si="45"/>
        <v>2381956933444.9072</v>
      </c>
      <c r="ZE53" s="708">
        <f t="shared" si="45"/>
        <v>2453415641448.2544</v>
      </c>
      <c r="ZF53" s="708">
        <f t="shared" si="45"/>
        <v>2527018110691.7021</v>
      </c>
      <c r="ZG53" s="708">
        <f t="shared" si="45"/>
        <v>2602828654012.4531</v>
      </c>
      <c r="ZH53" s="708">
        <f t="shared" si="45"/>
        <v>2680913513632.8267</v>
      </c>
      <c r="ZI53" s="708">
        <f t="shared" si="45"/>
        <v>2761340919041.8115</v>
      </c>
      <c r="ZJ53" s="708">
        <f t="shared" si="45"/>
        <v>2844181146613.0659</v>
      </c>
      <c r="ZK53" s="708">
        <f t="shared" si="45"/>
        <v>2929506581011.458</v>
      </c>
      <c r="ZL53" s="708">
        <f t="shared" si="45"/>
        <v>3017391778441.8018</v>
      </c>
      <c r="ZM53" s="708">
        <f t="shared" si="45"/>
        <v>3107913531795.0557</v>
      </c>
      <c r="ZN53" s="708">
        <f t="shared" si="45"/>
        <v>3201150937748.9072</v>
      </c>
      <c r="ZO53" s="708">
        <f t="shared" si="45"/>
        <v>3297185465881.3745</v>
      </c>
      <c r="ZP53" s="708">
        <f t="shared" si="45"/>
        <v>3396101029857.8159</v>
      </c>
      <c r="ZQ53" s="708">
        <f t="shared" si="45"/>
        <v>3497984060753.5503</v>
      </c>
      <c r="ZR53" s="708">
        <f t="shared" si="45"/>
        <v>3602923582576.1567</v>
      </c>
      <c r="ZS53" s="708">
        <f t="shared" si="45"/>
        <v>3711011290053.4414</v>
      </c>
      <c r="ZT53" s="708">
        <f t="shared" si="45"/>
        <v>3822341628755.0449</v>
      </c>
      <c r="ZU53" s="708">
        <f t="shared" si="45"/>
        <v>3937011877617.6963</v>
      </c>
      <c r="ZV53" s="708">
        <f t="shared" si="45"/>
        <v>4055122233946.2271</v>
      </c>
      <c r="ZW53" s="708">
        <f t="shared" si="45"/>
        <v>4176775900964.6138</v>
      </c>
      <c r="ZX53" s="708">
        <f t="shared" si="45"/>
        <v>4302079177993.5522</v>
      </c>
      <c r="ZY53" s="708">
        <f t="shared" si="45"/>
        <v>4431141553333.3594</v>
      </c>
      <c r="ZZ53" s="708">
        <f t="shared" si="45"/>
        <v>4564075799933.3604</v>
      </c>
      <c r="AAA53" s="708">
        <f t="shared" si="45"/>
        <v>4700998073931.3613</v>
      </c>
      <c r="AAB53" s="708">
        <f t="shared" si="45"/>
        <v>4842028016149.3027</v>
      </c>
      <c r="AAC53" s="708">
        <f t="shared" si="45"/>
        <v>4987288856633.7822</v>
      </c>
      <c r="AAD53" s="708">
        <f t="shared" si="45"/>
        <v>5136907522332.7959</v>
      </c>
      <c r="AAE53" s="708">
        <f t="shared" si="45"/>
        <v>5291014748002.7803</v>
      </c>
      <c r="AAF53" s="708">
        <f t="shared" si="45"/>
        <v>5449745190442.8643</v>
      </c>
      <c r="AAG53" s="708">
        <f t="shared" si="45"/>
        <v>5613237546156.1504</v>
      </c>
      <c r="AAH53" s="708">
        <f t="shared" ref="AAH53:ACS53" si="46">AAG53*$C$53</f>
        <v>5781634672540.835</v>
      </c>
      <c r="AAI53" s="708">
        <f t="shared" si="46"/>
        <v>5955083712717.0605</v>
      </c>
      <c r="AAJ53" s="708">
        <f t="shared" si="46"/>
        <v>6133736224098.5723</v>
      </c>
      <c r="AAK53" s="708">
        <f t="shared" si="46"/>
        <v>6317748310821.5293</v>
      </c>
      <c r="AAL53" s="708">
        <f t="shared" si="46"/>
        <v>6507280760146.1758</v>
      </c>
      <c r="AAM53" s="708">
        <f t="shared" si="46"/>
        <v>6702499182950.5615</v>
      </c>
      <c r="AAN53" s="708">
        <f t="shared" si="46"/>
        <v>6903574158439.0781</v>
      </c>
      <c r="AAO53" s="708">
        <f t="shared" si="46"/>
        <v>7110681383192.251</v>
      </c>
      <c r="AAP53" s="708">
        <f t="shared" si="46"/>
        <v>7324001824688.0186</v>
      </c>
      <c r="AAQ53" s="708">
        <f t="shared" si="46"/>
        <v>7543721879428.6592</v>
      </c>
      <c r="AAR53" s="708">
        <f t="shared" si="46"/>
        <v>7770033535811.5195</v>
      </c>
      <c r="AAS53" s="708">
        <f t="shared" si="46"/>
        <v>8003134541885.8652</v>
      </c>
      <c r="AAT53" s="708">
        <f t="shared" si="46"/>
        <v>8243228578142.4414</v>
      </c>
      <c r="AAU53" s="708">
        <f t="shared" si="46"/>
        <v>8490525435486.7148</v>
      </c>
      <c r="AAV53" s="708">
        <f t="shared" si="46"/>
        <v>8745241198551.3164</v>
      </c>
      <c r="AAW53" s="708">
        <f t="shared" si="46"/>
        <v>9007598434507.8555</v>
      </c>
      <c r="AAX53" s="708">
        <f t="shared" si="46"/>
        <v>9277826387543.0918</v>
      </c>
      <c r="AAY53" s="708">
        <f t="shared" si="46"/>
        <v>9556161179169.3848</v>
      </c>
      <c r="AAZ53" s="708">
        <f t="shared" si="46"/>
        <v>9842846014544.4668</v>
      </c>
      <c r="ABA53" s="708">
        <f t="shared" si="46"/>
        <v>10138131394980.801</v>
      </c>
      <c r="ABB53" s="708">
        <f t="shared" si="46"/>
        <v>10442275336830.225</v>
      </c>
      <c r="ABC53" s="708">
        <f t="shared" si="46"/>
        <v>10755543596935.131</v>
      </c>
      <c r="ABD53" s="708">
        <f t="shared" si="46"/>
        <v>11078209904843.186</v>
      </c>
      <c r="ABE53" s="708">
        <f t="shared" si="46"/>
        <v>11410556201988.48</v>
      </c>
      <c r="ABF53" s="708">
        <f t="shared" si="46"/>
        <v>11752872888048.135</v>
      </c>
      <c r="ABG53" s="708">
        <f t="shared" si="46"/>
        <v>12105459074689.58</v>
      </c>
      <c r="ABH53" s="708">
        <f t="shared" si="46"/>
        <v>12468622846930.268</v>
      </c>
      <c r="ABI53" s="708">
        <f t="shared" si="46"/>
        <v>12842681532338.176</v>
      </c>
      <c r="ABJ53" s="708">
        <f t="shared" si="46"/>
        <v>13227961978308.322</v>
      </c>
      <c r="ABK53" s="708">
        <f t="shared" si="46"/>
        <v>13624800837657.572</v>
      </c>
      <c r="ABL53" s="708">
        <f t="shared" si="46"/>
        <v>14033544862787.299</v>
      </c>
      <c r="ABM53" s="708">
        <f t="shared" si="46"/>
        <v>14454551208670.918</v>
      </c>
      <c r="ABN53" s="708">
        <f t="shared" si="46"/>
        <v>14888187744931.045</v>
      </c>
      <c r="ABO53" s="708">
        <f t="shared" si="46"/>
        <v>15334833377278.977</v>
      </c>
      <c r="ABP53" s="708">
        <f t="shared" si="46"/>
        <v>15794878378597.346</v>
      </c>
      <c r="ABQ53" s="708">
        <f t="shared" si="46"/>
        <v>16268724729955.266</v>
      </c>
      <c r="ABR53" s="708">
        <f t="shared" si="46"/>
        <v>16756786471853.924</v>
      </c>
      <c r="ABS53" s="708">
        <f t="shared" si="46"/>
        <v>17259490066009.541</v>
      </c>
      <c r="ABT53" s="708">
        <f t="shared" si="46"/>
        <v>17777274767989.828</v>
      </c>
      <c r="ABU53" s="708">
        <f t="shared" si="46"/>
        <v>18310593011029.523</v>
      </c>
      <c r="ABV53" s="708">
        <f t="shared" si="46"/>
        <v>18859910801360.41</v>
      </c>
      <c r="ABW53" s="708">
        <f t="shared" si="46"/>
        <v>19425708125401.223</v>
      </c>
      <c r="ABX53" s="708">
        <f t="shared" si="46"/>
        <v>20008479369163.262</v>
      </c>
      <c r="ABY53" s="708">
        <f t="shared" si="46"/>
        <v>20608733750238.16</v>
      </c>
      <c r="ABZ53" s="708">
        <f t="shared" si="46"/>
        <v>21226995762745.305</v>
      </c>
      <c r="ACA53" s="708">
        <f t="shared" si="46"/>
        <v>21863805635627.664</v>
      </c>
      <c r="ACB53" s="708">
        <f t="shared" si="46"/>
        <v>22519719804696.496</v>
      </c>
      <c r="ACC53" s="708">
        <f t="shared" si="46"/>
        <v>23195311398837.391</v>
      </c>
      <c r="ACD53" s="708">
        <f t="shared" si="46"/>
        <v>23891170740802.512</v>
      </c>
      <c r="ACE53" s="708">
        <f t="shared" si="46"/>
        <v>24607905863026.586</v>
      </c>
      <c r="ACF53" s="708">
        <f t="shared" si="46"/>
        <v>25346143038917.383</v>
      </c>
      <c r="ACG53" s="708">
        <f t="shared" si="46"/>
        <v>26106527330084.906</v>
      </c>
      <c r="ACH53" s="708">
        <f t="shared" si="46"/>
        <v>26889723149987.453</v>
      </c>
      <c r="ACI53" s="708">
        <f t="shared" si="46"/>
        <v>27696414844487.078</v>
      </c>
      <c r="ACJ53" s="708">
        <f t="shared" si="46"/>
        <v>28527307289821.691</v>
      </c>
      <c r="ACK53" s="708">
        <f t="shared" si="46"/>
        <v>29383126508516.344</v>
      </c>
      <c r="ACL53" s="708">
        <f t="shared" si="46"/>
        <v>30264620303771.836</v>
      </c>
      <c r="ACM53" s="708">
        <f t="shared" si="46"/>
        <v>31172558912884.992</v>
      </c>
      <c r="ACN53" s="708">
        <f t="shared" si="46"/>
        <v>32107735680271.543</v>
      </c>
      <c r="ACO53" s="708">
        <f t="shared" si="46"/>
        <v>33070967750679.691</v>
      </c>
      <c r="ACP53" s="708">
        <f t="shared" si="46"/>
        <v>34063096783200.082</v>
      </c>
      <c r="ACQ53" s="708">
        <f t="shared" si="46"/>
        <v>35084989686696.086</v>
      </c>
      <c r="ACR53" s="708">
        <f t="shared" si="46"/>
        <v>36137539377296.969</v>
      </c>
      <c r="ACS53" s="708">
        <f t="shared" si="46"/>
        <v>37221665558615.875</v>
      </c>
      <c r="ACT53" s="708">
        <f t="shared" ref="ACT53:AFE53" si="47">ACS53*$C$53</f>
        <v>38338315525374.352</v>
      </c>
      <c r="ACU53" s="708">
        <f t="shared" si="47"/>
        <v>39488464991135.586</v>
      </c>
      <c r="ACV53" s="708">
        <f t="shared" si="47"/>
        <v>40673118940869.656</v>
      </c>
      <c r="ACW53" s="708">
        <f t="shared" si="47"/>
        <v>41893312509095.75</v>
      </c>
      <c r="ACX53" s="708">
        <f t="shared" si="47"/>
        <v>43150111884368.625</v>
      </c>
      <c r="ACY53" s="708">
        <f t="shared" si="47"/>
        <v>44444615240899.688</v>
      </c>
      <c r="ACZ53" s="708">
        <f t="shared" si="47"/>
        <v>45777953698126.68</v>
      </c>
      <c r="ADA53" s="708">
        <f t="shared" si="47"/>
        <v>47151292309070.484</v>
      </c>
      <c r="ADB53" s="708">
        <f t="shared" si="47"/>
        <v>48565831078342.602</v>
      </c>
      <c r="ADC53" s="708">
        <f t="shared" si="47"/>
        <v>50022806010692.883</v>
      </c>
      <c r="ADD53" s="708">
        <f t="shared" si="47"/>
        <v>51523490191013.672</v>
      </c>
      <c r="ADE53" s="708">
        <f t="shared" si="47"/>
        <v>53069194896744.086</v>
      </c>
      <c r="ADF53" s="708">
        <f t="shared" si="47"/>
        <v>54661270743646.406</v>
      </c>
      <c r="ADG53" s="708">
        <f t="shared" si="47"/>
        <v>56301108865955.797</v>
      </c>
      <c r="ADH53" s="708">
        <f t="shared" si="47"/>
        <v>57990142131934.469</v>
      </c>
      <c r="ADI53" s="708">
        <f t="shared" si="47"/>
        <v>59729846395892.508</v>
      </c>
      <c r="ADJ53" s="708">
        <f t="shared" si="47"/>
        <v>61521741787769.281</v>
      </c>
      <c r="ADK53" s="708">
        <f t="shared" si="47"/>
        <v>63367394041402.359</v>
      </c>
      <c r="ADL53" s="708">
        <f t="shared" si="47"/>
        <v>65268415862644.43</v>
      </c>
      <c r="ADM53" s="708">
        <f t="shared" si="47"/>
        <v>67226468338523.766</v>
      </c>
      <c r="ADN53" s="708">
        <f t="shared" si="47"/>
        <v>69243262388679.477</v>
      </c>
      <c r="ADO53" s="708">
        <f t="shared" si="47"/>
        <v>71320560260339.859</v>
      </c>
      <c r="ADP53" s="708">
        <f t="shared" si="47"/>
        <v>73460177068150.063</v>
      </c>
      <c r="ADQ53" s="708">
        <f t="shared" si="47"/>
        <v>75663982380194.563</v>
      </c>
      <c r="ADR53" s="708">
        <f t="shared" si="47"/>
        <v>77933901851600.406</v>
      </c>
      <c r="ADS53" s="708">
        <f t="shared" si="47"/>
        <v>80271918907148.422</v>
      </c>
      <c r="ADT53" s="708">
        <f t="shared" si="47"/>
        <v>82680076474362.875</v>
      </c>
      <c r="ADU53" s="708">
        <f t="shared" si="47"/>
        <v>85160478768593.766</v>
      </c>
      <c r="ADV53" s="708">
        <f t="shared" si="47"/>
        <v>87715293131651.578</v>
      </c>
      <c r="ADW53" s="708">
        <f t="shared" si="47"/>
        <v>90346751925601.125</v>
      </c>
      <c r="ADX53" s="708">
        <f t="shared" si="47"/>
        <v>93057154483369.156</v>
      </c>
      <c r="ADY53" s="708">
        <f t="shared" si="47"/>
        <v>95848869117870.234</v>
      </c>
      <c r="ADZ53" s="708">
        <f t="shared" si="47"/>
        <v>98724335191406.344</v>
      </c>
      <c r="AEA53" s="708">
        <f t="shared" si="47"/>
        <v>101686065247148.53</v>
      </c>
      <c r="AEB53" s="708">
        <f t="shared" si="47"/>
        <v>104736647204562.98</v>
      </c>
      <c r="AEC53" s="708">
        <f t="shared" si="47"/>
        <v>107878746620699.88</v>
      </c>
      <c r="AED53" s="708">
        <f t="shared" si="47"/>
        <v>111115109019320.88</v>
      </c>
      <c r="AEE53" s="708">
        <f t="shared" si="47"/>
        <v>114448562289900.5</v>
      </c>
      <c r="AEF53" s="708">
        <f t="shared" si="47"/>
        <v>117882019158597.52</v>
      </c>
      <c r="AEG53" s="708">
        <f t="shared" si="47"/>
        <v>121418479733355.44</v>
      </c>
      <c r="AEH53" s="708">
        <f t="shared" si="47"/>
        <v>125061034125356.11</v>
      </c>
      <c r="AEI53" s="708">
        <f t="shared" si="47"/>
        <v>128812865149116.8</v>
      </c>
      <c r="AEJ53" s="708">
        <f t="shared" si="47"/>
        <v>132677251103590.3</v>
      </c>
      <c r="AEK53" s="708">
        <f t="shared" si="47"/>
        <v>136657568636698.02</v>
      </c>
      <c r="AEL53" s="708">
        <f t="shared" si="47"/>
        <v>140757295695798.97</v>
      </c>
      <c r="AEM53" s="708">
        <f t="shared" si="47"/>
        <v>144980014566672.94</v>
      </c>
      <c r="AEN53" s="708">
        <f t="shared" si="47"/>
        <v>149329415003673.13</v>
      </c>
      <c r="AEO53" s="708">
        <f t="shared" si="47"/>
        <v>153809297453783.31</v>
      </c>
      <c r="AEP53" s="708">
        <f t="shared" si="47"/>
        <v>158423576377396.81</v>
      </c>
      <c r="AEQ53" s="708">
        <f t="shared" si="47"/>
        <v>163176283668718.72</v>
      </c>
      <c r="AER53" s="708">
        <f t="shared" si="47"/>
        <v>168071572178780.28</v>
      </c>
      <c r="AES53" s="708">
        <f t="shared" si="47"/>
        <v>173113719344143.69</v>
      </c>
      <c r="AET53" s="708">
        <f t="shared" si="47"/>
        <v>178307130924468</v>
      </c>
      <c r="AEU53" s="708">
        <f t="shared" si="47"/>
        <v>183656344852202.03</v>
      </c>
      <c r="AEV53" s="708">
        <f t="shared" si="47"/>
        <v>189166035197768.09</v>
      </c>
      <c r="AEW53" s="708">
        <f t="shared" si="47"/>
        <v>194841016253701.16</v>
      </c>
      <c r="AEX53" s="708">
        <f t="shared" si="47"/>
        <v>200686246741312.19</v>
      </c>
      <c r="AEY53" s="708">
        <f t="shared" si="47"/>
        <v>206706834143551.56</v>
      </c>
      <c r="AEZ53" s="708">
        <f t="shared" si="47"/>
        <v>212908039167858.13</v>
      </c>
      <c r="AFA53" s="708">
        <f t="shared" si="47"/>
        <v>219295280342893.88</v>
      </c>
      <c r="AFB53" s="708">
        <f t="shared" si="47"/>
        <v>225874138753180.69</v>
      </c>
      <c r="AFC53" s="708">
        <f t="shared" si="47"/>
        <v>232650362915776.13</v>
      </c>
      <c r="AFD53" s="708">
        <f t="shared" si="47"/>
        <v>239629873803249.41</v>
      </c>
      <c r="AFE53" s="708">
        <f t="shared" si="47"/>
        <v>246818770017346.91</v>
      </c>
      <c r="AFF53" s="708">
        <f t="shared" ref="AFF53:AHQ53" si="48">AFE53*$C$53</f>
        <v>254223333117867.31</v>
      </c>
      <c r="AFG53" s="708">
        <f t="shared" si="48"/>
        <v>261850033111403.34</v>
      </c>
      <c r="AFH53" s="708">
        <f t="shared" si="48"/>
        <v>269705534104745.44</v>
      </c>
      <c r="AFI53" s="708">
        <f t="shared" si="48"/>
        <v>277796700127887.81</v>
      </c>
      <c r="AFJ53" s="708">
        <f t="shared" si="48"/>
        <v>286130601131724.44</v>
      </c>
      <c r="AFK53" s="708">
        <f t="shared" si="48"/>
        <v>294714519165676.19</v>
      </c>
      <c r="AFL53" s="708">
        <f t="shared" si="48"/>
        <v>303555954740646.5</v>
      </c>
      <c r="AFM53" s="708">
        <f t="shared" si="48"/>
        <v>312662633382865.88</v>
      </c>
      <c r="AFN53" s="708">
        <f t="shared" si="48"/>
        <v>322042512384351.88</v>
      </c>
      <c r="AFO53" s="708">
        <f t="shared" si="48"/>
        <v>331703787755882.44</v>
      </c>
      <c r="AFP53" s="708">
        <f t="shared" si="48"/>
        <v>341654901388558.94</v>
      </c>
      <c r="AFQ53" s="708">
        <f t="shared" si="48"/>
        <v>351904548430215.69</v>
      </c>
      <c r="AFR53" s="708">
        <f t="shared" si="48"/>
        <v>362461684883122.19</v>
      </c>
      <c r="AFS53" s="708">
        <f t="shared" si="48"/>
        <v>373335535429615.88</v>
      </c>
      <c r="AFT53" s="708">
        <f t="shared" si="48"/>
        <v>384535601492504.38</v>
      </c>
      <c r="AFU53" s="708">
        <f t="shared" si="48"/>
        <v>396071669537279.5</v>
      </c>
      <c r="AFV53" s="708">
        <f t="shared" si="48"/>
        <v>407953819623397.88</v>
      </c>
      <c r="AFW53" s="708">
        <f t="shared" si="48"/>
        <v>420192434212099.81</v>
      </c>
      <c r="AFX53" s="708">
        <f t="shared" si="48"/>
        <v>432798207238462.81</v>
      </c>
      <c r="AFY53" s="708">
        <f t="shared" si="48"/>
        <v>445782153455616.69</v>
      </c>
      <c r="AFZ53" s="708">
        <f t="shared" si="48"/>
        <v>459155618059285.19</v>
      </c>
      <c r="AGA53" s="708">
        <f t="shared" si="48"/>
        <v>472930286601063.75</v>
      </c>
      <c r="AGB53" s="708">
        <f t="shared" si="48"/>
        <v>487118195199095.69</v>
      </c>
      <c r="AGC53" s="708">
        <f t="shared" si="48"/>
        <v>501731741055068.56</v>
      </c>
      <c r="AGD53" s="708">
        <f t="shared" si="48"/>
        <v>516783693286720.63</v>
      </c>
      <c r="AGE53" s="708">
        <f t="shared" si="48"/>
        <v>532287204085322.25</v>
      </c>
      <c r="AGF53" s="708">
        <f t="shared" si="48"/>
        <v>548255820207881.94</v>
      </c>
      <c r="AGG53" s="708">
        <f t="shared" si="48"/>
        <v>564703494814118.38</v>
      </c>
      <c r="AGH53" s="708">
        <f t="shared" si="48"/>
        <v>581644599658542</v>
      </c>
      <c r="AGI53" s="708">
        <f t="shared" si="48"/>
        <v>599093937648298.25</v>
      </c>
      <c r="AGJ53" s="708">
        <f t="shared" si="48"/>
        <v>617066755777747.25</v>
      </c>
      <c r="AGK53" s="708">
        <f t="shared" si="48"/>
        <v>635578758451079.63</v>
      </c>
      <c r="AGL53" s="708">
        <f t="shared" si="48"/>
        <v>654646121204612</v>
      </c>
      <c r="AGM53" s="708">
        <f t="shared" si="48"/>
        <v>674285504840750.38</v>
      </c>
      <c r="AGN53" s="708">
        <f t="shared" si="48"/>
        <v>694514069985972.88</v>
      </c>
      <c r="AGO53" s="708">
        <f t="shared" si="48"/>
        <v>715349492085552.13</v>
      </c>
      <c r="AGP53" s="708">
        <f t="shared" si="48"/>
        <v>736809976848118.75</v>
      </c>
      <c r="AGQ53" s="708">
        <f t="shared" si="48"/>
        <v>758914276153562.38</v>
      </c>
      <c r="AGR53" s="708">
        <f t="shared" si="48"/>
        <v>781681704438169.25</v>
      </c>
      <c r="AGS53" s="708">
        <f t="shared" si="48"/>
        <v>805132155571314.38</v>
      </c>
      <c r="AGT53" s="708">
        <f t="shared" si="48"/>
        <v>829286120238453.88</v>
      </c>
      <c r="AGU53" s="708">
        <f t="shared" si="48"/>
        <v>854164703845607.5</v>
      </c>
      <c r="AGV53" s="708">
        <f t="shared" si="48"/>
        <v>879789644960975.75</v>
      </c>
      <c r="AGW53" s="708">
        <f t="shared" si="48"/>
        <v>906183334309805</v>
      </c>
      <c r="AGX53" s="708">
        <f t="shared" si="48"/>
        <v>933368834339099.13</v>
      </c>
      <c r="AGY53" s="708">
        <f t="shared" si="48"/>
        <v>961369899369272.13</v>
      </c>
      <c r="AGZ53" s="708">
        <f t="shared" si="48"/>
        <v>990210996350350.38</v>
      </c>
      <c r="AHA53" s="708">
        <f t="shared" si="48"/>
        <v>1019917326240860.9</v>
      </c>
      <c r="AHB53" s="708">
        <f t="shared" si="48"/>
        <v>1050514846028086.8</v>
      </c>
      <c r="AHC53" s="708">
        <f t="shared" si="48"/>
        <v>1082030291408929.4</v>
      </c>
      <c r="AHD53" s="708">
        <f t="shared" si="48"/>
        <v>1114491200151197.3</v>
      </c>
      <c r="AHE53" s="708">
        <f t="shared" si="48"/>
        <v>1147925936155733.3</v>
      </c>
      <c r="AHF53" s="708">
        <f t="shared" si="48"/>
        <v>1182363714240405.3</v>
      </c>
      <c r="AHG53" s="708">
        <f t="shared" si="48"/>
        <v>1217834625667617.5</v>
      </c>
      <c r="AHH53" s="708">
        <f t="shared" si="48"/>
        <v>1254369664437646</v>
      </c>
      <c r="AHI53" s="708">
        <f t="shared" si="48"/>
        <v>1292000754370775.5</v>
      </c>
      <c r="AHJ53" s="708">
        <f t="shared" si="48"/>
        <v>1330760777001898.8</v>
      </c>
      <c r="AHK53" s="708">
        <f t="shared" si="48"/>
        <v>1370683600311955.8</v>
      </c>
      <c r="AHL53" s="708">
        <f t="shared" si="48"/>
        <v>1411804108321314.5</v>
      </c>
      <c r="AHM53" s="708">
        <f t="shared" si="48"/>
        <v>1454158231570954</v>
      </c>
      <c r="AHN53" s="708">
        <f t="shared" si="48"/>
        <v>1497782978518082.8</v>
      </c>
      <c r="AHO53" s="708">
        <f t="shared" si="48"/>
        <v>1542716467873625.3</v>
      </c>
      <c r="AHP53" s="708">
        <f t="shared" si="48"/>
        <v>1588997961909834</v>
      </c>
      <c r="AHQ53" s="708">
        <f t="shared" si="48"/>
        <v>1636667900767129</v>
      </c>
      <c r="AHR53" s="708">
        <f t="shared" ref="AHR53:AKC53" si="49">AHQ53*$C$53</f>
        <v>1685767937790143</v>
      </c>
      <c r="AHS53" s="708">
        <f t="shared" si="49"/>
        <v>1736340975923847.3</v>
      </c>
      <c r="AHT53" s="708">
        <f t="shared" si="49"/>
        <v>1788431205201562.8</v>
      </c>
      <c r="AHU53" s="708">
        <f t="shared" si="49"/>
        <v>1842084141357609.8</v>
      </c>
      <c r="AHV53" s="708">
        <f t="shared" si="49"/>
        <v>1897346665598338</v>
      </c>
      <c r="AHW53" s="708">
        <f t="shared" si="49"/>
        <v>1954267065566288.3</v>
      </c>
      <c r="AHX53" s="708">
        <f t="shared" si="49"/>
        <v>2012895077533277</v>
      </c>
      <c r="AHY53" s="708">
        <f t="shared" si="49"/>
        <v>2073281929859275.3</v>
      </c>
      <c r="AHZ53" s="708">
        <f t="shared" si="49"/>
        <v>2135480387755053.5</v>
      </c>
      <c r="AIA53" s="708">
        <f t="shared" si="49"/>
        <v>2199544799387705.3</v>
      </c>
      <c r="AIB53" s="708">
        <f t="shared" si="49"/>
        <v>2265531143369336.5</v>
      </c>
      <c r="AIC53" s="708">
        <f t="shared" si="49"/>
        <v>2333497077670416.5</v>
      </c>
      <c r="AID53" s="708">
        <f t="shared" si="49"/>
        <v>2403501990000529</v>
      </c>
      <c r="AIE53" s="708">
        <f t="shared" si="49"/>
        <v>2475607049700545</v>
      </c>
      <c r="AIF53" s="708">
        <f t="shared" si="49"/>
        <v>2549875261191561.5</v>
      </c>
      <c r="AIG53" s="708">
        <f t="shared" si="49"/>
        <v>2626371519027308.5</v>
      </c>
      <c r="AIH53" s="708">
        <f t="shared" si="49"/>
        <v>2705162664598128</v>
      </c>
      <c r="AII53" s="708">
        <f t="shared" si="49"/>
        <v>2786317544536072</v>
      </c>
      <c r="AIJ53" s="708">
        <f t="shared" si="49"/>
        <v>2869907070872154</v>
      </c>
      <c r="AIK53" s="708">
        <f t="shared" si="49"/>
        <v>2956004282998318.5</v>
      </c>
      <c r="AIL53" s="708">
        <f t="shared" si="49"/>
        <v>3044684411488268</v>
      </c>
      <c r="AIM53" s="708">
        <f t="shared" si="49"/>
        <v>3136024943832916</v>
      </c>
      <c r="AIN53" s="708">
        <f t="shared" si="49"/>
        <v>3230105692147903.5</v>
      </c>
      <c r="AIO53" s="708">
        <f t="shared" si="49"/>
        <v>3327008862912340.5</v>
      </c>
      <c r="AIP53" s="708">
        <f t="shared" si="49"/>
        <v>3426819128799711</v>
      </c>
      <c r="AIQ53" s="708">
        <f t="shared" si="49"/>
        <v>3529623702663702.5</v>
      </c>
      <c r="AIR53" s="708">
        <f t="shared" si="49"/>
        <v>3635512413743613.5</v>
      </c>
      <c r="AIS53" s="708">
        <f t="shared" si="49"/>
        <v>3744577786155922</v>
      </c>
      <c r="AIT53" s="708">
        <f t="shared" si="49"/>
        <v>3856915119740600</v>
      </c>
      <c r="AIU53" s="708">
        <f t="shared" si="49"/>
        <v>3972622573332818</v>
      </c>
      <c r="AIV53" s="708">
        <f t="shared" si="49"/>
        <v>4091801250532802.5</v>
      </c>
      <c r="AIW53" s="708">
        <f t="shared" si="49"/>
        <v>4214555288048786.5</v>
      </c>
      <c r="AIX53" s="708">
        <f t="shared" si="49"/>
        <v>4340991946690250</v>
      </c>
      <c r="AIY53" s="708">
        <f t="shared" si="49"/>
        <v>4471221705090957.5</v>
      </c>
      <c r="AIZ53" s="708">
        <f t="shared" si="49"/>
        <v>4605358356243686</v>
      </c>
      <c r="AJA53" s="708">
        <f t="shared" si="49"/>
        <v>4743519106930997</v>
      </c>
      <c r="AJB53" s="708">
        <f t="shared" si="49"/>
        <v>4885824680138927</v>
      </c>
      <c r="AJC53" s="708">
        <f t="shared" si="49"/>
        <v>5032399420543095</v>
      </c>
      <c r="AJD53" s="708">
        <f t="shared" si="49"/>
        <v>5183371403159388</v>
      </c>
      <c r="AJE53" s="708">
        <f t="shared" si="49"/>
        <v>5338872545254170</v>
      </c>
      <c r="AJF53" s="708">
        <f t="shared" si="49"/>
        <v>5499038721611795</v>
      </c>
      <c r="AJG53" s="708">
        <f t="shared" si="49"/>
        <v>5664009883260149</v>
      </c>
      <c r="AJH53" s="708">
        <f t="shared" si="49"/>
        <v>5833930179757954</v>
      </c>
      <c r="AJI53" s="708">
        <f t="shared" si="49"/>
        <v>6008948085150693</v>
      </c>
      <c r="AJJ53" s="708">
        <f t="shared" si="49"/>
        <v>6189216527705214</v>
      </c>
      <c r="AJK53" s="708">
        <f t="shared" si="49"/>
        <v>6374893023536371</v>
      </c>
      <c r="AJL53" s="708">
        <f t="shared" si="49"/>
        <v>6566139814242462</v>
      </c>
      <c r="AJM53" s="708">
        <f t="shared" si="49"/>
        <v>6763124008669736</v>
      </c>
      <c r="AJN53" s="708">
        <f t="shared" si="49"/>
        <v>6966017728929828</v>
      </c>
      <c r="AJO53" s="708">
        <f t="shared" si="49"/>
        <v>7174998260797723</v>
      </c>
      <c r="AJP53" s="708">
        <f t="shared" si="49"/>
        <v>7390248208621655</v>
      </c>
      <c r="AJQ53" s="708">
        <f t="shared" si="49"/>
        <v>7611955654880305</v>
      </c>
      <c r="AJR53" s="708">
        <f t="shared" si="49"/>
        <v>7840314324526714</v>
      </c>
      <c r="AJS53" s="708">
        <f t="shared" si="49"/>
        <v>8075523754262516</v>
      </c>
      <c r="AJT53" s="708">
        <f t="shared" si="49"/>
        <v>8317789466890392</v>
      </c>
      <c r="AJU53" s="708">
        <f t="shared" si="49"/>
        <v>8567323150897104</v>
      </c>
      <c r="AJV53" s="708">
        <f t="shared" si="49"/>
        <v>8824342845424017</v>
      </c>
      <c r="AJW53" s="708">
        <f t="shared" si="49"/>
        <v>9089073130786738</v>
      </c>
      <c r="AJX53" s="708">
        <f t="shared" si="49"/>
        <v>9361745324710340</v>
      </c>
      <c r="AJY53" s="708">
        <f t="shared" si="49"/>
        <v>9642597684451650</v>
      </c>
      <c r="AJZ53" s="708">
        <f t="shared" si="49"/>
        <v>9931875614985200</v>
      </c>
      <c r="AKA53" s="708">
        <f t="shared" si="49"/>
        <v>1.0229831883434756E+16</v>
      </c>
      <c r="AKB53" s="708">
        <f t="shared" si="49"/>
        <v>1.0536726839937798E+16</v>
      </c>
      <c r="AKC53" s="708">
        <f t="shared" si="49"/>
        <v>1.0852828645135932E+16</v>
      </c>
      <c r="AKD53" s="708">
        <f t="shared" ref="AKD53:AMO53" si="50">AKC53*$C$53</f>
        <v>1.117841350449001E+16</v>
      </c>
      <c r="AKE53" s="708">
        <f t="shared" si="50"/>
        <v>1.151376590962471E+16</v>
      </c>
      <c r="AKF53" s="708">
        <f t="shared" si="50"/>
        <v>1.1859178886913452E+16</v>
      </c>
      <c r="AKG53" s="708">
        <f t="shared" si="50"/>
        <v>1.2214954253520856E+16</v>
      </c>
      <c r="AKH53" s="708">
        <f t="shared" si="50"/>
        <v>1.2581402881126482E+16</v>
      </c>
      <c r="AKI53" s="708">
        <f t="shared" si="50"/>
        <v>1.2958844967560276E+16</v>
      </c>
      <c r="AKJ53" s="708">
        <f t="shared" si="50"/>
        <v>1.3347610316587084E+16</v>
      </c>
      <c r="AKK53" s="708">
        <f t="shared" si="50"/>
        <v>1.3748038626084696E+16</v>
      </c>
      <c r="AKL53" s="708">
        <f t="shared" si="50"/>
        <v>1.4160479784867238E+16</v>
      </c>
      <c r="AKM53" s="708">
        <f t="shared" si="50"/>
        <v>1.4585294178413256E+16</v>
      </c>
      <c r="AKN53" s="708">
        <f t="shared" si="50"/>
        <v>1.5022853003765654E+16</v>
      </c>
      <c r="AKO53" s="708">
        <f t="shared" si="50"/>
        <v>1.5473538593878624E+16</v>
      </c>
      <c r="AKP53" s="708">
        <f t="shared" si="50"/>
        <v>1.5937744751694984E+16</v>
      </c>
      <c r="AKQ53" s="708">
        <f t="shared" si="50"/>
        <v>1.6415877094245834E+16</v>
      </c>
      <c r="AKR53" s="708">
        <f t="shared" si="50"/>
        <v>1.690835340707321E+16</v>
      </c>
      <c r="AKS53" s="708">
        <f t="shared" si="50"/>
        <v>1.7415604009285406E+16</v>
      </c>
      <c r="AKT53" s="708">
        <f t="shared" si="50"/>
        <v>1.7938072129563968E+16</v>
      </c>
      <c r="AKU53" s="708">
        <f t="shared" si="50"/>
        <v>1.8476214293450888E+16</v>
      </c>
      <c r="AKV53" s="708">
        <f t="shared" si="50"/>
        <v>1.9030500722254416E+16</v>
      </c>
      <c r="AKW53" s="708">
        <f t="shared" si="50"/>
        <v>1.9601415743922048E+16</v>
      </c>
      <c r="AKX53" s="708">
        <f t="shared" si="50"/>
        <v>2.0189458216239708E+16</v>
      </c>
      <c r="AKY53" s="708">
        <f t="shared" si="50"/>
        <v>2.07951419627269E+16</v>
      </c>
      <c r="AKZ53" s="708">
        <f t="shared" si="50"/>
        <v>2.1418996221608708E+16</v>
      </c>
      <c r="ALA53" s="708">
        <f t="shared" si="50"/>
        <v>2.2061566108256968E+16</v>
      </c>
      <c r="ALB53" s="708">
        <f t="shared" si="50"/>
        <v>2.2723413091504676E+16</v>
      </c>
      <c r="ALC53" s="708">
        <f t="shared" si="50"/>
        <v>2.3405115484249816E+16</v>
      </c>
      <c r="ALD53" s="708">
        <f t="shared" si="50"/>
        <v>2.4107268948777312E+16</v>
      </c>
      <c r="ALE53" s="708">
        <f t="shared" si="50"/>
        <v>2.4830487017240632E+16</v>
      </c>
      <c r="ALF53" s="708">
        <f t="shared" si="50"/>
        <v>2.5575401627757852E+16</v>
      </c>
      <c r="ALG53" s="708">
        <f t="shared" si="50"/>
        <v>2.6342663676590588E+16</v>
      </c>
      <c r="ALH53" s="708">
        <f t="shared" si="50"/>
        <v>2.7132943586888308E+16</v>
      </c>
      <c r="ALI53" s="708">
        <f t="shared" si="50"/>
        <v>2.7946931894494956E+16</v>
      </c>
      <c r="ALJ53" s="708">
        <f t="shared" si="50"/>
        <v>2.8785339851329804E+16</v>
      </c>
      <c r="ALK53" s="708">
        <f t="shared" si="50"/>
        <v>2.96489000468697E+16</v>
      </c>
      <c r="ALL53" s="708">
        <f t="shared" si="50"/>
        <v>3.0538367048275792E+16</v>
      </c>
      <c r="ALM53" s="708">
        <f t="shared" si="50"/>
        <v>3.1454518059724068E+16</v>
      </c>
      <c r="ALN53" s="708">
        <f t="shared" si="50"/>
        <v>3.2398153601515792E+16</v>
      </c>
      <c r="ALO53" s="708">
        <f t="shared" si="50"/>
        <v>3.3370098209561268E+16</v>
      </c>
      <c r="ALP53" s="708">
        <f t="shared" si="50"/>
        <v>3.4371201155848108E+16</v>
      </c>
      <c r="ALQ53" s="708">
        <f t="shared" si="50"/>
        <v>3.5402337190523552E+16</v>
      </c>
      <c r="ALR53" s="708">
        <f t="shared" si="50"/>
        <v>3.6464407306239256E+16</v>
      </c>
      <c r="ALS53" s="708">
        <f t="shared" si="50"/>
        <v>3.7558339525426432E+16</v>
      </c>
      <c r="ALT53" s="708">
        <f t="shared" si="50"/>
        <v>3.8685089711189224E+16</v>
      </c>
      <c r="ALU53" s="708">
        <f t="shared" si="50"/>
        <v>3.9845642402524904E+16</v>
      </c>
      <c r="ALV53" s="708">
        <f t="shared" si="50"/>
        <v>4.1041011674600656E+16</v>
      </c>
      <c r="ALW53" s="708">
        <f t="shared" si="50"/>
        <v>4.227224202483868E+16</v>
      </c>
      <c r="ALX53" s="708">
        <f t="shared" si="50"/>
        <v>4.354040928558384E+16</v>
      </c>
      <c r="ALY53" s="708">
        <f t="shared" si="50"/>
        <v>4.484662156415136E+16</v>
      </c>
      <c r="ALZ53" s="708">
        <f t="shared" si="50"/>
        <v>4.6192020211075904E+16</v>
      </c>
      <c r="AMA53" s="708">
        <f t="shared" si="50"/>
        <v>4.7577780817408184E+16</v>
      </c>
      <c r="AMB53" s="708">
        <f t="shared" si="50"/>
        <v>4.9005114241930432E+16</v>
      </c>
      <c r="AMC53" s="708">
        <f t="shared" si="50"/>
        <v>5.0475267669188344E+16</v>
      </c>
      <c r="AMD53" s="708">
        <f t="shared" si="50"/>
        <v>5.1989525699263992E+16</v>
      </c>
      <c r="AME53" s="708">
        <f t="shared" si="50"/>
        <v>5.3549211470241912E+16</v>
      </c>
      <c r="AMF53" s="708">
        <f t="shared" si="50"/>
        <v>5.5155687814349168E+16</v>
      </c>
      <c r="AMG53" s="708">
        <f t="shared" si="50"/>
        <v>5.6810358448779648E+16</v>
      </c>
      <c r="AMH53" s="708">
        <f t="shared" si="50"/>
        <v>5.851466920224304E+16</v>
      </c>
      <c r="AMI53" s="708">
        <f t="shared" si="50"/>
        <v>6.0270109278310336E+16</v>
      </c>
      <c r="AMJ53" s="708">
        <f t="shared" si="50"/>
        <v>6.2078212556659648E+16</v>
      </c>
      <c r="AMK53" s="708">
        <f t="shared" si="50"/>
        <v>6.394055893335944E+16</v>
      </c>
      <c r="AML53" s="708">
        <f t="shared" si="50"/>
        <v>6.5858775701360224E+16</v>
      </c>
      <c r="AMM53" s="708">
        <f t="shared" si="50"/>
        <v>6.7834538972401032E+16</v>
      </c>
      <c r="AMN53" s="708">
        <f t="shared" si="50"/>
        <v>6.9869575141573064E+16</v>
      </c>
      <c r="AMO53" s="708">
        <f t="shared" si="50"/>
        <v>7.1965662395820256E+16</v>
      </c>
      <c r="AMP53" s="708">
        <f t="shared" ref="AMP53:APA53" si="51">AMO53*$C$53</f>
        <v>7.4124632267694864E+16</v>
      </c>
      <c r="AMQ53" s="708">
        <f t="shared" si="51"/>
        <v>7.6348371235725712E+16</v>
      </c>
      <c r="AMR53" s="708">
        <f t="shared" si="51"/>
        <v>7.8638822372797488E+16</v>
      </c>
      <c r="AMS53" s="708">
        <f t="shared" si="51"/>
        <v>8.0997987043981408E+16</v>
      </c>
      <c r="AMT53" s="708">
        <f t="shared" si="51"/>
        <v>8.3427926655300848E+16</v>
      </c>
      <c r="AMU53" s="708">
        <f t="shared" si="51"/>
        <v>8.5930764454959872E+16</v>
      </c>
      <c r="AMV53" s="708">
        <f t="shared" si="51"/>
        <v>8.8508687388608672E+16</v>
      </c>
      <c r="AMW53" s="708">
        <f t="shared" si="51"/>
        <v>9.1163948010266928E+16</v>
      </c>
      <c r="AMX53" s="708">
        <f t="shared" si="51"/>
        <v>9.3898866450574944E+16</v>
      </c>
      <c r="AMY53" s="708">
        <f t="shared" si="51"/>
        <v>9.6715832444092192E+16</v>
      </c>
      <c r="AMZ53" s="708">
        <f t="shared" si="51"/>
        <v>9.961730741741496E+16</v>
      </c>
      <c r="ANA53" s="708">
        <f t="shared" si="51"/>
        <v>1.0260582663993741E+17</v>
      </c>
      <c r="ANB53" s="708">
        <f t="shared" si="51"/>
        <v>1.0568400143913554E+17</v>
      </c>
      <c r="ANC53" s="708">
        <f t="shared" si="51"/>
        <v>1.088545214823096E+17</v>
      </c>
      <c r="AND53" s="708">
        <f t="shared" si="51"/>
        <v>1.121201571267789E+17</v>
      </c>
      <c r="ANE53" s="708">
        <f t="shared" si="51"/>
        <v>1.1548376184058227E+17</v>
      </c>
      <c r="ANF53" s="708">
        <f t="shared" si="51"/>
        <v>1.1894827469579974E+17</v>
      </c>
      <c r="ANG53" s="708">
        <f t="shared" si="51"/>
        <v>1.2251672293667374E+17</v>
      </c>
      <c r="ANH53" s="708">
        <f t="shared" si="51"/>
        <v>1.2619222462477395E+17</v>
      </c>
      <c r="ANI53" s="708">
        <f t="shared" si="51"/>
        <v>1.2997799136351717E+17</v>
      </c>
      <c r="ANJ53" s="708">
        <f t="shared" si="51"/>
        <v>1.3387733110442269E+17</v>
      </c>
      <c r="ANK53" s="708">
        <f t="shared" si="51"/>
        <v>1.3789365103755538E+17</v>
      </c>
      <c r="ANL53" s="708">
        <f t="shared" si="51"/>
        <v>1.4203046056868205E+17</v>
      </c>
      <c r="ANM53" s="708">
        <f t="shared" si="51"/>
        <v>1.4629137438574253E+17</v>
      </c>
      <c r="ANN53" s="708">
        <f t="shared" si="51"/>
        <v>1.5068011561731482E+17</v>
      </c>
      <c r="ANO53" s="708">
        <f t="shared" si="51"/>
        <v>1.5520051908583427E+17</v>
      </c>
      <c r="ANP53" s="708">
        <f t="shared" si="51"/>
        <v>1.5985653465840931E+17</v>
      </c>
      <c r="ANQ53" s="708">
        <f t="shared" si="51"/>
        <v>1.646522306981616E+17</v>
      </c>
      <c r="ANR53" s="708">
        <f t="shared" si="51"/>
        <v>1.6959179761910646E+17</v>
      </c>
      <c r="ANS53" s="708">
        <f t="shared" si="51"/>
        <v>1.7467955154767965E+17</v>
      </c>
      <c r="ANT53" s="708">
        <f t="shared" si="51"/>
        <v>1.7991993809411005E+17</v>
      </c>
      <c r="ANU53" s="708">
        <f t="shared" si="51"/>
        <v>1.8531753623693334E+17</v>
      </c>
      <c r="ANV53" s="708">
        <f t="shared" si="51"/>
        <v>1.9087706232404134E+17</v>
      </c>
      <c r="ANW53" s="708">
        <f t="shared" si="51"/>
        <v>1.9660337419376259E+17</v>
      </c>
      <c r="ANX53" s="708">
        <f t="shared" si="51"/>
        <v>2.0250147541957549E+17</v>
      </c>
      <c r="ANY53" s="708">
        <f t="shared" si="51"/>
        <v>2.0857651968216275E+17</v>
      </c>
      <c r="ANZ53" s="708">
        <f t="shared" si="51"/>
        <v>2.1483381527262765E+17</v>
      </c>
      <c r="AOA53" s="708">
        <f t="shared" si="51"/>
        <v>2.212788297308065E+17</v>
      </c>
      <c r="AOB53" s="708">
        <f t="shared" si="51"/>
        <v>2.2791719462273069E+17</v>
      </c>
      <c r="AOC53" s="708">
        <f t="shared" si="51"/>
        <v>2.3475471046141261E+17</v>
      </c>
      <c r="AOD53" s="708">
        <f t="shared" si="51"/>
        <v>2.4179735177525501E+17</v>
      </c>
      <c r="AOE53" s="708">
        <f t="shared" si="51"/>
        <v>2.4905127232851267E+17</v>
      </c>
      <c r="AOF53" s="708">
        <f t="shared" si="51"/>
        <v>2.5652281049836806E+17</v>
      </c>
      <c r="AOG53" s="708">
        <f t="shared" si="51"/>
        <v>2.642184948133191E+17</v>
      </c>
      <c r="AOH53" s="708">
        <f t="shared" si="51"/>
        <v>2.7214504965771869E+17</v>
      </c>
      <c r="AOI53" s="708">
        <f t="shared" si="51"/>
        <v>2.8030940114745024E+17</v>
      </c>
      <c r="AOJ53" s="708">
        <f t="shared" si="51"/>
        <v>2.8871868318187373E+17</v>
      </c>
      <c r="AOK53" s="708">
        <f t="shared" si="51"/>
        <v>2.9738024367732992E+17</v>
      </c>
      <c r="AOL53" s="708">
        <f t="shared" si="51"/>
        <v>3.0630165098764986E+17</v>
      </c>
      <c r="AOM53" s="708">
        <f t="shared" si="51"/>
        <v>3.1549070051727936E+17</v>
      </c>
      <c r="AON53" s="708">
        <f t="shared" si="51"/>
        <v>3.2495542153279776E+17</v>
      </c>
      <c r="AOO53" s="708">
        <f t="shared" si="51"/>
        <v>3.347040841787817E+17</v>
      </c>
      <c r="AOP53" s="708">
        <f t="shared" si="51"/>
        <v>3.4474520670414515E+17</v>
      </c>
      <c r="AOQ53" s="708">
        <f t="shared" si="51"/>
        <v>3.550875629052695E+17</v>
      </c>
      <c r="AOR53" s="708">
        <f t="shared" si="51"/>
        <v>3.6574018979242758E+17</v>
      </c>
      <c r="AOS53" s="708">
        <f t="shared" si="51"/>
        <v>3.7671239548620045E+17</v>
      </c>
      <c r="AOT53" s="708">
        <f t="shared" si="51"/>
        <v>3.880137673507865E+17</v>
      </c>
      <c r="AOU53" s="708">
        <f t="shared" si="51"/>
        <v>3.9965418037131008E+17</v>
      </c>
      <c r="AOV53" s="708">
        <f t="shared" si="51"/>
        <v>4.1164380578244941E+17</v>
      </c>
      <c r="AOW53" s="708">
        <f t="shared" si="51"/>
        <v>4.2399311995592288E+17</v>
      </c>
      <c r="AOX53" s="708">
        <f t="shared" si="51"/>
        <v>4.3671291355460058E+17</v>
      </c>
      <c r="AOY53" s="708">
        <f t="shared" si="51"/>
        <v>4.4981430096123859E+17</v>
      </c>
      <c r="AOZ53" s="708">
        <f t="shared" si="51"/>
        <v>4.6330872999007578E+17</v>
      </c>
      <c r="APA53" s="708">
        <f t="shared" si="51"/>
        <v>4.7720799188977805E+17</v>
      </c>
      <c r="APB53" s="708">
        <f t="shared" ref="APB53:ARM53" si="52">APA53*$C$53</f>
        <v>4.9152423164647142E+17</v>
      </c>
      <c r="APC53" s="708">
        <f t="shared" si="52"/>
        <v>5.062699585958656E+17</v>
      </c>
      <c r="APD53" s="708">
        <f t="shared" si="52"/>
        <v>5.2145805735374157E+17</v>
      </c>
      <c r="APE53" s="708">
        <f t="shared" si="52"/>
        <v>5.3710179907435386E+17</v>
      </c>
      <c r="APF53" s="708">
        <f t="shared" si="52"/>
        <v>5.5321485304658451E+17</v>
      </c>
      <c r="APG53" s="708">
        <f t="shared" si="52"/>
        <v>5.6981129863798208E+17</v>
      </c>
      <c r="APH53" s="708">
        <f t="shared" si="52"/>
        <v>5.8690563759712154E+17</v>
      </c>
      <c r="API53" s="708">
        <f t="shared" si="52"/>
        <v>6.0451280672503514E+17</v>
      </c>
      <c r="APJ53" s="708">
        <f t="shared" si="52"/>
        <v>6.2264819092678618E+17</v>
      </c>
      <c r="APK53" s="708">
        <f t="shared" si="52"/>
        <v>6.4132763665458982E+17</v>
      </c>
      <c r="APL53" s="708">
        <f t="shared" si="52"/>
        <v>6.6056746575422758E+17</v>
      </c>
      <c r="APM53" s="708">
        <f t="shared" si="52"/>
        <v>6.803844897268544E+17</v>
      </c>
      <c r="APN53" s="708">
        <f t="shared" si="52"/>
        <v>7.007960244186601E+17</v>
      </c>
      <c r="APO53" s="708">
        <f t="shared" si="52"/>
        <v>7.2181990515121997E+17</v>
      </c>
      <c r="APP53" s="708">
        <f t="shared" si="52"/>
        <v>7.4347450230575654E+17</v>
      </c>
      <c r="APQ53" s="708">
        <f t="shared" si="52"/>
        <v>7.6577873737492928E+17</v>
      </c>
      <c r="APR53" s="708">
        <f t="shared" si="52"/>
        <v>7.8875209949617715E+17</v>
      </c>
      <c r="APS53" s="708">
        <f t="shared" si="52"/>
        <v>8.1241466248106253E+17</v>
      </c>
      <c r="APT53" s="708">
        <f t="shared" si="52"/>
        <v>8.367871023554944E+17</v>
      </c>
      <c r="APU53" s="708">
        <f t="shared" si="52"/>
        <v>8.6189071542615923E+17</v>
      </c>
      <c r="APV53" s="708">
        <f t="shared" si="52"/>
        <v>8.87747436888944E+17</v>
      </c>
      <c r="APW53" s="708">
        <f t="shared" si="52"/>
        <v>9.1437985999561229E+17</v>
      </c>
      <c r="APX53" s="708">
        <f t="shared" si="52"/>
        <v>9.418112557954807E+17</v>
      </c>
      <c r="APY53" s="708">
        <f t="shared" si="52"/>
        <v>9.7006559346934515E+17</v>
      </c>
      <c r="APZ53" s="708">
        <f t="shared" si="52"/>
        <v>9.9916756127342554E+17</v>
      </c>
      <c r="AQA53" s="708">
        <f t="shared" si="52"/>
        <v>1.0291425881116283E+18</v>
      </c>
      <c r="AQB53" s="708">
        <f t="shared" si="52"/>
        <v>1.0600168657549772E+18</v>
      </c>
      <c r="AQC53" s="708">
        <f t="shared" si="52"/>
        <v>1.0918173717276265E+18</v>
      </c>
      <c r="AQD53" s="708">
        <f t="shared" si="52"/>
        <v>1.1245718928794554E+18</v>
      </c>
      <c r="AQE53" s="708">
        <f t="shared" si="52"/>
        <v>1.1583090496658391E+18</v>
      </c>
      <c r="AQF53" s="708">
        <f t="shared" si="52"/>
        <v>1.1930583211558144E+18</v>
      </c>
      <c r="AQG53" s="708">
        <f t="shared" si="52"/>
        <v>1.2288500707904888E+18</v>
      </c>
      <c r="AQH53" s="708">
        <f t="shared" si="52"/>
        <v>1.2657155729142036E+18</v>
      </c>
      <c r="AQI53" s="708">
        <f t="shared" si="52"/>
        <v>1.3036870401016297E+18</v>
      </c>
      <c r="AQJ53" s="708">
        <f t="shared" si="52"/>
        <v>1.3427976513046787E+18</v>
      </c>
      <c r="AQK53" s="708">
        <f t="shared" si="52"/>
        <v>1.383081580843819E+18</v>
      </c>
      <c r="AQL53" s="708">
        <f t="shared" si="52"/>
        <v>1.4245740282691336E+18</v>
      </c>
      <c r="AQM53" s="708">
        <f t="shared" si="52"/>
        <v>1.4673112491172076E+18</v>
      </c>
      <c r="AQN53" s="708">
        <f t="shared" si="52"/>
        <v>1.5113305865907238E+18</v>
      </c>
      <c r="AQO53" s="708">
        <f t="shared" si="52"/>
        <v>1.5566705041884457E+18</v>
      </c>
      <c r="AQP53" s="708">
        <f t="shared" si="52"/>
        <v>1.6033706193140992E+18</v>
      </c>
      <c r="AQQ53" s="708">
        <f t="shared" si="52"/>
        <v>1.6514717378935222E+18</v>
      </c>
      <c r="AQR53" s="708">
        <f t="shared" si="52"/>
        <v>1.7010158900303278E+18</v>
      </c>
      <c r="AQS53" s="708">
        <f t="shared" si="52"/>
        <v>1.7520463667312376E+18</v>
      </c>
      <c r="AQT53" s="708">
        <f t="shared" si="52"/>
        <v>1.8046077577331748E+18</v>
      </c>
      <c r="AQU53" s="708">
        <f t="shared" si="52"/>
        <v>1.8587459904651702E+18</v>
      </c>
      <c r="AQV53" s="708">
        <f t="shared" si="52"/>
        <v>1.9145083701791252E+18</v>
      </c>
      <c r="AQW53" s="708">
        <f t="shared" si="52"/>
        <v>1.9719436212844989E+18</v>
      </c>
      <c r="AQX53" s="708">
        <f t="shared" si="52"/>
        <v>2.0311019299230339E+18</v>
      </c>
      <c r="AQY53" s="708">
        <f t="shared" si="52"/>
        <v>2.092034987820725E+18</v>
      </c>
      <c r="AQZ53" s="708">
        <f t="shared" si="52"/>
        <v>2.1547960374553467E+18</v>
      </c>
      <c r="ARA53" s="708">
        <f t="shared" si="52"/>
        <v>2.2194399185790072E+18</v>
      </c>
      <c r="ARB53" s="708">
        <f t="shared" si="52"/>
        <v>2.2860231161363776E+18</v>
      </c>
      <c r="ARC53" s="708">
        <f t="shared" si="52"/>
        <v>2.3546038096204687E+18</v>
      </c>
      <c r="ARD53" s="708">
        <f t="shared" si="52"/>
        <v>2.4252419239090826E+18</v>
      </c>
      <c r="ARE53" s="708">
        <f t="shared" si="52"/>
        <v>2.4979991816263552E+18</v>
      </c>
      <c r="ARF53" s="708">
        <f t="shared" si="52"/>
        <v>2.5729391570751457E+18</v>
      </c>
      <c r="ARG53" s="708">
        <f t="shared" si="52"/>
        <v>2.6501273317874002E+18</v>
      </c>
      <c r="ARH53" s="708">
        <f t="shared" si="52"/>
        <v>2.7296311517410222E+18</v>
      </c>
      <c r="ARI53" s="708">
        <f t="shared" si="52"/>
        <v>2.8115200862932531E+18</v>
      </c>
      <c r="ARJ53" s="708">
        <f t="shared" si="52"/>
        <v>2.8958656888820506E+18</v>
      </c>
      <c r="ARK53" s="708">
        <f t="shared" si="52"/>
        <v>2.9827416595485123E+18</v>
      </c>
      <c r="ARL53" s="708">
        <f t="shared" si="52"/>
        <v>3.0722239093349678E+18</v>
      </c>
      <c r="ARM53" s="708">
        <f t="shared" si="52"/>
        <v>3.164390626615017E+18</v>
      </c>
      <c r="ARN53" s="708">
        <f t="shared" ref="ARN53:ATY53" si="53">ARM53*$C$53</f>
        <v>3.2593223454134676E+18</v>
      </c>
      <c r="ARO53" s="708">
        <f t="shared" si="53"/>
        <v>3.357102015775872E+18</v>
      </c>
      <c r="ARP53" s="708">
        <f t="shared" si="53"/>
        <v>3.4578150762491484E+18</v>
      </c>
      <c r="ARQ53" s="708">
        <f t="shared" si="53"/>
        <v>3.5615495285366231E+18</v>
      </c>
      <c r="ARR53" s="708">
        <f t="shared" si="53"/>
        <v>3.6683960143927219E+18</v>
      </c>
      <c r="ARS53" s="708">
        <f t="shared" si="53"/>
        <v>3.7784478948245038E+18</v>
      </c>
      <c r="ART53" s="708">
        <f t="shared" si="53"/>
        <v>3.8918013316692388E+18</v>
      </c>
      <c r="ARU53" s="708">
        <f t="shared" si="53"/>
        <v>4.0085553716193162E+18</v>
      </c>
      <c r="ARV53" s="708">
        <f t="shared" si="53"/>
        <v>4.1288120327678961E+18</v>
      </c>
      <c r="ARW53" s="708">
        <f t="shared" si="53"/>
        <v>4.252676393750933E+18</v>
      </c>
      <c r="ARX53" s="708">
        <f t="shared" si="53"/>
        <v>4.3802566855634611E+18</v>
      </c>
      <c r="ARY53" s="708">
        <f t="shared" si="53"/>
        <v>4.5116643861303649E+18</v>
      </c>
      <c r="ARZ53" s="708">
        <f t="shared" si="53"/>
        <v>4.6470143177142764E+18</v>
      </c>
      <c r="ASA53" s="708">
        <f t="shared" si="53"/>
        <v>4.7864247472457052E+18</v>
      </c>
      <c r="ASB53" s="708">
        <f t="shared" si="53"/>
        <v>4.9300174896630764E+18</v>
      </c>
      <c r="ASC53" s="708">
        <f t="shared" si="53"/>
        <v>5.0779180143529687E+18</v>
      </c>
      <c r="ASD53" s="708">
        <f t="shared" si="53"/>
        <v>5.2302555547835576E+18</v>
      </c>
      <c r="ASE53" s="708">
        <f t="shared" si="53"/>
        <v>5.3871632214270648E+18</v>
      </c>
      <c r="ASF53" s="708">
        <f t="shared" si="53"/>
        <v>5.5487781180698767E+18</v>
      </c>
      <c r="ASG53" s="708">
        <f t="shared" si="53"/>
        <v>5.7152414616119736E+18</v>
      </c>
      <c r="ASH53" s="708">
        <f t="shared" si="53"/>
        <v>5.8866987054603325E+18</v>
      </c>
      <c r="ASI53" s="708">
        <f t="shared" si="53"/>
        <v>6.0632996666241423E+18</v>
      </c>
      <c r="ASJ53" s="708">
        <f t="shared" si="53"/>
        <v>6.2451986566228664E+18</v>
      </c>
      <c r="ASK53" s="708">
        <f t="shared" si="53"/>
        <v>6.4325546163215524E+18</v>
      </c>
      <c r="ASL53" s="708">
        <f t="shared" si="53"/>
        <v>6.6255312548111995E+18</v>
      </c>
      <c r="ASM53" s="708">
        <f t="shared" si="53"/>
        <v>6.8242971924555356E+18</v>
      </c>
      <c r="ASN53" s="708">
        <f t="shared" si="53"/>
        <v>7.0290261082292019E+18</v>
      </c>
      <c r="ASO53" s="708">
        <f t="shared" si="53"/>
        <v>7.2398968914760786E+18</v>
      </c>
      <c r="ASP53" s="708">
        <f t="shared" si="53"/>
        <v>7.4570937982203607E+18</v>
      </c>
      <c r="ASQ53" s="708">
        <f t="shared" si="53"/>
        <v>7.6808066121669714E+18</v>
      </c>
      <c r="ASR53" s="708">
        <f t="shared" si="53"/>
        <v>7.9112308105319803E+18</v>
      </c>
      <c r="ASS53" s="708">
        <f t="shared" si="53"/>
        <v>8.1485677348479396E+18</v>
      </c>
      <c r="AST53" s="708">
        <f t="shared" si="53"/>
        <v>8.3930247668933775E+18</v>
      </c>
      <c r="ASU53" s="708">
        <f t="shared" si="53"/>
        <v>8.6448155099001795E+18</v>
      </c>
      <c r="ASV53" s="708">
        <f t="shared" si="53"/>
        <v>8.904159975197185E+18</v>
      </c>
      <c r="ASW53" s="708">
        <f t="shared" si="53"/>
        <v>9.1712847744531005E+18</v>
      </c>
      <c r="ASX53" s="708">
        <f t="shared" si="53"/>
        <v>9.4464233176866939E+18</v>
      </c>
      <c r="ASY53" s="708">
        <f t="shared" si="53"/>
        <v>9.7298160172172943E+18</v>
      </c>
      <c r="ASZ53" s="708">
        <f t="shared" si="53"/>
        <v>1.0021710497733814E+19</v>
      </c>
      <c r="ATA53" s="708">
        <f t="shared" si="53"/>
        <v>1.0322361812665829E+19</v>
      </c>
      <c r="ATB53" s="708">
        <f t="shared" si="53"/>
        <v>1.0632032667045804E+19</v>
      </c>
      <c r="ATC53" s="708">
        <f t="shared" si="53"/>
        <v>1.0950993647057179E+19</v>
      </c>
      <c r="ATD53" s="708">
        <f t="shared" si="53"/>
        <v>1.1279523456468894E+19</v>
      </c>
      <c r="ATE53" s="708">
        <f t="shared" si="53"/>
        <v>1.1617909160162961E+19</v>
      </c>
      <c r="ATF53" s="708">
        <f t="shared" si="53"/>
        <v>1.1966446434967851E+19</v>
      </c>
      <c r="ATG53" s="708">
        <f t="shared" si="53"/>
        <v>1.2325439828016888E+19</v>
      </c>
      <c r="ATH53" s="708">
        <f t="shared" si="53"/>
        <v>1.2695203022857394E+19</v>
      </c>
      <c r="ATI53" s="708">
        <f t="shared" si="53"/>
        <v>1.3076059113543117E+19</v>
      </c>
      <c r="ATJ53" s="708">
        <f t="shared" si="53"/>
        <v>1.3468340886949411E+19</v>
      </c>
      <c r="ATK53" s="708">
        <f t="shared" si="53"/>
        <v>1.3872391113557893E+19</v>
      </c>
      <c r="ATL53" s="708">
        <f t="shared" si="53"/>
        <v>1.428856284696463E+19</v>
      </c>
      <c r="ATM53" s="708">
        <f t="shared" si="53"/>
        <v>1.471721973237357E+19</v>
      </c>
      <c r="ATN53" s="708">
        <f t="shared" si="53"/>
        <v>1.5158736324344777E+19</v>
      </c>
      <c r="ATO53" s="708">
        <f t="shared" si="53"/>
        <v>1.561349841407512E+19</v>
      </c>
      <c r="ATP53" s="708">
        <f t="shared" si="53"/>
        <v>1.6081903366497374E+19</v>
      </c>
      <c r="ATQ53" s="708">
        <f t="shared" si="53"/>
        <v>1.6564360467492297E+19</v>
      </c>
      <c r="ATR53" s="708">
        <f t="shared" si="53"/>
        <v>1.7061291281517066E+19</v>
      </c>
      <c r="ATS53" s="708">
        <f t="shared" si="53"/>
        <v>1.7573130019962579E+19</v>
      </c>
      <c r="ATT53" s="708">
        <f t="shared" si="53"/>
        <v>1.8100323920561457E+19</v>
      </c>
      <c r="ATU53" s="708">
        <f t="shared" si="53"/>
        <v>1.86433336381783E+19</v>
      </c>
      <c r="ATV53" s="708">
        <f t="shared" si="53"/>
        <v>1.9202633647323648E+19</v>
      </c>
      <c r="ATW53" s="708">
        <f t="shared" si="53"/>
        <v>1.9778712656743358E+19</v>
      </c>
      <c r="ATX53" s="708">
        <f t="shared" si="53"/>
        <v>2.0372074036445659E+19</v>
      </c>
      <c r="ATY53" s="708">
        <f t="shared" si="53"/>
        <v>2.0983236257539031E+19</v>
      </c>
      <c r="ATZ53" s="708">
        <f t="shared" ref="ATZ53:AWK53" si="54">ATY53*$C$53</f>
        <v>2.1612733345265201E+19</v>
      </c>
      <c r="AUA53" s="708">
        <f t="shared" si="54"/>
        <v>2.2261115345623159E+19</v>
      </c>
      <c r="AUB53" s="708">
        <f t="shared" si="54"/>
        <v>2.2928948805991854E+19</v>
      </c>
      <c r="AUC53" s="708">
        <f t="shared" si="54"/>
        <v>2.3616817270171611E+19</v>
      </c>
      <c r="AUD53" s="708">
        <f t="shared" si="54"/>
        <v>2.4325321788276761E+19</v>
      </c>
      <c r="AUE53" s="708">
        <f t="shared" si="54"/>
        <v>2.5055081441925063E+19</v>
      </c>
      <c r="AUF53" s="708">
        <f t="shared" si="54"/>
        <v>2.5806733885182816E+19</v>
      </c>
      <c r="AUG53" s="708">
        <f t="shared" si="54"/>
        <v>2.6580935901738299E+19</v>
      </c>
      <c r="AUH53" s="708">
        <f t="shared" si="54"/>
        <v>2.7378363978790449E+19</v>
      </c>
      <c r="AUI53" s="708">
        <f t="shared" si="54"/>
        <v>2.8199714898154164E+19</v>
      </c>
      <c r="AUJ53" s="708">
        <f t="shared" si="54"/>
        <v>2.9045706345098789E+19</v>
      </c>
      <c r="AUK53" s="708">
        <f t="shared" si="54"/>
        <v>2.9917077535451754E+19</v>
      </c>
      <c r="AUL53" s="708">
        <f t="shared" si="54"/>
        <v>3.0814589861515309E+19</v>
      </c>
      <c r="AUM53" s="708">
        <f t="shared" si="54"/>
        <v>3.1739027557360771E+19</v>
      </c>
      <c r="AUN53" s="708">
        <f t="shared" si="54"/>
        <v>3.2691198384081596E+19</v>
      </c>
      <c r="AUO53" s="708">
        <f t="shared" si="54"/>
        <v>3.3671934335604044E+19</v>
      </c>
      <c r="AUP53" s="708">
        <f t="shared" si="54"/>
        <v>3.4682092365672165E+19</v>
      </c>
      <c r="AUQ53" s="708">
        <f t="shared" si="54"/>
        <v>3.5722555136642331E+19</v>
      </c>
      <c r="AUR53" s="708">
        <f t="shared" si="54"/>
        <v>3.6794231790741602E+19</v>
      </c>
      <c r="AUS53" s="708">
        <f t="shared" si="54"/>
        <v>3.7898058744463852E+19</v>
      </c>
      <c r="AUT53" s="708">
        <f t="shared" si="54"/>
        <v>3.9035000506797769E+19</v>
      </c>
      <c r="AUU53" s="708">
        <f t="shared" si="54"/>
        <v>4.0206050522001703E+19</v>
      </c>
      <c r="AUV53" s="708">
        <f t="shared" si="54"/>
        <v>4.1412232037661753E+19</v>
      </c>
      <c r="AUW53" s="708">
        <f t="shared" si="54"/>
        <v>4.265459899879161E+19</v>
      </c>
      <c r="AUX53" s="708">
        <f t="shared" si="54"/>
        <v>4.3934236968755364E+19</v>
      </c>
      <c r="AUY53" s="708">
        <f t="shared" si="54"/>
        <v>4.5252264077818028E+19</v>
      </c>
      <c r="AUZ53" s="708">
        <f t="shared" si="54"/>
        <v>4.6609832000152568E+19</v>
      </c>
      <c r="AVA53" s="708">
        <f t="shared" si="54"/>
        <v>4.8008126960157147E+19</v>
      </c>
      <c r="AVB53" s="708">
        <f t="shared" si="54"/>
        <v>4.9448370768961864E+19</v>
      </c>
      <c r="AVC53" s="708">
        <f t="shared" si="54"/>
        <v>5.0931821892030718E+19</v>
      </c>
      <c r="AVD53" s="708">
        <f t="shared" si="54"/>
        <v>5.245977654879164E+19</v>
      </c>
      <c r="AVE53" s="708">
        <f t="shared" si="54"/>
        <v>5.4033569845255389E+19</v>
      </c>
      <c r="AVF53" s="708">
        <f t="shared" si="54"/>
        <v>5.565457694061305E+19</v>
      </c>
      <c r="AVG53" s="708">
        <f t="shared" si="54"/>
        <v>5.7324214248831443E+19</v>
      </c>
      <c r="AVH53" s="708">
        <f t="shared" si="54"/>
        <v>5.9043940676296385E+19</v>
      </c>
      <c r="AVI53" s="708">
        <f t="shared" si="54"/>
        <v>6.0815258896585277E+19</v>
      </c>
      <c r="AVJ53" s="708">
        <f t="shared" si="54"/>
        <v>6.2639716663482835E+19</v>
      </c>
      <c r="AVK53" s="708">
        <f t="shared" si="54"/>
        <v>6.4518908163387318E+19</v>
      </c>
      <c r="AVL53" s="708">
        <f t="shared" si="54"/>
        <v>6.645447540828894E+19</v>
      </c>
      <c r="AVM53" s="708">
        <f t="shared" si="54"/>
        <v>6.8448109670537609E+19</v>
      </c>
      <c r="AVN53" s="708">
        <f t="shared" si="54"/>
        <v>7.0501552960653738E+19</v>
      </c>
      <c r="AVO53" s="708">
        <f t="shared" si="54"/>
        <v>7.261659954947335E+19</v>
      </c>
      <c r="AVP53" s="708">
        <f t="shared" si="54"/>
        <v>7.4795097535957549E+19</v>
      </c>
      <c r="AVQ53" s="708">
        <f t="shared" si="54"/>
        <v>7.7038950462036279E+19</v>
      </c>
      <c r="AVR53" s="708">
        <f t="shared" si="54"/>
        <v>7.9350118975897371E+19</v>
      </c>
      <c r="AVS53" s="708">
        <f t="shared" si="54"/>
        <v>8.1730622545174299E+19</v>
      </c>
      <c r="AVT53" s="708">
        <f t="shared" si="54"/>
        <v>8.4182541221529534E+19</v>
      </c>
      <c r="AVU53" s="708">
        <f t="shared" si="54"/>
        <v>8.6708017458175427E+19</v>
      </c>
      <c r="AVV53" s="708">
        <f t="shared" si="54"/>
        <v>8.930925798192069E+19</v>
      </c>
      <c r="AVW53" s="708">
        <f t="shared" si="54"/>
        <v>9.1988535721378316E+19</v>
      </c>
      <c r="AVX53" s="708">
        <f t="shared" si="54"/>
        <v>9.4748191793019666E+19</v>
      </c>
      <c r="AVY53" s="708">
        <f t="shared" si="54"/>
        <v>9.7590637546810262E+19</v>
      </c>
      <c r="AVZ53" s="708">
        <f t="shared" si="54"/>
        <v>1.0051835667321458E+20</v>
      </c>
      <c r="AWA53" s="708">
        <f t="shared" si="54"/>
        <v>1.0353390737341102E+20</v>
      </c>
      <c r="AWB53" s="708">
        <f t="shared" si="54"/>
        <v>1.0663992459461335E+20</v>
      </c>
      <c r="AWC53" s="708">
        <f t="shared" si="54"/>
        <v>1.0983912233245175E+20</v>
      </c>
      <c r="AWD53" s="708">
        <f t="shared" si="54"/>
        <v>1.1313429600242531E+20</v>
      </c>
      <c r="AWE53" s="708">
        <f t="shared" si="54"/>
        <v>1.1652832488249808E+20</v>
      </c>
      <c r="AWF53" s="708">
        <f t="shared" si="54"/>
        <v>1.2002417462897302E+20</v>
      </c>
      <c r="AWG53" s="708">
        <f t="shared" si="54"/>
        <v>1.2362489986784222E+20</v>
      </c>
      <c r="AWH53" s="708">
        <f t="shared" si="54"/>
        <v>1.2733364686387749E+20</v>
      </c>
      <c r="AWI53" s="708">
        <f t="shared" si="54"/>
        <v>1.3115365626979382E+20</v>
      </c>
      <c r="AWJ53" s="708">
        <f t="shared" si="54"/>
        <v>1.3508826595788764E+20</v>
      </c>
      <c r="AWK53" s="708">
        <f t="shared" si="54"/>
        <v>1.3914091393662427E+20</v>
      </c>
      <c r="AWL53" s="708">
        <f t="shared" ref="AWL53:AYW53" si="55">AWK53*$C$53</f>
        <v>1.43315141354723E+20</v>
      </c>
      <c r="AWM53" s="708">
        <f t="shared" si="55"/>
        <v>1.476145955953647E+20</v>
      </c>
      <c r="AWN53" s="708">
        <f t="shared" si="55"/>
        <v>1.5204303346322565E+20</v>
      </c>
      <c r="AWO53" s="708">
        <f t="shared" si="55"/>
        <v>1.5660432446712241E+20</v>
      </c>
      <c r="AWP53" s="708">
        <f t="shared" si="55"/>
        <v>1.6130245420113609E+20</v>
      </c>
      <c r="AWQ53" s="708">
        <f t="shared" si="55"/>
        <v>1.6614152782717016E+20</v>
      </c>
      <c r="AWR53" s="708">
        <f t="shared" si="55"/>
        <v>1.7112577366198528E+20</v>
      </c>
      <c r="AWS53" s="708">
        <f t="shared" si="55"/>
        <v>1.7625954687184483E+20</v>
      </c>
      <c r="AWT53" s="708">
        <f t="shared" si="55"/>
        <v>1.8154733327800019E+20</v>
      </c>
      <c r="AWU53" s="708">
        <f t="shared" si="55"/>
        <v>1.8699375327634021E+20</v>
      </c>
      <c r="AWV53" s="708">
        <f t="shared" si="55"/>
        <v>1.9260356587463043E+20</v>
      </c>
      <c r="AWW53" s="708">
        <f t="shared" si="55"/>
        <v>1.9838167285086935E+20</v>
      </c>
      <c r="AWX53" s="708">
        <f t="shared" si="55"/>
        <v>2.0433312303639544E+20</v>
      </c>
      <c r="AWY53" s="708">
        <f t="shared" si="55"/>
        <v>2.104631167274873E+20</v>
      </c>
      <c r="AWZ53" s="708">
        <f t="shared" si="55"/>
        <v>2.1677701022931193E+20</v>
      </c>
      <c r="AXA53" s="708">
        <f t="shared" si="55"/>
        <v>2.232803205361913E+20</v>
      </c>
      <c r="AXB53" s="708">
        <f t="shared" si="55"/>
        <v>2.2997873015227705E+20</v>
      </c>
      <c r="AXC53" s="708">
        <f t="shared" si="55"/>
        <v>2.3687809205684535E+20</v>
      </c>
      <c r="AXD53" s="708">
        <f t="shared" si="55"/>
        <v>2.4398443481855073E+20</v>
      </c>
      <c r="AXE53" s="708">
        <f t="shared" si="55"/>
        <v>2.5130396786310726E+20</v>
      </c>
      <c r="AXF53" s="708">
        <f t="shared" si="55"/>
        <v>2.5884308689900048E+20</v>
      </c>
      <c r="AXG53" s="708">
        <f t="shared" si="55"/>
        <v>2.6660837950597051E+20</v>
      </c>
      <c r="AXH53" s="708">
        <f t="shared" si="55"/>
        <v>2.7460663089114962E+20</v>
      </c>
      <c r="AXI53" s="708">
        <f t="shared" si="55"/>
        <v>2.8284482981788411E+20</v>
      </c>
      <c r="AXJ53" s="708">
        <f t="shared" si="55"/>
        <v>2.9133017471242063E+20</v>
      </c>
      <c r="AXK53" s="708">
        <f t="shared" si="55"/>
        <v>3.0007007995379325E+20</v>
      </c>
      <c r="AXL53" s="708">
        <f t="shared" si="55"/>
        <v>3.0907218235240704E+20</v>
      </c>
      <c r="AXM53" s="708">
        <f t="shared" si="55"/>
        <v>3.1834434782297928E+20</v>
      </c>
      <c r="AXN53" s="708">
        <f t="shared" si="55"/>
        <v>3.2789467825766865E+20</v>
      </c>
      <c r="AXO53" s="708">
        <f t="shared" si="55"/>
        <v>3.377315186053987E+20</v>
      </c>
      <c r="AXP53" s="708">
        <f t="shared" si="55"/>
        <v>3.4786346416356065E+20</v>
      </c>
      <c r="AXQ53" s="708">
        <f t="shared" si="55"/>
        <v>3.5829936808846747E+20</v>
      </c>
      <c r="AXR53" s="708">
        <f t="shared" si="55"/>
        <v>3.6904834913112149E+20</v>
      </c>
      <c r="AXS53" s="708">
        <f t="shared" si="55"/>
        <v>3.8011979960505513E+20</v>
      </c>
      <c r="AXT53" s="708">
        <f t="shared" si="55"/>
        <v>3.9152339359320677E+20</v>
      </c>
      <c r="AXU53" s="708">
        <f t="shared" si="55"/>
        <v>4.0326909540100296E+20</v>
      </c>
      <c r="AXV53" s="708">
        <f t="shared" si="55"/>
        <v>4.1536716826303306E+20</v>
      </c>
      <c r="AXW53" s="708">
        <f t="shared" si="55"/>
        <v>4.2782818331092405E+20</v>
      </c>
      <c r="AXX53" s="708">
        <f t="shared" si="55"/>
        <v>4.4066302881025176E+20</v>
      </c>
      <c r="AXY53" s="708">
        <f t="shared" si="55"/>
        <v>4.5388291967455933E+20</v>
      </c>
      <c r="AXZ53" s="708">
        <f t="shared" si="55"/>
        <v>4.6749940726479611E+20</v>
      </c>
      <c r="AYA53" s="708">
        <f t="shared" si="55"/>
        <v>4.8152438948273999E+20</v>
      </c>
      <c r="AYB53" s="708">
        <f t="shared" si="55"/>
        <v>4.9597012116722221E+20</v>
      </c>
      <c r="AYC53" s="708">
        <f t="shared" si="55"/>
        <v>5.1084922480223892E+20</v>
      </c>
      <c r="AYD53" s="708">
        <f t="shared" si="55"/>
        <v>5.2617470154630608E+20</v>
      </c>
      <c r="AYE53" s="708">
        <f t="shared" si="55"/>
        <v>5.419599425926953E+20</v>
      </c>
      <c r="AYF53" s="708">
        <f t="shared" si="55"/>
        <v>5.582187408704762E+20</v>
      </c>
      <c r="AYG53" s="708">
        <f t="shared" si="55"/>
        <v>5.7496530309659053E+20</v>
      </c>
      <c r="AYH53" s="708">
        <f t="shared" si="55"/>
        <v>5.9221426218948821E+20</v>
      </c>
      <c r="AYI53" s="708">
        <f t="shared" si="55"/>
        <v>6.0998069005517285E+20</v>
      </c>
      <c r="AYJ53" s="708">
        <f t="shared" si="55"/>
        <v>6.2828011075682802E+20</v>
      </c>
      <c r="AYK53" s="708">
        <f t="shared" si="55"/>
        <v>6.4712851407953291E+20</v>
      </c>
      <c r="AYL53" s="708">
        <f t="shared" si="55"/>
        <v>6.6654236950191892E+20</v>
      </c>
      <c r="AYM53" s="708">
        <f t="shared" si="55"/>
        <v>6.8653864058697653E+20</v>
      </c>
      <c r="AYN53" s="708">
        <f t="shared" si="55"/>
        <v>7.0713479980458587E+20</v>
      </c>
      <c r="AYO53" s="708">
        <f t="shared" si="55"/>
        <v>7.2834884379872343E+20</v>
      </c>
      <c r="AYP53" s="708">
        <f t="shared" si="55"/>
        <v>7.501993091126851E+20</v>
      </c>
      <c r="AYQ53" s="708">
        <f t="shared" si="55"/>
        <v>7.7270528838606573E+20</v>
      </c>
      <c r="AYR53" s="708">
        <f t="shared" si="55"/>
        <v>7.9588644703764768E+20</v>
      </c>
      <c r="AYS53" s="708">
        <f t="shared" si="55"/>
        <v>8.1976304044877716E+20</v>
      </c>
      <c r="AYT53" s="708">
        <f t="shared" si="55"/>
        <v>8.4435593166224045E+20</v>
      </c>
      <c r="AYU53" s="708">
        <f t="shared" si="55"/>
        <v>8.6968660961210768E+20</v>
      </c>
      <c r="AYV53" s="708">
        <f t="shared" si="55"/>
        <v>8.957772079004709E+20</v>
      </c>
      <c r="AYW53" s="708">
        <f t="shared" si="55"/>
        <v>9.2265052413748511E+20</v>
      </c>
      <c r="AYX53" s="708">
        <f t="shared" ref="AYX53:BBI53" si="56">AYW53*$C$53</f>
        <v>9.5033003986160963E+20</v>
      </c>
      <c r="AYY53" s="708">
        <f t="shared" si="56"/>
        <v>9.7883994105745795E+20</v>
      </c>
      <c r="AYZ53" s="708">
        <f t="shared" si="56"/>
        <v>1.0082051392891817E+21</v>
      </c>
      <c r="AZA53" s="708">
        <f t="shared" si="56"/>
        <v>1.0384512934678571E+21</v>
      </c>
      <c r="AZB53" s="708">
        <f t="shared" si="56"/>
        <v>1.0696048322718929E+21</v>
      </c>
      <c r="AZC53" s="708">
        <f t="shared" si="56"/>
        <v>1.1016929772400497E+21</v>
      </c>
      <c r="AZD53" s="708">
        <f t="shared" si="56"/>
        <v>1.1347437665572512E+21</v>
      </c>
      <c r="AZE53" s="708">
        <f t="shared" si="56"/>
        <v>1.1687860795539688E+21</v>
      </c>
      <c r="AZF53" s="708">
        <f t="shared" si="56"/>
        <v>1.2038496619405878E+21</v>
      </c>
      <c r="AZG53" s="708">
        <f t="shared" si="56"/>
        <v>1.2399651517988054E+21</v>
      </c>
      <c r="AZH53" s="708">
        <f t="shared" si="56"/>
        <v>1.2771641063527696E+21</v>
      </c>
      <c r="AZI53" s="708">
        <f t="shared" si="56"/>
        <v>1.3154790295433527E+21</v>
      </c>
      <c r="AZJ53" s="708">
        <f t="shared" si="56"/>
        <v>1.3549434004296533E+21</v>
      </c>
      <c r="AZK53" s="708">
        <f t="shared" si="56"/>
        <v>1.3955917024425429E+21</v>
      </c>
      <c r="AZL53" s="708">
        <f t="shared" si="56"/>
        <v>1.4374594535158191E+21</v>
      </c>
      <c r="AZM53" s="708">
        <f t="shared" si="56"/>
        <v>1.4805832371212937E+21</v>
      </c>
      <c r="AZN53" s="708">
        <f t="shared" si="56"/>
        <v>1.5250007342349324E+21</v>
      </c>
      <c r="AZO53" s="708">
        <f t="shared" si="56"/>
        <v>1.5707507562619805E+21</v>
      </c>
      <c r="AZP53" s="708">
        <f t="shared" si="56"/>
        <v>1.6178732789498399E+21</v>
      </c>
      <c r="AZQ53" s="708">
        <f t="shared" si="56"/>
        <v>1.666409477318335E+21</v>
      </c>
      <c r="AZR53" s="708">
        <f t="shared" si="56"/>
        <v>1.716401761637885E+21</v>
      </c>
      <c r="AZS53" s="708">
        <f t="shared" si="56"/>
        <v>1.7678938144870215E+21</v>
      </c>
      <c r="AZT53" s="708">
        <f t="shared" si="56"/>
        <v>1.8209306289216322E+21</v>
      </c>
      <c r="AZU53" s="708">
        <f t="shared" si="56"/>
        <v>1.8755585477892812E+21</v>
      </c>
      <c r="AZV53" s="708">
        <f t="shared" si="56"/>
        <v>1.9318253042229597E+21</v>
      </c>
      <c r="AZW53" s="708">
        <f t="shared" si="56"/>
        <v>1.9897800633496484E+21</v>
      </c>
      <c r="AZX53" s="708">
        <f t="shared" si="56"/>
        <v>2.0494734652501378E+21</v>
      </c>
      <c r="AZY53" s="708">
        <f t="shared" si="56"/>
        <v>2.1109576692076419E+21</v>
      </c>
      <c r="AZZ53" s="708">
        <f t="shared" si="56"/>
        <v>2.1742863992838714E+21</v>
      </c>
      <c r="BAA53" s="708">
        <f t="shared" si="56"/>
        <v>2.2395149912623877E+21</v>
      </c>
      <c r="BAB53" s="708">
        <f t="shared" si="56"/>
        <v>2.3067004410002594E+21</v>
      </c>
      <c r="BAC53" s="708">
        <f t="shared" si="56"/>
        <v>2.3759014542302674E+21</v>
      </c>
      <c r="BAD53" s="708">
        <f t="shared" si="56"/>
        <v>2.4471784978571754E+21</v>
      </c>
      <c r="BAE53" s="708">
        <f t="shared" si="56"/>
        <v>2.5205938527928907E+21</v>
      </c>
      <c r="BAF53" s="708">
        <f t="shared" si="56"/>
        <v>2.5962116683766773E+21</v>
      </c>
      <c r="BAG53" s="708">
        <f t="shared" si="56"/>
        <v>2.6740980184279779E+21</v>
      </c>
      <c r="BAH53" s="708">
        <f t="shared" si="56"/>
        <v>2.7543209589808174E+21</v>
      </c>
      <c r="BAI53" s="708">
        <f t="shared" si="56"/>
        <v>2.8369505877502418E+21</v>
      </c>
      <c r="BAJ53" s="708">
        <f t="shared" si="56"/>
        <v>2.9220591053827489E+21</v>
      </c>
      <c r="BAK53" s="708">
        <f t="shared" si="56"/>
        <v>3.0097208785442313E+21</v>
      </c>
      <c r="BAL53" s="708">
        <f t="shared" si="56"/>
        <v>3.1000125049005581E+21</v>
      </c>
      <c r="BAM53" s="708">
        <f t="shared" si="56"/>
        <v>3.1930128800475749E+21</v>
      </c>
      <c r="BAN53" s="708">
        <f t="shared" si="56"/>
        <v>3.2888032664490025E+21</v>
      </c>
      <c r="BAO53" s="708">
        <f t="shared" si="56"/>
        <v>3.3874673644424727E+21</v>
      </c>
      <c r="BAP53" s="708">
        <f t="shared" si="56"/>
        <v>3.4890913853757472E+21</v>
      </c>
      <c r="BAQ53" s="708">
        <f t="shared" si="56"/>
        <v>3.5937641269370196E+21</v>
      </c>
      <c r="BAR53" s="708">
        <f t="shared" si="56"/>
        <v>3.7015770507451302E+21</v>
      </c>
      <c r="BAS53" s="708">
        <f t="shared" si="56"/>
        <v>3.8126243622674844E+21</v>
      </c>
      <c r="BAT53" s="708">
        <f t="shared" si="56"/>
        <v>3.9270030931355092E+21</v>
      </c>
      <c r="BAU53" s="708">
        <f t="shared" si="56"/>
        <v>4.0448131859295744E+21</v>
      </c>
      <c r="BAV53" s="708">
        <f t="shared" si="56"/>
        <v>4.1661575815074619E+21</v>
      </c>
      <c r="BAW53" s="708">
        <f t="shared" si="56"/>
        <v>4.2911423089526859E+21</v>
      </c>
      <c r="BAX53" s="708">
        <f t="shared" si="56"/>
        <v>4.4198765782212668E+21</v>
      </c>
      <c r="BAY53" s="708">
        <f t="shared" si="56"/>
        <v>4.552472875567905E+21</v>
      </c>
      <c r="BAZ53" s="708">
        <f t="shared" si="56"/>
        <v>4.6890470618349421E+21</v>
      </c>
      <c r="BBA53" s="708">
        <f t="shared" si="56"/>
        <v>4.8297184736899907E+21</v>
      </c>
      <c r="BBB53" s="708">
        <f t="shared" si="56"/>
        <v>4.9746100279006902E+21</v>
      </c>
      <c r="BBC53" s="708">
        <f t="shared" si="56"/>
        <v>5.1238483287377109E+21</v>
      </c>
      <c r="BBD53" s="708">
        <f t="shared" si="56"/>
        <v>5.277563778599842E+21</v>
      </c>
      <c r="BBE53" s="708">
        <f t="shared" si="56"/>
        <v>5.4358906919578375E+21</v>
      </c>
      <c r="BBF53" s="708">
        <f t="shared" si="56"/>
        <v>5.598967412716573E+21</v>
      </c>
      <c r="BBG53" s="708">
        <f t="shared" si="56"/>
        <v>5.7669364350980708E+21</v>
      </c>
      <c r="BBH53" s="708">
        <f t="shared" si="56"/>
        <v>5.9399445281510135E+21</v>
      </c>
      <c r="BBI53" s="708">
        <f t="shared" si="56"/>
        <v>6.118142863995544E+21</v>
      </c>
      <c r="BBJ53" s="708">
        <f t="shared" ref="BBJ53:BDU53" si="57">BBI53*$C$53</f>
        <v>6.3016871499154105E+21</v>
      </c>
      <c r="BBK53" s="708">
        <f t="shared" si="57"/>
        <v>6.490737764412873E+21</v>
      </c>
      <c r="BBL53" s="708">
        <f t="shared" si="57"/>
        <v>6.6854598973452599E+21</v>
      </c>
      <c r="BBM53" s="708">
        <f t="shared" si="57"/>
        <v>6.8860236942656175E+21</v>
      </c>
      <c r="BBN53" s="708">
        <f t="shared" si="57"/>
        <v>7.0926044050935859E+21</v>
      </c>
      <c r="BBO53" s="708">
        <f t="shared" si="57"/>
        <v>7.305382537246394E+21</v>
      </c>
      <c r="BBP53" s="708">
        <f t="shared" si="57"/>
        <v>7.5245440133637865E+21</v>
      </c>
      <c r="BBQ53" s="708">
        <f t="shared" si="57"/>
        <v>7.7502803337647007E+21</v>
      </c>
      <c r="BBR53" s="708">
        <f t="shared" si="57"/>
        <v>7.9827887437776421E+21</v>
      </c>
      <c r="BBS53" s="708">
        <f t="shared" si="57"/>
        <v>8.2222724060909719E+21</v>
      </c>
      <c r="BBT53" s="708">
        <f t="shared" si="57"/>
        <v>8.4689405782737017E+21</v>
      </c>
      <c r="BBU53" s="708">
        <f t="shared" si="57"/>
        <v>8.723008795621913E+21</v>
      </c>
      <c r="BBV53" s="708">
        <f t="shared" si="57"/>
        <v>8.9846990594905704E+21</v>
      </c>
      <c r="BBW53" s="708">
        <f t="shared" si="57"/>
        <v>9.2542400312752881E+21</v>
      </c>
      <c r="BBX53" s="708">
        <f t="shared" si="57"/>
        <v>9.5318672322135463E+21</v>
      </c>
      <c r="BBY53" s="708">
        <f t="shared" si="57"/>
        <v>9.8178232491799531E+21</v>
      </c>
      <c r="BBZ53" s="708">
        <f t="shared" si="57"/>
        <v>1.0112357946655351E+22</v>
      </c>
      <c r="BCA53" s="708">
        <f t="shared" si="57"/>
        <v>1.0415728685055012E+22</v>
      </c>
      <c r="BCB53" s="708">
        <f t="shared" si="57"/>
        <v>1.0728200545606662E+22</v>
      </c>
      <c r="BCC53" s="708">
        <f t="shared" si="57"/>
        <v>1.1050046561974862E+22</v>
      </c>
      <c r="BCD53" s="708">
        <f t="shared" si="57"/>
        <v>1.1381547958834108E+22</v>
      </c>
      <c r="BCE53" s="708">
        <f t="shared" si="57"/>
        <v>1.1722994397599131E+22</v>
      </c>
      <c r="BCF53" s="708">
        <f t="shared" si="57"/>
        <v>1.2074684229527106E+22</v>
      </c>
      <c r="BCG53" s="708">
        <f t="shared" si="57"/>
        <v>1.2436924756412919E+22</v>
      </c>
      <c r="BCH53" s="708">
        <f t="shared" si="57"/>
        <v>1.2810032499105307E+22</v>
      </c>
      <c r="BCI53" s="708">
        <f t="shared" si="57"/>
        <v>1.3194333474078467E+22</v>
      </c>
      <c r="BCJ53" s="708">
        <f t="shared" si="57"/>
        <v>1.3590163478300821E+22</v>
      </c>
      <c r="BCK53" s="708">
        <f t="shared" si="57"/>
        <v>1.3997868382649846E+22</v>
      </c>
      <c r="BCL53" s="708">
        <f t="shared" si="57"/>
        <v>1.4417804434129342E+22</v>
      </c>
      <c r="BCM53" s="708">
        <f t="shared" si="57"/>
        <v>1.4850338567153223E+22</v>
      </c>
      <c r="BCN53" s="708">
        <f t="shared" si="57"/>
        <v>1.5295848724167819E+22</v>
      </c>
      <c r="BCO53" s="708">
        <f t="shared" si="57"/>
        <v>1.5754724185892855E+22</v>
      </c>
      <c r="BCP53" s="708">
        <f t="shared" si="57"/>
        <v>1.6227365911469641E+22</v>
      </c>
      <c r="BCQ53" s="708">
        <f t="shared" si="57"/>
        <v>1.6714186888813732E+22</v>
      </c>
      <c r="BCR53" s="708">
        <f t="shared" si="57"/>
        <v>1.7215612495478143E+22</v>
      </c>
      <c r="BCS53" s="708">
        <f t="shared" si="57"/>
        <v>1.7732080870342487E+22</v>
      </c>
      <c r="BCT53" s="708">
        <f t="shared" si="57"/>
        <v>1.8264043296452761E+22</v>
      </c>
      <c r="BCU53" s="708">
        <f t="shared" si="57"/>
        <v>1.8811964595346344E+22</v>
      </c>
      <c r="BCV53" s="708">
        <f t="shared" si="57"/>
        <v>1.9376323533206735E+22</v>
      </c>
      <c r="BCW53" s="708">
        <f t="shared" si="57"/>
        <v>1.9957613239202939E+22</v>
      </c>
      <c r="BCX53" s="708">
        <f t="shared" si="57"/>
        <v>2.0556341636379028E+22</v>
      </c>
      <c r="BCY53" s="708">
        <f t="shared" si="57"/>
        <v>2.1173031885470398E+22</v>
      </c>
      <c r="BCZ53" s="708">
        <f t="shared" si="57"/>
        <v>2.180822284203451E+22</v>
      </c>
      <c r="BDA53" s="708">
        <f t="shared" si="57"/>
        <v>2.2462469527295545E+22</v>
      </c>
      <c r="BDB53" s="708">
        <f t="shared" si="57"/>
        <v>2.3136343613114413E+22</v>
      </c>
      <c r="BDC53" s="708">
        <f t="shared" si="57"/>
        <v>2.3830433921507848E+22</v>
      </c>
      <c r="BDD53" s="708">
        <f t="shared" si="57"/>
        <v>2.4545346939153082E+22</v>
      </c>
      <c r="BDE53" s="708">
        <f t="shared" si="57"/>
        <v>2.5281707347327674E+22</v>
      </c>
      <c r="BDF53" s="708">
        <f t="shared" si="57"/>
        <v>2.6040158567747505E+22</v>
      </c>
      <c r="BDG53" s="708">
        <f t="shared" si="57"/>
        <v>2.682136332477993E+22</v>
      </c>
      <c r="BDH53" s="708">
        <f t="shared" si="57"/>
        <v>2.7626004224523329E+22</v>
      </c>
      <c r="BDI53" s="708">
        <f t="shared" si="57"/>
        <v>2.8454784351259031E+22</v>
      </c>
      <c r="BDJ53" s="708">
        <f t="shared" si="57"/>
        <v>2.9308427881796803E+22</v>
      </c>
      <c r="BDK53" s="708">
        <f t="shared" si="57"/>
        <v>3.018768071825071E+22</v>
      </c>
      <c r="BDL53" s="708">
        <f t="shared" si="57"/>
        <v>3.1093311139798231E+22</v>
      </c>
      <c r="BDM53" s="708">
        <f t="shared" si="57"/>
        <v>3.2026110473992181E+22</v>
      </c>
      <c r="BDN53" s="708">
        <f t="shared" si="57"/>
        <v>3.2986893788211948E+22</v>
      </c>
      <c r="BDO53" s="708">
        <f t="shared" si="57"/>
        <v>3.3976500601858308E+22</v>
      </c>
      <c r="BDP53" s="708">
        <f t="shared" si="57"/>
        <v>3.4995795619914057E+22</v>
      </c>
      <c r="BDQ53" s="708">
        <f t="shared" si="57"/>
        <v>3.6045669488511479E+22</v>
      </c>
      <c r="BDR53" s="708">
        <f t="shared" si="57"/>
        <v>3.7127039573166825E+22</v>
      </c>
      <c r="BDS53" s="708">
        <f t="shared" si="57"/>
        <v>3.8240850760361832E+22</v>
      </c>
      <c r="BDT53" s="708">
        <f t="shared" si="57"/>
        <v>3.9388076283172691E+22</v>
      </c>
      <c r="BDU53" s="708">
        <f t="shared" si="57"/>
        <v>4.0569718571667873E+22</v>
      </c>
      <c r="BDV53" s="708">
        <f t="shared" ref="BDV53:BGG53" si="58">BDU53*$C$53</f>
        <v>4.178681012881791E+22</v>
      </c>
      <c r="BDW53" s="708">
        <f t="shared" si="58"/>
        <v>4.3040414432682446E+22</v>
      </c>
      <c r="BDX53" s="708">
        <f t="shared" si="58"/>
        <v>4.4331626865662919E+22</v>
      </c>
      <c r="BDY53" s="708">
        <f t="shared" si="58"/>
        <v>4.5661575671632806E+22</v>
      </c>
      <c r="BDZ53" s="708">
        <f t="shared" si="58"/>
        <v>4.7031422941781794E+22</v>
      </c>
      <c r="BEA53" s="708">
        <f t="shared" si="58"/>
        <v>4.8442365630035251E+22</v>
      </c>
      <c r="BEB53" s="708">
        <f t="shared" si="58"/>
        <v>4.9895636598936312E+22</v>
      </c>
      <c r="BEC53" s="708">
        <f t="shared" si="58"/>
        <v>5.1392505696904404E+22</v>
      </c>
      <c r="BED53" s="708">
        <f t="shared" si="58"/>
        <v>5.293428086781154E+22</v>
      </c>
      <c r="BEE53" s="708">
        <f t="shared" si="58"/>
        <v>5.4522309293845888E+22</v>
      </c>
      <c r="BEF53" s="708">
        <f t="shared" si="58"/>
        <v>5.6157978572661266E+22</v>
      </c>
      <c r="BEG53" s="708">
        <f t="shared" si="58"/>
        <v>5.7842717929841109E+22</v>
      </c>
      <c r="BEH53" s="708">
        <f t="shared" si="58"/>
        <v>5.9577999467736344E+22</v>
      </c>
      <c r="BEI53" s="708">
        <f t="shared" si="58"/>
        <v>6.1365339451768432E+22</v>
      </c>
      <c r="BEJ53" s="708">
        <f t="shared" si="58"/>
        <v>6.3206299635321483E+22</v>
      </c>
      <c r="BEK53" s="708">
        <f t="shared" si="58"/>
        <v>6.5102488624381133E+22</v>
      </c>
      <c r="BEL53" s="708">
        <f t="shared" si="58"/>
        <v>6.7055563283112569E+22</v>
      </c>
      <c r="BEM53" s="708">
        <f t="shared" si="58"/>
        <v>6.9067230181605945E+22</v>
      </c>
      <c r="BEN53" s="708">
        <f t="shared" si="58"/>
        <v>7.1139247087054127E+22</v>
      </c>
      <c r="BEO53" s="708">
        <f t="shared" si="58"/>
        <v>7.3273424499665749E+22</v>
      </c>
      <c r="BEP53" s="708">
        <f t="shared" si="58"/>
        <v>7.5471627234655722E+22</v>
      </c>
      <c r="BEQ53" s="708">
        <f t="shared" si="58"/>
        <v>7.7735776051695402E+22</v>
      </c>
      <c r="BER53" s="708">
        <f t="shared" si="58"/>
        <v>8.006784933324627E+22</v>
      </c>
      <c r="BES53" s="708">
        <f t="shared" si="58"/>
        <v>8.2469884813243654E+22</v>
      </c>
      <c r="BET53" s="708">
        <f t="shared" si="58"/>
        <v>8.4943981357640962E+22</v>
      </c>
      <c r="BEU53" s="708">
        <f t="shared" si="58"/>
        <v>8.7492300798370194E+22</v>
      </c>
      <c r="BEV53" s="708">
        <f t="shared" si="58"/>
        <v>9.011706982232131E+22</v>
      </c>
      <c r="BEW53" s="708">
        <f t="shared" si="58"/>
        <v>9.2820581916990947E+22</v>
      </c>
      <c r="BEX53" s="708">
        <f t="shared" si="58"/>
        <v>9.560519937450068E+22</v>
      </c>
      <c r="BEY53" s="708">
        <f t="shared" si="58"/>
        <v>9.8473355355735695E+22</v>
      </c>
      <c r="BEZ53" s="708">
        <f t="shared" si="58"/>
        <v>1.0142755601640776E+23</v>
      </c>
      <c r="BFA53" s="708">
        <f t="shared" si="58"/>
        <v>1.044703826969E+23</v>
      </c>
      <c r="BFB53" s="708">
        <f t="shared" si="58"/>
        <v>1.07604494177807E+23</v>
      </c>
      <c r="BFC53" s="708">
        <f t="shared" si="58"/>
        <v>1.1083262900314121E+23</v>
      </c>
      <c r="BFD53" s="708">
        <f t="shared" si="58"/>
        <v>1.1415760787323545E+23</v>
      </c>
      <c r="BFE53" s="708">
        <f t="shared" si="58"/>
        <v>1.1758233610943251E+23</v>
      </c>
      <c r="BFF53" s="708">
        <f t="shared" si="58"/>
        <v>1.211098061927155E+23</v>
      </c>
      <c r="BFG53" s="708">
        <f t="shared" si="58"/>
        <v>1.2474310037849697E+23</v>
      </c>
      <c r="BFH53" s="708">
        <f t="shared" si="58"/>
        <v>1.2848539338985188E+23</v>
      </c>
      <c r="BFI53" s="708">
        <f t="shared" si="58"/>
        <v>1.3233995519154745E+23</v>
      </c>
      <c r="BFJ53" s="708">
        <f t="shared" si="58"/>
        <v>1.3631015384729387E+23</v>
      </c>
      <c r="BFK53" s="708">
        <f t="shared" si="58"/>
        <v>1.4039945846271269E+23</v>
      </c>
      <c r="BFL53" s="708">
        <f t="shared" si="58"/>
        <v>1.4461144221659407E+23</v>
      </c>
      <c r="BFM53" s="708">
        <f t="shared" si="58"/>
        <v>1.489497854830919E+23</v>
      </c>
      <c r="BFN53" s="708">
        <f t="shared" si="58"/>
        <v>1.5341827904758466E+23</v>
      </c>
      <c r="BFO53" s="708">
        <f t="shared" si="58"/>
        <v>1.5802082741901221E+23</v>
      </c>
      <c r="BFP53" s="708">
        <f t="shared" si="58"/>
        <v>1.6276145224158258E+23</v>
      </c>
      <c r="BFQ53" s="708">
        <f t="shared" si="58"/>
        <v>1.6764429580883008E+23</v>
      </c>
      <c r="BFR53" s="708">
        <f t="shared" si="58"/>
        <v>1.7267362468309497E+23</v>
      </c>
      <c r="BFS53" s="708">
        <f t="shared" si="58"/>
        <v>1.7785383342358782E+23</v>
      </c>
      <c r="BFT53" s="708">
        <f t="shared" si="58"/>
        <v>1.8318944842629546E+23</v>
      </c>
      <c r="BFU53" s="708">
        <f t="shared" si="58"/>
        <v>1.8868513187908432E+23</v>
      </c>
      <c r="BFV53" s="708">
        <f t="shared" si="58"/>
        <v>1.9434568583545683E+23</v>
      </c>
      <c r="BFW53" s="708">
        <f t="shared" si="58"/>
        <v>2.0017605641052054E+23</v>
      </c>
      <c r="BFX53" s="708">
        <f t="shared" si="58"/>
        <v>2.0618133810283617E+23</v>
      </c>
      <c r="BFY53" s="708">
        <f t="shared" si="58"/>
        <v>2.1236677824592126E+23</v>
      </c>
      <c r="BFZ53" s="708">
        <f t="shared" si="58"/>
        <v>2.1873778159329892E+23</v>
      </c>
      <c r="BGA53" s="708">
        <f t="shared" si="58"/>
        <v>2.2529991504109791E+23</v>
      </c>
      <c r="BGB53" s="708">
        <f t="shared" si="58"/>
        <v>2.3205891249233085E+23</v>
      </c>
      <c r="BGC53" s="708">
        <f t="shared" si="58"/>
        <v>2.3902067986710079E+23</v>
      </c>
      <c r="BGD53" s="708">
        <f t="shared" si="58"/>
        <v>2.4619130026311382E+23</v>
      </c>
      <c r="BGE53" s="708">
        <f t="shared" si="58"/>
        <v>2.5357703927100726E+23</v>
      </c>
      <c r="BGF53" s="708">
        <f t="shared" si="58"/>
        <v>2.6118435044913747E+23</v>
      </c>
      <c r="BGG53" s="708">
        <f t="shared" si="58"/>
        <v>2.6901988096261161E+23</v>
      </c>
      <c r="BGH53" s="708">
        <f t="shared" ref="BGH53:BIS53" si="59">BGG53*$C$53</f>
        <v>2.7709047739148996E+23</v>
      </c>
      <c r="BGI53" s="708">
        <f t="shared" si="59"/>
        <v>2.8540319171323467E+23</v>
      </c>
      <c r="BGJ53" s="708">
        <f t="shared" si="59"/>
        <v>2.9396528746463172E+23</v>
      </c>
      <c r="BGK53" s="708">
        <f t="shared" si="59"/>
        <v>3.0278424608857065E+23</v>
      </c>
      <c r="BGL53" s="708">
        <f t="shared" si="59"/>
        <v>3.1186777347122778E+23</v>
      </c>
      <c r="BGM53" s="708">
        <f t="shared" si="59"/>
        <v>3.2122380667536462E+23</v>
      </c>
      <c r="BGN53" s="708">
        <f t="shared" si="59"/>
        <v>3.3086052087562556E+23</v>
      </c>
      <c r="BGO53" s="708">
        <f t="shared" si="59"/>
        <v>3.4078633650189434E+23</v>
      </c>
      <c r="BGP53" s="708">
        <f t="shared" si="59"/>
        <v>3.5100992659695116E+23</v>
      </c>
      <c r="BGQ53" s="708">
        <f t="shared" si="59"/>
        <v>3.6154022439485969E+23</v>
      </c>
      <c r="BGR53" s="708">
        <f t="shared" si="59"/>
        <v>3.723864311267055E+23</v>
      </c>
      <c r="BGS53" s="708">
        <f t="shared" si="59"/>
        <v>3.8355802406050669E+23</v>
      </c>
      <c r="BGT53" s="708">
        <f t="shared" si="59"/>
        <v>3.9506476478232188E+23</v>
      </c>
      <c r="BGU53" s="708">
        <f t="shared" si="59"/>
        <v>4.0691670772579156E+23</v>
      </c>
      <c r="BGV53" s="708">
        <f t="shared" si="59"/>
        <v>4.1912420895756535E+23</v>
      </c>
      <c r="BGW53" s="708">
        <f t="shared" si="59"/>
        <v>4.316979352262923E+23</v>
      </c>
      <c r="BGX53" s="708">
        <f t="shared" si="59"/>
        <v>4.446488732830811E+23</v>
      </c>
      <c r="BGY53" s="708">
        <f t="shared" si="59"/>
        <v>4.5798833948157354E+23</v>
      </c>
      <c r="BGZ53" s="708">
        <f t="shared" si="59"/>
        <v>4.7172798966602078E+23</v>
      </c>
      <c r="BHA53" s="708">
        <f t="shared" si="59"/>
        <v>4.8587982935600138E+23</v>
      </c>
      <c r="BHB53" s="708">
        <f t="shared" si="59"/>
        <v>5.0045622423668142E+23</v>
      </c>
      <c r="BHC53" s="708">
        <f t="shared" si="59"/>
        <v>5.1546991096378188E+23</v>
      </c>
      <c r="BHD53" s="708">
        <f t="shared" si="59"/>
        <v>5.3093400829269537E+23</v>
      </c>
      <c r="BHE53" s="708">
        <f t="shared" si="59"/>
        <v>5.4686202854147623E+23</v>
      </c>
      <c r="BHF53" s="708">
        <f t="shared" si="59"/>
        <v>5.6326788939772054E+23</v>
      </c>
      <c r="BHG53" s="708">
        <f t="shared" si="59"/>
        <v>5.8016592607965218E+23</v>
      </c>
      <c r="BHH53" s="708">
        <f t="shared" si="59"/>
        <v>5.9757090386204175E+23</v>
      </c>
      <c r="BHI53" s="708">
        <f t="shared" si="59"/>
        <v>6.1549803097790295E+23</v>
      </c>
      <c r="BHJ53" s="708">
        <f t="shared" si="59"/>
        <v>6.339629719072401E+23</v>
      </c>
      <c r="BHK53" s="708">
        <f t="shared" si="59"/>
        <v>6.5298186106445737E+23</v>
      </c>
      <c r="BHL53" s="708">
        <f t="shared" si="59"/>
        <v>6.7257131689639113E+23</v>
      </c>
      <c r="BHM53" s="708">
        <f t="shared" si="59"/>
        <v>6.927484564032829E+23</v>
      </c>
      <c r="BHN53" s="708">
        <f t="shared" si="59"/>
        <v>7.1353091009538139E+23</v>
      </c>
      <c r="BHO53" s="708">
        <f t="shared" si="59"/>
        <v>7.349368373982429E+23</v>
      </c>
      <c r="BHP53" s="708">
        <f t="shared" si="59"/>
        <v>7.5698494252019014E+23</v>
      </c>
      <c r="BHQ53" s="708">
        <f t="shared" si="59"/>
        <v>7.7969449079579587E+23</v>
      </c>
      <c r="BHR53" s="708">
        <f t="shared" si="59"/>
        <v>8.0308532551966977E+23</v>
      </c>
      <c r="BHS53" s="708">
        <f t="shared" si="59"/>
        <v>8.2717788528525983E+23</v>
      </c>
      <c r="BHT53" s="708">
        <f t="shared" si="59"/>
        <v>8.5199322184381759E+23</v>
      </c>
      <c r="BHU53" s="708">
        <f t="shared" si="59"/>
        <v>8.7755301849913212E+23</v>
      </c>
      <c r="BHV53" s="708">
        <f t="shared" si="59"/>
        <v>9.0387960905410607E+23</v>
      </c>
      <c r="BHW53" s="708">
        <f t="shared" si="59"/>
        <v>9.3099599732572931E+23</v>
      </c>
      <c r="BHX53" s="708">
        <f t="shared" si="59"/>
        <v>9.5892587724550122E+23</v>
      </c>
      <c r="BHY53" s="708">
        <f t="shared" si="59"/>
        <v>9.8769365356286629E+23</v>
      </c>
      <c r="BHZ53" s="708">
        <f t="shared" si="59"/>
        <v>1.0173244631697523E+24</v>
      </c>
      <c r="BIA53" s="708">
        <f t="shared" si="59"/>
        <v>1.0478441970648448E+24</v>
      </c>
      <c r="BIB53" s="708">
        <f t="shared" si="59"/>
        <v>1.0792795229767902E+24</v>
      </c>
      <c r="BIC53" s="708">
        <f t="shared" si="59"/>
        <v>1.111657908666094E+24</v>
      </c>
      <c r="BID53" s="708">
        <f t="shared" si="59"/>
        <v>1.1450076459260769E+24</v>
      </c>
      <c r="BIE53" s="708">
        <f t="shared" si="59"/>
        <v>1.1793578753038592E+24</v>
      </c>
      <c r="BIF53" s="708">
        <f t="shared" si="59"/>
        <v>1.2147386115629749E+24</v>
      </c>
      <c r="BIG53" s="708">
        <f t="shared" si="59"/>
        <v>1.2511807699098644E+24</v>
      </c>
      <c r="BIH53" s="708">
        <f t="shared" si="59"/>
        <v>1.2887161930071603E+24</v>
      </c>
      <c r="BII53" s="708">
        <f t="shared" si="59"/>
        <v>1.3273776787973753E+24</v>
      </c>
      <c r="BIJ53" s="708">
        <f t="shared" si="59"/>
        <v>1.3671990091612967E+24</v>
      </c>
      <c r="BIK53" s="708">
        <f t="shared" si="59"/>
        <v>1.4082149794361357E+24</v>
      </c>
      <c r="BIL53" s="708">
        <f t="shared" si="59"/>
        <v>1.4504614288192199E+24</v>
      </c>
      <c r="BIM53" s="708">
        <f t="shared" si="59"/>
        <v>1.4939752716837967E+24</v>
      </c>
      <c r="BIN53" s="708">
        <f t="shared" si="59"/>
        <v>1.5387945298343107E+24</v>
      </c>
      <c r="BIO53" s="708">
        <f t="shared" si="59"/>
        <v>1.5849583657293401E+24</v>
      </c>
      <c r="BIP53" s="708">
        <f t="shared" si="59"/>
        <v>1.6325071167012204E+24</v>
      </c>
      <c r="BIQ53" s="708">
        <f t="shared" si="59"/>
        <v>1.6814823302022571E+24</v>
      </c>
      <c r="BIR53" s="708">
        <f t="shared" si="59"/>
        <v>1.7319268001083248E+24</v>
      </c>
      <c r="BIS53" s="708">
        <f t="shared" si="59"/>
        <v>1.7838846041115746E+24</v>
      </c>
      <c r="BIT53" s="708">
        <f t="shared" ref="BIT53:BLE53" si="60">BIS53*$C$53</f>
        <v>1.8374011422349219E+24</v>
      </c>
      <c r="BIU53" s="708">
        <f t="shared" si="60"/>
        <v>1.8925231765019696E+24</v>
      </c>
      <c r="BIV53" s="708">
        <f t="shared" si="60"/>
        <v>1.9492988717970289E+24</v>
      </c>
      <c r="BIW53" s="708">
        <f t="shared" si="60"/>
        <v>2.0077778379509398E+24</v>
      </c>
      <c r="BIX53" s="708">
        <f t="shared" si="60"/>
        <v>2.0680111730894679E+24</v>
      </c>
      <c r="BIY53" s="708">
        <f t="shared" si="60"/>
        <v>2.1300515082821519E+24</v>
      </c>
      <c r="BIZ53" s="708">
        <f t="shared" si="60"/>
        <v>2.1939530535306165E+24</v>
      </c>
      <c r="BJA53" s="708">
        <f t="shared" si="60"/>
        <v>2.259771645136535E+24</v>
      </c>
      <c r="BJB53" s="708">
        <f t="shared" si="60"/>
        <v>2.3275647944906312E+24</v>
      </c>
      <c r="BJC53" s="708">
        <f t="shared" si="60"/>
        <v>2.3973917383253502E+24</v>
      </c>
      <c r="BJD53" s="708">
        <f t="shared" si="60"/>
        <v>2.4693134904751107E+24</v>
      </c>
      <c r="BJE53" s="708">
        <f t="shared" si="60"/>
        <v>2.5433928951893641E+24</v>
      </c>
      <c r="BJF53" s="708">
        <f t="shared" si="60"/>
        <v>2.6196946820450453E+24</v>
      </c>
      <c r="BJG53" s="708">
        <f t="shared" si="60"/>
        <v>2.6982855225063966E+24</v>
      </c>
      <c r="BJH53" s="708">
        <f t="shared" si="60"/>
        <v>2.7792340881815887E+24</v>
      </c>
      <c r="BJI53" s="708">
        <f t="shared" si="60"/>
        <v>2.8626111108270365E+24</v>
      </c>
      <c r="BJJ53" s="708">
        <f t="shared" si="60"/>
        <v>2.9484894441518478E+24</v>
      </c>
      <c r="BJK53" s="708">
        <f t="shared" si="60"/>
        <v>3.0369441274764034E+24</v>
      </c>
      <c r="BJL53" s="708">
        <f t="shared" si="60"/>
        <v>3.1280524513006955E+24</v>
      </c>
      <c r="BJM53" s="708">
        <f t="shared" si="60"/>
        <v>3.2218940248397168E+24</v>
      </c>
      <c r="BJN53" s="708">
        <f t="shared" si="60"/>
        <v>3.3185508455849082E+24</v>
      </c>
      <c r="BJO53" s="708">
        <f t="shared" si="60"/>
        <v>3.4181073709524557E+24</v>
      </c>
      <c r="BJP53" s="708">
        <f t="shared" si="60"/>
        <v>3.5206505920810293E+24</v>
      </c>
      <c r="BJQ53" s="708">
        <f t="shared" si="60"/>
        <v>3.6262701098434603E+24</v>
      </c>
      <c r="BJR53" s="708">
        <f t="shared" si="60"/>
        <v>3.7350582131387641E+24</v>
      </c>
      <c r="BJS53" s="708">
        <f t="shared" si="60"/>
        <v>3.8471099595329271E+24</v>
      </c>
      <c r="BJT53" s="708">
        <f t="shared" si="60"/>
        <v>3.9625232583189147E+24</v>
      </c>
      <c r="BJU53" s="708">
        <f t="shared" si="60"/>
        <v>4.0813989560684821E+24</v>
      </c>
      <c r="BJV53" s="708">
        <f t="shared" si="60"/>
        <v>4.2038409247505368E+24</v>
      </c>
      <c r="BJW53" s="708">
        <f t="shared" si="60"/>
        <v>4.3299561524930529E+24</v>
      </c>
      <c r="BJX53" s="708">
        <f t="shared" si="60"/>
        <v>4.4598548370678446E+24</v>
      </c>
      <c r="BJY53" s="708">
        <f t="shared" si="60"/>
        <v>4.5936504821798798E+24</v>
      </c>
      <c r="BJZ53" s="708">
        <f t="shared" si="60"/>
        <v>4.7314599966452762E+24</v>
      </c>
      <c r="BKA53" s="708">
        <f t="shared" si="60"/>
        <v>4.8734037965446349E+24</v>
      </c>
      <c r="BKB53" s="708">
        <f t="shared" si="60"/>
        <v>5.019605910440974E+24</v>
      </c>
      <c r="BKC53" s="708">
        <f t="shared" si="60"/>
        <v>5.1701940877542034E+24</v>
      </c>
      <c r="BKD53" s="708">
        <f t="shared" si="60"/>
        <v>5.3252999103868294E+24</v>
      </c>
      <c r="BKE53" s="708">
        <f t="shared" si="60"/>
        <v>5.4850589076984341E+24</v>
      </c>
      <c r="BKF53" s="708">
        <f t="shared" si="60"/>
        <v>5.649610674929387E+24</v>
      </c>
      <c r="BKG53" s="708">
        <f t="shared" si="60"/>
        <v>5.8190989951772688E+24</v>
      </c>
      <c r="BKH53" s="708">
        <f t="shared" si="60"/>
        <v>5.9936719650325867E+24</v>
      </c>
      <c r="BKI53" s="708">
        <f t="shared" si="60"/>
        <v>6.1734821239835645E+24</v>
      </c>
      <c r="BKJ53" s="708">
        <f t="shared" si="60"/>
        <v>6.3586865877030712E+24</v>
      </c>
      <c r="BKK53" s="708">
        <f t="shared" si="60"/>
        <v>6.5494471853341633E+24</v>
      </c>
      <c r="BKL53" s="708">
        <f t="shared" si="60"/>
        <v>6.7459306008941888E+24</v>
      </c>
      <c r="BKM53" s="708">
        <f t="shared" si="60"/>
        <v>6.948308518921015E+24</v>
      </c>
      <c r="BKN53" s="708">
        <f t="shared" si="60"/>
        <v>7.156757774488646E+24</v>
      </c>
      <c r="BKO53" s="708">
        <f t="shared" si="60"/>
        <v>7.3714605077233051E+24</v>
      </c>
      <c r="BKP53" s="708">
        <f t="shared" si="60"/>
        <v>7.5926043229550046E+24</v>
      </c>
      <c r="BKQ53" s="708">
        <f t="shared" si="60"/>
        <v>7.8203824526436547E+24</v>
      </c>
      <c r="BKR53" s="708">
        <f t="shared" si="60"/>
        <v>8.0549939262229644E+24</v>
      </c>
      <c r="BKS53" s="708">
        <f t="shared" si="60"/>
        <v>8.296643744009654E+24</v>
      </c>
      <c r="BKT53" s="708">
        <f t="shared" si="60"/>
        <v>8.5455430563299434E+24</v>
      </c>
      <c r="BKU53" s="708">
        <f t="shared" si="60"/>
        <v>8.8019093480198418E+24</v>
      </c>
      <c r="BKV53" s="708">
        <f t="shared" si="60"/>
        <v>9.0659666284604375E+24</v>
      </c>
      <c r="BKW53" s="708">
        <f t="shared" si="60"/>
        <v>9.3379456273142511E+24</v>
      </c>
      <c r="BKX53" s="708">
        <f t="shared" si="60"/>
        <v>9.618083996133679E+24</v>
      </c>
      <c r="BKY53" s="708">
        <f t="shared" si="60"/>
        <v>9.9066265160176889E+24</v>
      </c>
      <c r="BKZ53" s="708">
        <f t="shared" si="60"/>
        <v>1.0203825311498221E+25</v>
      </c>
      <c r="BLA53" s="708">
        <f t="shared" si="60"/>
        <v>1.0509940070843168E+25</v>
      </c>
      <c r="BLB53" s="708">
        <f t="shared" si="60"/>
        <v>1.0825238272968464E+25</v>
      </c>
      <c r="BLC53" s="708">
        <f t="shared" si="60"/>
        <v>1.1149995421157518E+25</v>
      </c>
      <c r="BLD53" s="708">
        <f t="shared" si="60"/>
        <v>1.1484495283792243E+25</v>
      </c>
      <c r="BLE53" s="708">
        <f t="shared" si="60"/>
        <v>1.1829030142306011E+25</v>
      </c>
      <c r="BLF53" s="708">
        <f t="shared" ref="BLF53:BNQ53" si="61">BLE53*$C$53</f>
        <v>1.2183901046575191E+25</v>
      </c>
      <c r="BLG53" s="708">
        <f t="shared" si="61"/>
        <v>1.2549418077972448E+25</v>
      </c>
      <c r="BLH53" s="708">
        <f t="shared" si="61"/>
        <v>1.2925900620311621E+25</v>
      </c>
      <c r="BLI53" s="708">
        <f t="shared" si="61"/>
        <v>1.3313677638920971E+25</v>
      </c>
      <c r="BLJ53" s="708">
        <f t="shared" si="61"/>
        <v>1.37130879680886E+25</v>
      </c>
      <c r="BLK53" s="708">
        <f t="shared" si="61"/>
        <v>1.4124480607131258E+25</v>
      </c>
      <c r="BLL53" s="708">
        <f t="shared" si="61"/>
        <v>1.4548215025345195E+25</v>
      </c>
      <c r="BLM53" s="708">
        <f t="shared" si="61"/>
        <v>1.4984661476105551E+25</v>
      </c>
      <c r="BLN53" s="708">
        <f t="shared" si="61"/>
        <v>1.5434201320388717E+25</v>
      </c>
      <c r="BLO53" s="708">
        <f t="shared" si="61"/>
        <v>1.589722736000038E+25</v>
      </c>
      <c r="BLP53" s="708">
        <f t="shared" si="61"/>
        <v>1.6374144180800392E+25</v>
      </c>
      <c r="BLQ53" s="708">
        <f t="shared" si="61"/>
        <v>1.6865368506224403E+25</v>
      </c>
      <c r="BLR53" s="708">
        <f t="shared" si="61"/>
        <v>1.7371329561411136E+25</v>
      </c>
      <c r="BLS53" s="708">
        <f t="shared" si="61"/>
        <v>1.789246944825347E+25</v>
      </c>
      <c r="BLT53" s="708">
        <f t="shared" si="61"/>
        <v>1.8429243531701074E+25</v>
      </c>
      <c r="BLU53" s="708">
        <f t="shared" si="61"/>
        <v>1.8982120837652107E+25</v>
      </c>
      <c r="BLV53" s="708">
        <f t="shared" si="61"/>
        <v>1.955158446278167E+25</v>
      </c>
      <c r="BLW53" s="708">
        <f t="shared" si="61"/>
        <v>2.0138131996665122E+25</v>
      </c>
      <c r="BLX53" s="708">
        <f t="shared" si="61"/>
        <v>2.0742275956565076E+25</v>
      </c>
      <c r="BLY53" s="708">
        <f t="shared" si="61"/>
        <v>2.1364544235262029E+25</v>
      </c>
      <c r="BLZ53" s="708">
        <f t="shared" si="61"/>
        <v>2.200548056231989E+25</v>
      </c>
      <c r="BMA53" s="708">
        <f t="shared" si="61"/>
        <v>2.2665644979189488E+25</v>
      </c>
      <c r="BMB53" s="708">
        <f t="shared" si="61"/>
        <v>2.3345614328565174E+25</v>
      </c>
      <c r="BMC53" s="708">
        <f t="shared" si="61"/>
        <v>2.404598275842213E+25</v>
      </c>
      <c r="BMD53" s="708">
        <f t="shared" si="61"/>
        <v>2.4767362241174793E+25</v>
      </c>
      <c r="BME53" s="708">
        <f t="shared" si="61"/>
        <v>2.5510383108410035E+25</v>
      </c>
      <c r="BMF53" s="708">
        <f t="shared" si="61"/>
        <v>2.6275694601662339E+25</v>
      </c>
      <c r="BMG53" s="708">
        <f t="shared" si="61"/>
        <v>2.7063965439712212E+25</v>
      </c>
      <c r="BMH53" s="708">
        <f t="shared" si="61"/>
        <v>2.7875884402903577E+25</v>
      </c>
      <c r="BMI53" s="708">
        <f t="shared" si="61"/>
        <v>2.8712160934990683E+25</v>
      </c>
      <c r="BMJ53" s="708">
        <f t="shared" si="61"/>
        <v>2.9573525763040403E+25</v>
      </c>
      <c r="BMK53" s="708">
        <f t="shared" si="61"/>
        <v>3.0460731535931616E+25</v>
      </c>
      <c r="BML53" s="708">
        <f t="shared" si="61"/>
        <v>3.1374553482009567E+25</v>
      </c>
      <c r="BMM53" s="708">
        <f t="shared" si="61"/>
        <v>3.2315790086469857E+25</v>
      </c>
      <c r="BMN53" s="708">
        <f t="shared" si="61"/>
        <v>3.3285263789063955E+25</v>
      </c>
      <c r="BMO53" s="708">
        <f t="shared" si="61"/>
        <v>3.4283821702735873E+25</v>
      </c>
      <c r="BMP53" s="708">
        <f t="shared" si="61"/>
        <v>3.531233635381795E+25</v>
      </c>
      <c r="BMQ53" s="708">
        <f t="shared" si="61"/>
        <v>3.6371706444432487E+25</v>
      </c>
      <c r="BMR53" s="708">
        <f t="shared" si="61"/>
        <v>3.7462857637765464E+25</v>
      </c>
      <c r="BMS53" s="708">
        <f t="shared" si="61"/>
        <v>3.858674336689843E+25</v>
      </c>
      <c r="BMT53" s="708">
        <f t="shared" si="61"/>
        <v>3.9744345667905386E+25</v>
      </c>
      <c r="BMU53" s="708">
        <f t="shared" si="61"/>
        <v>4.0936676037942552E+25</v>
      </c>
      <c r="BMV53" s="708">
        <f t="shared" si="61"/>
        <v>4.2164776319080832E+25</v>
      </c>
      <c r="BMW53" s="708">
        <f t="shared" si="61"/>
        <v>4.3429719608653262E+25</v>
      </c>
      <c r="BMX53" s="708">
        <f t="shared" si="61"/>
        <v>4.4732611196912857E+25</v>
      </c>
      <c r="BMY53" s="708">
        <f t="shared" si="61"/>
        <v>4.6074589532820245E+25</v>
      </c>
      <c r="BMZ53" s="708">
        <f t="shared" si="61"/>
        <v>4.7456827218804855E+25</v>
      </c>
      <c r="BNA53" s="708">
        <f t="shared" si="61"/>
        <v>4.8880532035368998E+25</v>
      </c>
      <c r="BNB53" s="708">
        <f t="shared" si="61"/>
        <v>5.0346947996430074E+25</v>
      </c>
      <c r="BNC53" s="708">
        <f t="shared" si="61"/>
        <v>5.1857356436322978E+25</v>
      </c>
      <c r="BND53" s="708">
        <f t="shared" si="61"/>
        <v>5.3413077129412665E+25</v>
      </c>
      <c r="BNE53" s="708">
        <f t="shared" si="61"/>
        <v>5.5015469443295045E+25</v>
      </c>
      <c r="BNF53" s="708">
        <f t="shared" si="61"/>
        <v>5.6665933526593899E+25</v>
      </c>
      <c r="BNG53" s="708">
        <f t="shared" si="61"/>
        <v>5.8365911532391718E+25</v>
      </c>
      <c r="BNH53" s="708">
        <f t="shared" si="61"/>
        <v>6.0116888878363473E+25</v>
      </c>
      <c r="BNI53" s="708">
        <f t="shared" si="61"/>
        <v>6.1920395544714378E+25</v>
      </c>
      <c r="BNJ53" s="708">
        <f t="shared" si="61"/>
        <v>6.3778007411055812E+25</v>
      </c>
      <c r="BNK53" s="708">
        <f t="shared" si="61"/>
        <v>6.5691347633387487E+25</v>
      </c>
      <c r="BNL53" s="708">
        <f t="shared" si="61"/>
        <v>6.7662088062389114E+25</v>
      </c>
      <c r="BNM53" s="708">
        <f t="shared" si="61"/>
        <v>6.9691950704260788E+25</v>
      </c>
      <c r="BNN53" s="708">
        <f t="shared" si="61"/>
        <v>7.1782709225388612E+25</v>
      </c>
      <c r="BNO53" s="708">
        <f t="shared" si="61"/>
        <v>7.3936190502150271E+25</v>
      </c>
      <c r="BNP53" s="708">
        <f t="shared" si="61"/>
        <v>7.6154276217214783E+25</v>
      </c>
      <c r="BNQ53" s="708">
        <f t="shared" si="61"/>
        <v>7.8438904503731232E+25</v>
      </c>
      <c r="BNR53" s="708">
        <f t="shared" ref="BNR53:BQC53" si="62">BNQ53*$C$53</f>
        <v>8.0792071638843166E+25</v>
      </c>
      <c r="BNS53" s="708">
        <f t="shared" si="62"/>
        <v>8.3215833788008469E+25</v>
      </c>
      <c r="BNT53" s="708">
        <f t="shared" si="62"/>
        <v>8.5712308801648727E+25</v>
      </c>
      <c r="BNU53" s="708">
        <f t="shared" si="62"/>
        <v>8.8283678065698183E+25</v>
      </c>
      <c r="BNV53" s="708">
        <f t="shared" si="62"/>
        <v>9.0932188407669139E+25</v>
      </c>
      <c r="BNW53" s="708">
        <f t="shared" si="62"/>
        <v>9.3660154059899211E+25</v>
      </c>
      <c r="BNX53" s="708">
        <f t="shared" si="62"/>
        <v>9.6469958681696189E+25</v>
      </c>
      <c r="BNY53" s="708">
        <f t="shared" si="62"/>
        <v>9.9364057442147083E+25</v>
      </c>
      <c r="BNZ53" s="708">
        <f t="shared" si="62"/>
        <v>1.023449791654115E+26</v>
      </c>
      <c r="BOA53" s="708">
        <f t="shared" si="62"/>
        <v>1.0541532854037385E+26</v>
      </c>
      <c r="BOB53" s="708">
        <f t="shared" si="62"/>
        <v>1.0857778839658506E+26</v>
      </c>
      <c r="BOC53" s="708">
        <f t="shared" si="62"/>
        <v>1.1183512204848261E+26</v>
      </c>
      <c r="BOD53" s="708">
        <f t="shared" si="62"/>
        <v>1.1519017570993709E+26</v>
      </c>
      <c r="BOE53" s="708">
        <f t="shared" si="62"/>
        <v>1.1864588098123521E+26</v>
      </c>
      <c r="BOF53" s="708">
        <f t="shared" si="62"/>
        <v>1.2220525741067228E+26</v>
      </c>
      <c r="BOG53" s="708">
        <f t="shared" si="62"/>
        <v>1.2587141513299246E+26</v>
      </c>
      <c r="BOH53" s="708">
        <f t="shared" si="62"/>
        <v>1.2964755758698224E+26</v>
      </c>
      <c r="BOI53" s="708">
        <f t="shared" si="62"/>
        <v>1.3353698431459171E+26</v>
      </c>
      <c r="BOJ53" s="708">
        <f t="shared" si="62"/>
        <v>1.3754309384402946E+26</v>
      </c>
      <c r="BOK53" s="708">
        <f t="shared" si="62"/>
        <v>1.4166938665935034E+26</v>
      </c>
      <c r="BOL53" s="708">
        <f t="shared" si="62"/>
        <v>1.4591946825913085E+26</v>
      </c>
      <c r="BOM53" s="708">
        <f t="shared" si="62"/>
        <v>1.5029705230690478E+26</v>
      </c>
      <c r="BON53" s="708">
        <f t="shared" si="62"/>
        <v>1.5480596387611193E+26</v>
      </c>
      <c r="BOO53" s="708">
        <f t="shared" si="62"/>
        <v>1.5945014279239529E+26</v>
      </c>
      <c r="BOP53" s="708">
        <f t="shared" si="62"/>
        <v>1.6423364707616716E+26</v>
      </c>
      <c r="BOQ53" s="708">
        <f t="shared" si="62"/>
        <v>1.6916065648845217E+26</v>
      </c>
      <c r="BOR53" s="708">
        <f t="shared" si="62"/>
        <v>1.7423547618310575E+26</v>
      </c>
      <c r="BOS53" s="708">
        <f t="shared" si="62"/>
        <v>1.7946254046859892E+26</v>
      </c>
      <c r="BOT53" s="708">
        <f t="shared" si="62"/>
        <v>1.848464166826569E+26</v>
      </c>
      <c r="BOU53" s="708">
        <f t="shared" si="62"/>
        <v>1.9039180918313661E+26</v>
      </c>
      <c r="BOV53" s="708">
        <f t="shared" si="62"/>
        <v>1.9610356345863071E+26</v>
      </c>
      <c r="BOW53" s="708">
        <f t="shared" si="62"/>
        <v>2.0198667036238962E+26</v>
      </c>
      <c r="BOX53" s="708">
        <f t="shared" si="62"/>
        <v>2.0804627047326133E+26</v>
      </c>
      <c r="BOY53" s="708">
        <f t="shared" si="62"/>
        <v>2.1428765858745918E+26</v>
      </c>
      <c r="BOZ53" s="708">
        <f t="shared" si="62"/>
        <v>2.2071628834508297E+26</v>
      </c>
      <c r="BPA53" s="708">
        <f t="shared" si="62"/>
        <v>2.2733777699543545E+26</v>
      </c>
      <c r="BPB53" s="708">
        <f t="shared" si="62"/>
        <v>2.3415791030529853E+26</v>
      </c>
      <c r="BPC53" s="708">
        <f t="shared" si="62"/>
        <v>2.4118264761445748E+26</v>
      </c>
      <c r="BPD53" s="708">
        <f t="shared" si="62"/>
        <v>2.4841812704289122E+26</v>
      </c>
      <c r="BPE53" s="708">
        <f t="shared" si="62"/>
        <v>2.5587067085417795E+26</v>
      </c>
      <c r="BPF53" s="708">
        <f t="shared" si="62"/>
        <v>2.6354679097980328E+26</v>
      </c>
      <c r="BPG53" s="708">
        <f t="shared" si="62"/>
        <v>2.7145319470919738E+26</v>
      </c>
      <c r="BPH53" s="708">
        <f t="shared" si="62"/>
        <v>2.795967905504733E+26</v>
      </c>
      <c r="BPI53" s="708">
        <f t="shared" si="62"/>
        <v>2.8798469426698751E+26</v>
      </c>
      <c r="BPJ53" s="708">
        <f t="shared" si="62"/>
        <v>2.9662423509499714E+26</v>
      </c>
      <c r="BPK53" s="708">
        <f t="shared" si="62"/>
        <v>3.0552296214784707E+26</v>
      </c>
      <c r="BPL53" s="708">
        <f t="shared" si="62"/>
        <v>3.1468865101228247E+26</v>
      </c>
      <c r="BPM53" s="708">
        <f t="shared" si="62"/>
        <v>3.2412931054265097E+26</v>
      </c>
      <c r="BPN53" s="708">
        <f t="shared" si="62"/>
        <v>3.3385318985893053E+26</v>
      </c>
      <c r="BPO53" s="708">
        <f t="shared" si="62"/>
        <v>3.4386878555469847E+26</v>
      </c>
      <c r="BPP53" s="708">
        <f t="shared" si="62"/>
        <v>3.5418484912133943E+26</v>
      </c>
      <c r="BPQ53" s="708">
        <f t="shared" si="62"/>
        <v>3.6481039459497961E+26</v>
      </c>
      <c r="BPR53" s="708">
        <f t="shared" si="62"/>
        <v>3.7575470643282899E+26</v>
      </c>
      <c r="BPS53" s="708">
        <f t="shared" si="62"/>
        <v>3.8702734762581386E+26</v>
      </c>
      <c r="BPT53" s="708">
        <f t="shared" si="62"/>
        <v>3.9863816805458832E+26</v>
      </c>
      <c r="BPU53" s="708">
        <f t="shared" si="62"/>
        <v>4.1059731309622598E+26</v>
      </c>
      <c r="BPV53" s="708">
        <f t="shared" si="62"/>
        <v>4.2291523248911279E+26</v>
      </c>
      <c r="BPW53" s="708">
        <f t="shared" si="62"/>
        <v>4.3560268946378619E+26</v>
      </c>
      <c r="BPX53" s="708">
        <f t="shared" si="62"/>
        <v>4.4867077014769979E+26</v>
      </c>
      <c r="BPY53" s="708">
        <f t="shared" si="62"/>
        <v>4.6213089325213079E+26</v>
      </c>
      <c r="BPZ53" s="708">
        <f t="shared" si="62"/>
        <v>4.7599482004969473E+26</v>
      </c>
      <c r="BQA53" s="708">
        <f t="shared" si="62"/>
        <v>4.9027466465118559E+26</v>
      </c>
      <c r="BQB53" s="708">
        <f t="shared" si="62"/>
        <v>5.0498290459072114E+26</v>
      </c>
      <c r="BQC53" s="708">
        <f t="shared" si="62"/>
        <v>5.2013239172844276E+26</v>
      </c>
      <c r="BQD53" s="708">
        <f t="shared" ref="BQD53:BSO53" si="63">BQC53*$C$53</f>
        <v>5.3573636348029605E+26</v>
      </c>
      <c r="BQE53" s="708">
        <f t="shared" si="63"/>
        <v>5.5180845438470493E+26</v>
      </c>
      <c r="BQF53" s="708">
        <f t="shared" si="63"/>
        <v>5.6836270801624609E+26</v>
      </c>
      <c r="BQG53" s="708">
        <f t="shared" si="63"/>
        <v>5.8541358925673347E+26</v>
      </c>
      <c r="BQH53" s="708">
        <f t="shared" si="63"/>
        <v>6.0297599693443549E+26</v>
      </c>
      <c r="BQI53" s="708">
        <f t="shared" si="63"/>
        <v>6.2106527684246863E+26</v>
      </c>
      <c r="BQJ53" s="708">
        <f t="shared" si="63"/>
        <v>6.3969723514774271E+26</v>
      </c>
      <c r="BQK53" s="708">
        <f t="shared" si="63"/>
        <v>6.5888815220217497E+26</v>
      </c>
      <c r="BQL53" s="708">
        <f t="shared" si="63"/>
        <v>6.7865479676824023E+26</v>
      </c>
      <c r="BQM53" s="708">
        <f t="shared" si="63"/>
        <v>6.9901444067128751E+26</v>
      </c>
      <c r="BQN53" s="708">
        <f t="shared" si="63"/>
        <v>7.1998487389142618E+26</v>
      </c>
      <c r="BQO53" s="708">
        <f t="shared" si="63"/>
        <v>7.4158442010816904E+26</v>
      </c>
      <c r="BQP53" s="708">
        <f t="shared" si="63"/>
        <v>7.6383195271141411E+26</v>
      </c>
      <c r="BQQ53" s="708">
        <f t="shared" si="63"/>
        <v>7.867469112927565E+26</v>
      </c>
      <c r="BQR53" s="708">
        <f t="shared" si="63"/>
        <v>8.1034931863153923E+26</v>
      </c>
      <c r="BQS53" s="708">
        <f t="shared" si="63"/>
        <v>8.3465979819048541E+26</v>
      </c>
      <c r="BQT53" s="708">
        <f t="shared" si="63"/>
        <v>8.5969959213619999E+26</v>
      </c>
      <c r="BQU53" s="708">
        <f t="shared" si="63"/>
        <v>8.8549057990028597E+26</v>
      </c>
      <c r="BQV53" s="708">
        <f t="shared" si="63"/>
        <v>9.1205529729729462E+26</v>
      </c>
      <c r="BQW53" s="708">
        <f t="shared" si="63"/>
        <v>9.3941695621621355E+26</v>
      </c>
      <c r="BQX53" s="708">
        <f t="shared" si="63"/>
        <v>9.6759946490269991E+26</v>
      </c>
      <c r="BQY53" s="708">
        <f t="shared" si="63"/>
        <v>9.9662744884978088E+26</v>
      </c>
      <c r="BQZ53" s="708">
        <f t="shared" si="63"/>
        <v>1.0265262723152743E+27</v>
      </c>
      <c r="BRA53" s="708">
        <f t="shared" si="63"/>
        <v>1.0573220604847326E+27</v>
      </c>
      <c r="BRB53" s="708">
        <f t="shared" si="63"/>
        <v>1.0890417222992746E+27</v>
      </c>
      <c r="BRC53" s="708">
        <f t="shared" si="63"/>
        <v>1.1217129739682528E+27</v>
      </c>
      <c r="BRD53" s="708">
        <f t="shared" si="63"/>
        <v>1.1553643631873005E+27</v>
      </c>
      <c r="BRE53" s="708">
        <f t="shared" si="63"/>
        <v>1.1900252940829195E+27</v>
      </c>
      <c r="BRF53" s="708">
        <f t="shared" si="63"/>
        <v>1.2257260529054072E+27</v>
      </c>
      <c r="BRG53" s="708">
        <f t="shared" si="63"/>
        <v>1.2624978344925695E+27</v>
      </c>
      <c r="BRH53" s="708">
        <f t="shared" si="63"/>
        <v>1.3003727695273468E+27</v>
      </c>
      <c r="BRI53" s="708">
        <f t="shared" si="63"/>
        <v>1.3393839526131671E+27</v>
      </c>
      <c r="BRJ53" s="708">
        <f t="shared" si="63"/>
        <v>1.3795654711915621E+27</v>
      </c>
      <c r="BRK53" s="708">
        <f t="shared" si="63"/>
        <v>1.420952435327309E+27</v>
      </c>
      <c r="BRL53" s="708">
        <f t="shared" si="63"/>
        <v>1.4635810083871282E+27</v>
      </c>
      <c r="BRM53" s="708">
        <f t="shared" si="63"/>
        <v>1.5074884386387421E+27</v>
      </c>
      <c r="BRN53" s="708">
        <f t="shared" si="63"/>
        <v>1.5527130917979045E+27</v>
      </c>
      <c r="BRO53" s="708">
        <f t="shared" si="63"/>
        <v>1.5992944845518417E+27</v>
      </c>
      <c r="BRP53" s="708">
        <f t="shared" si="63"/>
        <v>1.647273319088397E+27</v>
      </c>
      <c r="BRQ53" s="708">
        <f t="shared" si="63"/>
        <v>1.696691518661049E+27</v>
      </c>
      <c r="BRR53" s="708">
        <f t="shared" si="63"/>
        <v>1.7475922642208806E+27</v>
      </c>
      <c r="BRS53" s="708">
        <f t="shared" si="63"/>
        <v>1.8000200321475072E+27</v>
      </c>
      <c r="BRT53" s="708">
        <f t="shared" si="63"/>
        <v>1.8540206331119323E+27</v>
      </c>
      <c r="BRU53" s="708">
        <f t="shared" si="63"/>
        <v>1.9096412521052903E+27</v>
      </c>
      <c r="BRV53" s="708">
        <f t="shared" si="63"/>
        <v>1.966930489668449E+27</v>
      </c>
      <c r="BRW53" s="708">
        <f t="shared" si="63"/>
        <v>2.0259384043585024E+27</v>
      </c>
      <c r="BRX53" s="708">
        <f t="shared" si="63"/>
        <v>2.0867165564892575E+27</v>
      </c>
      <c r="BRY53" s="708">
        <f t="shared" si="63"/>
        <v>2.1493180531839354E+27</v>
      </c>
      <c r="BRZ53" s="708">
        <f t="shared" si="63"/>
        <v>2.2137975947794533E+27</v>
      </c>
      <c r="BSA53" s="708">
        <f t="shared" si="63"/>
        <v>2.280211522622837E+27</v>
      </c>
      <c r="BSB53" s="708">
        <f t="shared" si="63"/>
        <v>2.3486178683015221E+27</v>
      </c>
      <c r="BSC53" s="708">
        <f t="shared" si="63"/>
        <v>2.4190764043505678E+27</v>
      </c>
      <c r="BSD53" s="708">
        <f t="shared" si="63"/>
        <v>2.4916486964810847E+27</v>
      </c>
      <c r="BSE53" s="708">
        <f t="shared" si="63"/>
        <v>2.5663981573755171E+27</v>
      </c>
      <c r="BSF53" s="708">
        <f t="shared" si="63"/>
        <v>2.6433901020967825E+27</v>
      </c>
      <c r="BSG53" s="708">
        <f t="shared" si="63"/>
        <v>2.7226918051596863E+27</v>
      </c>
      <c r="BSH53" s="708">
        <f t="shared" si="63"/>
        <v>2.8043725593144767E+27</v>
      </c>
      <c r="BSI53" s="708">
        <f t="shared" si="63"/>
        <v>2.8885037360939109E+27</v>
      </c>
      <c r="BSJ53" s="708">
        <f t="shared" si="63"/>
        <v>2.9751588481767281E+27</v>
      </c>
      <c r="BSK53" s="708">
        <f t="shared" si="63"/>
        <v>3.06441361362203E+27</v>
      </c>
      <c r="BSL53" s="708">
        <f t="shared" si="63"/>
        <v>3.1563460220306908E+27</v>
      </c>
      <c r="BSM53" s="708">
        <f t="shared" si="63"/>
        <v>3.2510364026916114E+27</v>
      </c>
      <c r="BSN53" s="708">
        <f t="shared" si="63"/>
        <v>3.34856749477236E+27</v>
      </c>
      <c r="BSO53" s="708">
        <f t="shared" si="63"/>
        <v>3.4490245196155311E+27</v>
      </c>
      <c r="BSP53" s="708">
        <f t="shared" ref="BSP53:BVA53" si="64">BSO53*$C$53</f>
        <v>3.5524952552039972E+27</v>
      </c>
      <c r="BSQ53" s="708">
        <f t="shared" si="64"/>
        <v>3.659070112860117E+27</v>
      </c>
      <c r="BSR53" s="708">
        <f t="shared" si="64"/>
        <v>3.7688422162459206E+27</v>
      </c>
      <c r="BSS53" s="708">
        <f t="shared" si="64"/>
        <v>3.8819074827332986E+27</v>
      </c>
      <c r="BST53" s="708">
        <f t="shared" si="64"/>
        <v>3.9983647072152975E+27</v>
      </c>
      <c r="BSU53" s="708">
        <f t="shared" si="64"/>
        <v>4.1183156484317566E+27</v>
      </c>
      <c r="BSV53" s="708">
        <f t="shared" si="64"/>
        <v>4.2418651178847096E+27</v>
      </c>
      <c r="BSW53" s="708">
        <f t="shared" si="64"/>
        <v>4.3691210714212511E+27</v>
      </c>
      <c r="BSX53" s="708">
        <f t="shared" si="64"/>
        <v>4.5001947035638885E+27</v>
      </c>
      <c r="BSY53" s="708">
        <f t="shared" si="64"/>
        <v>4.6352005446708052E+27</v>
      </c>
      <c r="BSZ53" s="708">
        <f t="shared" si="64"/>
        <v>4.7742565610109297E+27</v>
      </c>
      <c r="BTA53" s="708">
        <f t="shared" si="64"/>
        <v>4.9174842578412577E+27</v>
      </c>
      <c r="BTB53" s="708">
        <f t="shared" si="64"/>
        <v>5.0650087855764953E+27</v>
      </c>
      <c r="BTC53" s="708">
        <f t="shared" si="64"/>
        <v>5.2169590491437905E+27</v>
      </c>
      <c r="BTD53" s="708">
        <f t="shared" si="64"/>
        <v>5.3734678206181038E+27</v>
      </c>
      <c r="BTE53" s="708">
        <f t="shared" si="64"/>
        <v>5.5346718552366473E+27</v>
      </c>
      <c r="BTF53" s="708">
        <f t="shared" si="64"/>
        <v>5.7007120108937465E+27</v>
      </c>
      <c r="BTG53" s="708">
        <f t="shared" si="64"/>
        <v>5.8717333712205592E+27</v>
      </c>
      <c r="BTH53" s="708">
        <f t="shared" si="64"/>
        <v>6.0478853723571762E+27</v>
      </c>
      <c r="BTI53" s="708">
        <f t="shared" si="64"/>
        <v>6.2293219335278911E+27</v>
      </c>
      <c r="BTJ53" s="708">
        <f t="shared" si="64"/>
        <v>6.4162015915337275E+27</v>
      </c>
      <c r="BTK53" s="708">
        <f t="shared" si="64"/>
        <v>6.6086876392797397E+27</v>
      </c>
      <c r="BTL53" s="708">
        <f t="shared" si="64"/>
        <v>6.806948268458132E+27</v>
      </c>
      <c r="BTM53" s="708">
        <f t="shared" si="64"/>
        <v>7.0111567165118766E+27</v>
      </c>
      <c r="BTN53" s="708">
        <f t="shared" si="64"/>
        <v>7.221491418007233E+27</v>
      </c>
      <c r="BTO53" s="708">
        <f t="shared" si="64"/>
        <v>7.4381361605474505E+27</v>
      </c>
      <c r="BTP53" s="708">
        <f t="shared" si="64"/>
        <v>7.6612802453638739E+27</v>
      </c>
      <c r="BTQ53" s="708">
        <f t="shared" si="64"/>
        <v>7.8911186527247898E+27</v>
      </c>
      <c r="BTR53" s="708">
        <f t="shared" si="64"/>
        <v>8.1278522123065338E+27</v>
      </c>
      <c r="BTS53" s="708">
        <f t="shared" si="64"/>
        <v>8.3716877786757299E+27</v>
      </c>
      <c r="BTT53" s="708">
        <f t="shared" si="64"/>
        <v>8.6228384120360023E+27</v>
      </c>
      <c r="BTU53" s="708">
        <f t="shared" si="64"/>
        <v>8.8815235643970823E+27</v>
      </c>
      <c r="BTV53" s="708">
        <f t="shared" si="64"/>
        <v>9.1479692713289951E+27</v>
      </c>
      <c r="BTW53" s="708">
        <f t="shared" si="64"/>
        <v>9.4224083494688657E+27</v>
      </c>
      <c r="BTX53" s="708">
        <f t="shared" si="64"/>
        <v>9.7050805999529316E+27</v>
      </c>
      <c r="BTY53" s="708">
        <f t="shared" si="64"/>
        <v>9.9962330179515199E+27</v>
      </c>
      <c r="BTZ53" s="708">
        <f t="shared" si="64"/>
        <v>1.0296120008490066E+28</v>
      </c>
      <c r="BUA53" s="708">
        <f t="shared" si="64"/>
        <v>1.0605003608744767E+28</v>
      </c>
      <c r="BUB53" s="708">
        <f t="shared" si="64"/>
        <v>1.092315371700711E+28</v>
      </c>
      <c r="BUC53" s="708">
        <f t="shared" si="64"/>
        <v>1.1250848328517324E+28</v>
      </c>
      <c r="BUD53" s="708">
        <f t="shared" si="64"/>
        <v>1.1588373778372845E+28</v>
      </c>
      <c r="BUE53" s="708">
        <f t="shared" si="64"/>
        <v>1.1936024991724031E+28</v>
      </c>
      <c r="BUF53" s="708">
        <f t="shared" si="64"/>
        <v>1.2294105741475752E+28</v>
      </c>
      <c r="BUG53" s="708">
        <f t="shared" si="64"/>
        <v>1.2662928913720025E+28</v>
      </c>
      <c r="BUH53" s="708">
        <f t="shared" si="64"/>
        <v>1.3042816781131626E+28</v>
      </c>
      <c r="BUI53" s="708">
        <f t="shared" si="64"/>
        <v>1.3434101284565575E+28</v>
      </c>
      <c r="BUJ53" s="708">
        <f t="shared" si="64"/>
        <v>1.3837124323102542E+28</v>
      </c>
      <c r="BUK53" s="708">
        <f t="shared" si="64"/>
        <v>1.4252238052795618E+28</v>
      </c>
      <c r="BUL53" s="708">
        <f t="shared" si="64"/>
        <v>1.4679805194379487E+28</v>
      </c>
      <c r="BUM53" s="708">
        <f t="shared" si="64"/>
        <v>1.5120199350210872E+28</v>
      </c>
      <c r="BUN53" s="708">
        <f t="shared" si="64"/>
        <v>1.5573805330717198E+28</v>
      </c>
      <c r="BUO53" s="708">
        <f t="shared" si="64"/>
        <v>1.6041019490638714E+28</v>
      </c>
      <c r="BUP53" s="708">
        <f t="shared" si="64"/>
        <v>1.6522250075357875E+28</v>
      </c>
      <c r="BUQ53" s="708">
        <f t="shared" si="64"/>
        <v>1.7017917577618611E+28</v>
      </c>
      <c r="BUR53" s="708">
        <f t="shared" si="64"/>
        <v>1.752845510494717E+28</v>
      </c>
      <c r="BUS53" s="708">
        <f t="shared" si="64"/>
        <v>1.8054308758095587E+28</v>
      </c>
      <c r="BUT53" s="708">
        <f t="shared" si="64"/>
        <v>1.8595938020838455E+28</v>
      </c>
      <c r="BUU53" s="708">
        <f t="shared" si="64"/>
        <v>1.9153816161463609E+28</v>
      </c>
      <c r="BUV53" s="708">
        <f t="shared" si="64"/>
        <v>1.9728430646307518E+28</v>
      </c>
      <c r="BUW53" s="708">
        <f t="shared" si="64"/>
        <v>2.0320283565696745E+28</v>
      </c>
      <c r="BUX53" s="708">
        <f t="shared" si="64"/>
        <v>2.0929892072667646E+28</v>
      </c>
      <c r="BUY53" s="708">
        <f t="shared" si="64"/>
        <v>2.1557788834847675E+28</v>
      </c>
      <c r="BUZ53" s="708">
        <f t="shared" si="64"/>
        <v>2.2204522499893107E+28</v>
      </c>
      <c r="BVA53" s="708">
        <f t="shared" si="64"/>
        <v>2.2870658174889899E+28</v>
      </c>
      <c r="BVB53" s="708">
        <f t="shared" ref="BVB53:BXM53" si="65">BVA53*$C$53</f>
        <v>2.3556777920136598E+28</v>
      </c>
      <c r="BVC53" s="708">
        <f t="shared" si="65"/>
        <v>2.4263481257740696E+28</v>
      </c>
      <c r="BVD53" s="708">
        <f t="shared" si="65"/>
        <v>2.4991385695472915E+28</v>
      </c>
      <c r="BVE53" s="708">
        <f t="shared" si="65"/>
        <v>2.5741127266337104E+28</v>
      </c>
      <c r="BVF53" s="708">
        <f t="shared" si="65"/>
        <v>2.6513361084327218E+28</v>
      </c>
      <c r="BVG53" s="708">
        <f t="shared" si="65"/>
        <v>2.7308761916857034E+28</v>
      </c>
      <c r="BVH53" s="708">
        <f t="shared" si="65"/>
        <v>2.8128024774362747E+28</v>
      </c>
      <c r="BVI53" s="708">
        <f t="shared" si="65"/>
        <v>2.8971865517593633E+28</v>
      </c>
      <c r="BVJ53" s="708">
        <f t="shared" si="65"/>
        <v>2.9841021483121441E+28</v>
      </c>
      <c r="BVK53" s="708">
        <f t="shared" si="65"/>
        <v>3.0736252127615084E+28</v>
      </c>
      <c r="BVL53" s="708">
        <f t="shared" si="65"/>
        <v>3.1658339691443536E+28</v>
      </c>
      <c r="BVM53" s="708">
        <f t="shared" si="65"/>
        <v>3.2608089882186841E+28</v>
      </c>
      <c r="BVN53" s="708">
        <f t="shared" si="65"/>
        <v>3.3586332578652448E+28</v>
      </c>
      <c r="BVO53" s="708">
        <f t="shared" si="65"/>
        <v>3.4593922556012021E+28</v>
      </c>
      <c r="BVP53" s="708">
        <f t="shared" si="65"/>
        <v>3.5631740232692384E+28</v>
      </c>
      <c r="BVQ53" s="708">
        <f t="shared" si="65"/>
        <v>3.6700692439673157E+28</v>
      </c>
      <c r="BVR53" s="708">
        <f t="shared" si="65"/>
        <v>3.7801713212863353E+28</v>
      </c>
      <c r="BVS53" s="708">
        <f t="shared" si="65"/>
        <v>3.8935764609249254E+28</v>
      </c>
      <c r="BVT53" s="708">
        <f t="shared" si="65"/>
        <v>4.0103837547526729E+28</v>
      </c>
      <c r="BVU53" s="708">
        <f t="shared" si="65"/>
        <v>4.1306952673952533E+28</v>
      </c>
      <c r="BVV53" s="708">
        <f t="shared" si="65"/>
        <v>4.2546161254171114E+28</v>
      </c>
      <c r="BVW53" s="708">
        <f t="shared" si="65"/>
        <v>4.382254609179625E+28</v>
      </c>
      <c r="BVX53" s="708">
        <f t="shared" si="65"/>
        <v>4.5137222474550143E+28</v>
      </c>
      <c r="BVY53" s="708">
        <f t="shared" si="65"/>
        <v>4.6491339148786648E+28</v>
      </c>
      <c r="BVZ53" s="708">
        <f t="shared" si="65"/>
        <v>4.7886079323250251E+28</v>
      </c>
      <c r="BWA53" s="708">
        <f t="shared" si="65"/>
        <v>4.9322661702947762E+28</v>
      </c>
      <c r="BWB53" s="708">
        <f t="shared" si="65"/>
        <v>5.0802341554036198E+28</v>
      </c>
      <c r="BWC53" s="708">
        <f t="shared" si="65"/>
        <v>5.2326411800657287E+28</v>
      </c>
      <c r="BWD53" s="708">
        <f t="shared" si="65"/>
        <v>5.3896204154677011E+28</v>
      </c>
      <c r="BWE53" s="708">
        <f t="shared" si="65"/>
        <v>5.5513090279317325E+28</v>
      </c>
      <c r="BWF53" s="708">
        <f t="shared" si="65"/>
        <v>5.7178482987696844E+28</v>
      </c>
      <c r="BWG53" s="708">
        <f t="shared" si="65"/>
        <v>5.8893837477327747E+28</v>
      </c>
      <c r="BWH53" s="708">
        <f t="shared" si="65"/>
        <v>6.0660652601647583E+28</v>
      </c>
      <c r="BWI53" s="708">
        <f t="shared" si="65"/>
        <v>6.248047217969701E+28</v>
      </c>
      <c r="BWJ53" s="708">
        <f t="shared" si="65"/>
        <v>6.4354886345087923E+28</v>
      </c>
      <c r="BWK53" s="708">
        <f t="shared" si="65"/>
        <v>6.6285532935440564E+28</v>
      </c>
      <c r="BWL53" s="708">
        <f t="shared" si="65"/>
        <v>6.8274098923503781E+28</v>
      </c>
      <c r="BWM53" s="708">
        <f t="shared" si="65"/>
        <v>7.0322321891208894E+28</v>
      </c>
      <c r="BWN53" s="708">
        <f t="shared" si="65"/>
        <v>7.2431991547945167E+28</v>
      </c>
      <c r="BWO53" s="708">
        <f t="shared" si="65"/>
        <v>7.460495129438352E+28</v>
      </c>
      <c r="BWP53" s="708">
        <f t="shared" si="65"/>
        <v>7.6843099833215031E+28</v>
      </c>
      <c r="BWQ53" s="708">
        <f t="shared" si="65"/>
        <v>7.9148392828211484E+28</v>
      </c>
      <c r="BWR53" s="708">
        <f t="shared" si="65"/>
        <v>8.1522844613057838E+28</v>
      </c>
      <c r="BWS53" s="708">
        <f t="shared" si="65"/>
        <v>8.3968529951449584E+28</v>
      </c>
      <c r="BWT53" s="708">
        <f t="shared" si="65"/>
        <v>8.6487585849993079E+28</v>
      </c>
      <c r="BWU53" s="708">
        <f t="shared" si="65"/>
        <v>8.9082213425492881E+28</v>
      </c>
      <c r="BWV53" s="708">
        <f t="shared" si="65"/>
        <v>9.1754679828257674E+28</v>
      </c>
      <c r="BWW53" s="708">
        <f t="shared" si="65"/>
        <v>9.4507320223105414E+28</v>
      </c>
      <c r="BWX53" s="708">
        <f t="shared" si="65"/>
        <v>9.734253982979858E+28</v>
      </c>
      <c r="BWY53" s="708">
        <f t="shared" si="65"/>
        <v>1.0026281602469254E+29</v>
      </c>
      <c r="BWZ53" s="708">
        <f t="shared" si="65"/>
        <v>1.0327070050543332E+29</v>
      </c>
      <c r="BXA53" s="708">
        <f t="shared" si="65"/>
        <v>1.0636882152059631E+29</v>
      </c>
      <c r="BXB53" s="708">
        <f t="shared" si="65"/>
        <v>1.0955988616621421E+29</v>
      </c>
      <c r="BXC53" s="708">
        <f t="shared" si="65"/>
        <v>1.1284668275120064E+29</v>
      </c>
      <c r="BXD53" s="708">
        <f t="shared" si="65"/>
        <v>1.1623208323373667E+29</v>
      </c>
      <c r="BXE53" s="708">
        <f t="shared" si="65"/>
        <v>1.1971904573074877E+29</v>
      </c>
      <c r="BXF53" s="708">
        <f t="shared" si="65"/>
        <v>1.2331061710267124E+29</v>
      </c>
      <c r="BXG53" s="708">
        <f t="shared" si="65"/>
        <v>1.2700993561575139E+29</v>
      </c>
      <c r="BXH53" s="708">
        <f t="shared" si="65"/>
        <v>1.3082023368422394E+29</v>
      </c>
      <c r="BXI53" s="708">
        <f t="shared" si="65"/>
        <v>1.3474484069475066E+29</v>
      </c>
      <c r="BXJ53" s="708">
        <f t="shared" si="65"/>
        <v>1.3878718591559318E+29</v>
      </c>
      <c r="BXK53" s="708">
        <f t="shared" si="65"/>
        <v>1.4295080149306098E+29</v>
      </c>
      <c r="BXL53" s="708">
        <f t="shared" si="65"/>
        <v>1.4723932553785282E+29</v>
      </c>
      <c r="BXM53" s="708">
        <f t="shared" si="65"/>
        <v>1.516565053039884E+29</v>
      </c>
      <c r="BXN53" s="708">
        <f t="shared" ref="BXN53:BZY53" si="66">BXM53*$C$53</f>
        <v>1.5620620046310805E+29</v>
      </c>
      <c r="BXO53" s="708">
        <f t="shared" si="66"/>
        <v>1.608923864770013E+29</v>
      </c>
      <c r="BXP53" s="708">
        <f t="shared" si="66"/>
        <v>1.6571915807131134E+29</v>
      </c>
      <c r="BXQ53" s="708">
        <f t="shared" si="66"/>
        <v>1.7069073281345068E+29</v>
      </c>
      <c r="BXR53" s="708">
        <f t="shared" si="66"/>
        <v>1.7581145479785421E+29</v>
      </c>
      <c r="BXS53" s="708">
        <f t="shared" si="66"/>
        <v>1.8108579844178985E+29</v>
      </c>
      <c r="BXT53" s="708">
        <f t="shared" si="66"/>
        <v>1.8651837239504356E+29</v>
      </c>
      <c r="BXU53" s="708">
        <f t="shared" si="66"/>
        <v>1.9211392356689488E+29</v>
      </c>
      <c r="BXV53" s="708">
        <f t="shared" si="66"/>
        <v>1.9787734127390173E+29</v>
      </c>
      <c r="BXW53" s="708">
        <f t="shared" si="66"/>
        <v>2.0381366151211879E+29</v>
      </c>
      <c r="BXX53" s="708">
        <f t="shared" si="66"/>
        <v>2.0992807135748237E+29</v>
      </c>
      <c r="BXY53" s="708">
        <f t="shared" si="66"/>
        <v>2.1622591349820686E+29</v>
      </c>
      <c r="BXZ53" s="708">
        <f t="shared" si="66"/>
        <v>2.2271269090315306E+29</v>
      </c>
      <c r="BYA53" s="708">
        <f t="shared" si="66"/>
        <v>2.2939407163024765E+29</v>
      </c>
      <c r="BYB53" s="708">
        <f t="shared" si="66"/>
        <v>2.362758937791551E+29</v>
      </c>
      <c r="BYC53" s="708">
        <f t="shared" si="66"/>
        <v>2.4336417059252977E+29</v>
      </c>
      <c r="BYD53" s="708">
        <f t="shared" si="66"/>
        <v>2.5066509571030568E+29</v>
      </c>
      <c r="BYE53" s="708">
        <f t="shared" si="66"/>
        <v>2.5818504858161486E+29</v>
      </c>
      <c r="BYF53" s="708">
        <f t="shared" si="66"/>
        <v>2.6593060003906331E+29</v>
      </c>
      <c r="BYG53" s="708">
        <f t="shared" si="66"/>
        <v>2.739085180402352E+29</v>
      </c>
      <c r="BYH53" s="708">
        <f t="shared" si="66"/>
        <v>2.8212577358144225E+29</v>
      </c>
      <c r="BYI53" s="708">
        <f t="shared" si="66"/>
        <v>2.9058954678888552E+29</v>
      </c>
      <c r="BYJ53" s="708">
        <f t="shared" si="66"/>
        <v>2.9930723319255209E+29</v>
      </c>
      <c r="BYK53" s="708">
        <f t="shared" si="66"/>
        <v>3.0828645018832866E+29</v>
      </c>
      <c r="BYL53" s="708">
        <f t="shared" si="66"/>
        <v>3.1753504369397853E+29</v>
      </c>
      <c r="BYM53" s="708">
        <f t="shared" si="66"/>
        <v>3.2706109500479792E+29</v>
      </c>
      <c r="BYN53" s="708">
        <f t="shared" si="66"/>
        <v>3.3687292785494186E+29</v>
      </c>
      <c r="BYO53" s="708">
        <f t="shared" si="66"/>
        <v>3.4697911569059011E+29</v>
      </c>
      <c r="BYP53" s="708">
        <f t="shared" si="66"/>
        <v>3.5738848916130779E+29</v>
      </c>
      <c r="BYQ53" s="708">
        <f t="shared" si="66"/>
        <v>3.6811014383614704E+29</v>
      </c>
      <c r="BYR53" s="708">
        <f t="shared" si="66"/>
        <v>3.7915344815123146E+29</v>
      </c>
      <c r="BYS53" s="708">
        <f t="shared" si="66"/>
        <v>3.9052805159576842E+29</v>
      </c>
      <c r="BYT53" s="708">
        <f t="shared" si="66"/>
        <v>4.0224389314364145E+29</v>
      </c>
      <c r="BYU53" s="708">
        <f t="shared" si="66"/>
        <v>4.143112099379507E+29</v>
      </c>
      <c r="BYV53" s="708">
        <f t="shared" si="66"/>
        <v>4.2674054623608921E+29</v>
      </c>
      <c r="BYW53" s="708">
        <f t="shared" si="66"/>
        <v>4.3954276262317187E+29</v>
      </c>
      <c r="BYX53" s="708">
        <f t="shared" si="66"/>
        <v>4.5272904550186706E+29</v>
      </c>
      <c r="BYY53" s="708">
        <f t="shared" si="66"/>
        <v>4.6631091686692305E+29</v>
      </c>
      <c r="BYZ53" s="708">
        <f t="shared" si="66"/>
        <v>4.8030024437293078E+29</v>
      </c>
      <c r="BZA53" s="708">
        <f t="shared" si="66"/>
        <v>4.9470925170411869E+29</v>
      </c>
      <c r="BZB53" s="708">
        <f t="shared" si="66"/>
        <v>5.0955052925524226E+29</v>
      </c>
      <c r="BZC53" s="708">
        <f t="shared" si="66"/>
        <v>5.2483704513289952E+29</v>
      </c>
      <c r="BZD53" s="708">
        <f t="shared" si="66"/>
        <v>5.4058215648688654E+29</v>
      </c>
      <c r="BZE53" s="708">
        <f t="shared" si="66"/>
        <v>5.5679962118149312E+29</v>
      </c>
      <c r="BZF53" s="708">
        <f t="shared" si="66"/>
        <v>5.7350360981693796E+29</v>
      </c>
      <c r="BZG53" s="708">
        <f t="shared" si="66"/>
        <v>5.907087181114461E+29</v>
      </c>
      <c r="BZH53" s="708">
        <f t="shared" si="66"/>
        <v>6.0842997965478946E+29</v>
      </c>
      <c r="BZI53" s="708">
        <f t="shared" si="66"/>
        <v>6.2668287904443316E+29</v>
      </c>
      <c r="BZJ53" s="708">
        <f t="shared" si="66"/>
        <v>6.4548336541576612E+29</v>
      </c>
      <c r="BZK53" s="708">
        <f t="shared" si="66"/>
        <v>6.6484786637823918E+29</v>
      </c>
      <c r="BZL53" s="708">
        <f t="shared" si="66"/>
        <v>6.8479330236958637E+29</v>
      </c>
      <c r="BZM53" s="708">
        <f t="shared" si="66"/>
        <v>7.0533710144067399E+29</v>
      </c>
      <c r="BZN53" s="708">
        <f t="shared" si="66"/>
        <v>7.2649721448389425E+29</v>
      </c>
      <c r="BZO53" s="708">
        <f t="shared" si="66"/>
        <v>7.4829213091841114E+29</v>
      </c>
      <c r="BZP53" s="708">
        <f t="shared" si="66"/>
        <v>7.7074089484596349E+29</v>
      </c>
      <c r="BZQ53" s="708">
        <f t="shared" si="66"/>
        <v>7.9386312169134245E+29</v>
      </c>
      <c r="BZR53" s="708">
        <f t="shared" si="66"/>
        <v>8.1767901534208274E+29</v>
      </c>
      <c r="BZS53" s="708">
        <f t="shared" si="66"/>
        <v>8.4220938580234529E+29</v>
      </c>
      <c r="BZT53" s="708">
        <f t="shared" si="66"/>
        <v>8.674756673764157E+29</v>
      </c>
      <c r="BZU53" s="708">
        <f t="shared" si="66"/>
        <v>8.9349993739770815E+29</v>
      </c>
      <c r="BZV53" s="708">
        <f t="shared" si="66"/>
        <v>9.2030493551963943E+29</v>
      </c>
      <c r="BZW53" s="708">
        <f t="shared" si="66"/>
        <v>9.4791408358522859E+29</v>
      </c>
      <c r="BZX53" s="708">
        <f t="shared" si="66"/>
        <v>9.7635150609278545E+29</v>
      </c>
      <c r="BZY53" s="708">
        <f t="shared" si="66"/>
        <v>1.0056420512755691E+30</v>
      </c>
      <c r="BZZ53" s="708">
        <f t="shared" ref="BZZ53:CCK53" si="67">BZY53*$C$53</f>
        <v>1.0358113128138362E+30</v>
      </c>
      <c r="CAA53" s="708">
        <f t="shared" si="67"/>
        <v>1.0668856521982513E+30</v>
      </c>
      <c r="CAB53" s="708">
        <f t="shared" si="67"/>
        <v>1.0988922217641988E+30</v>
      </c>
      <c r="CAC53" s="708">
        <f t="shared" si="67"/>
        <v>1.1318589884171248E+30</v>
      </c>
      <c r="CAD53" s="708">
        <f t="shared" si="67"/>
        <v>1.1658147580696385E+30</v>
      </c>
      <c r="CAE53" s="708">
        <f t="shared" si="67"/>
        <v>1.2007892008117277E+30</v>
      </c>
      <c r="CAF53" s="708">
        <f t="shared" si="67"/>
        <v>1.2368128768360795E+30</v>
      </c>
      <c r="CAG53" s="708">
        <f t="shared" si="67"/>
        <v>1.2739172631411619E+30</v>
      </c>
      <c r="CAH53" s="708">
        <f t="shared" si="67"/>
        <v>1.3121347810353967E+30</v>
      </c>
      <c r="CAI53" s="708">
        <f t="shared" si="67"/>
        <v>1.3514988244664587E+30</v>
      </c>
      <c r="CAJ53" s="708">
        <f t="shared" si="67"/>
        <v>1.3920437892004526E+30</v>
      </c>
      <c r="CAK53" s="708">
        <f t="shared" si="67"/>
        <v>1.4338051028764662E+30</v>
      </c>
      <c r="CAL53" s="708">
        <f t="shared" si="67"/>
        <v>1.4768192559627604E+30</v>
      </c>
      <c r="CAM53" s="708">
        <f t="shared" si="67"/>
        <v>1.5211238336416431E+30</v>
      </c>
      <c r="CAN53" s="708">
        <f t="shared" si="67"/>
        <v>1.5667575486508925E+30</v>
      </c>
      <c r="CAO53" s="708">
        <f t="shared" si="67"/>
        <v>1.6137602751104192E+30</v>
      </c>
      <c r="CAP53" s="708">
        <f t="shared" si="67"/>
        <v>1.662173083363732E+30</v>
      </c>
      <c r="CAQ53" s="708">
        <f t="shared" si="67"/>
        <v>1.7120382758646439E+30</v>
      </c>
      <c r="CAR53" s="708">
        <f t="shared" si="67"/>
        <v>1.7633994241405834E+30</v>
      </c>
      <c r="CAS53" s="708">
        <f t="shared" si="67"/>
        <v>1.8163014068648008E+30</v>
      </c>
      <c r="CAT53" s="708">
        <f t="shared" si="67"/>
        <v>1.8707904490707448E+30</v>
      </c>
      <c r="CAU53" s="708">
        <f t="shared" si="67"/>
        <v>1.9269141625428672E+30</v>
      </c>
      <c r="CAV53" s="708">
        <f t="shared" si="67"/>
        <v>1.9847215874191533E+30</v>
      </c>
      <c r="CAW53" s="708">
        <f t="shared" si="67"/>
        <v>2.0442632350417278E+30</v>
      </c>
      <c r="CAX53" s="708">
        <f t="shared" si="67"/>
        <v>2.1055911320929796E+30</v>
      </c>
      <c r="CAY53" s="708">
        <f t="shared" si="67"/>
        <v>2.168758866055769E+30</v>
      </c>
      <c r="CAZ53" s="708">
        <f t="shared" si="67"/>
        <v>2.2338216320374421E+30</v>
      </c>
      <c r="CBA53" s="708">
        <f t="shared" si="67"/>
        <v>2.3008362809985656E+30</v>
      </c>
      <c r="CBB53" s="708">
        <f t="shared" si="67"/>
        <v>2.3698613694285227E+30</v>
      </c>
      <c r="CBC53" s="708">
        <f t="shared" si="67"/>
        <v>2.4409572105113784E+30</v>
      </c>
      <c r="CBD53" s="708">
        <f t="shared" si="67"/>
        <v>2.5141859268267199E+30</v>
      </c>
      <c r="CBE53" s="708">
        <f t="shared" si="67"/>
        <v>2.5896115046315217E+30</v>
      </c>
      <c r="CBF53" s="708">
        <f t="shared" si="67"/>
        <v>2.6672998497704672E+30</v>
      </c>
      <c r="CBG53" s="708">
        <f t="shared" si="67"/>
        <v>2.7473188452635813E+30</v>
      </c>
      <c r="CBH53" s="708">
        <f t="shared" si="67"/>
        <v>2.8297384106214888E+30</v>
      </c>
      <c r="CBI53" s="708">
        <f t="shared" si="67"/>
        <v>2.9146305629401333E+30</v>
      </c>
      <c r="CBJ53" s="708">
        <f t="shared" si="67"/>
        <v>3.0020694798283372E+30</v>
      </c>
      <c r="CBK53" s="708">
        <f t="shared" si="67"/>
        <v>3.0921315642231875E+30</v>
      </c>
      <c r="CBL53" s="708">
        <f t="shared" si="67"/>
        <v>3.1848955111498834E+30</v>
      </c>
      <c r="CBM53" s="708">
        <f t="shared" si="67"/>
        <v>3.2804423764843801E+30</v>
      </c>
      <c r="CBN53" s="708">
        <f t="shared" si="67"/>
        <v>3.3788556477789114E+30</v>
      </c>
      <c r="CBO53" s="708">
        <f t="shared" si="67"/>
        <v>3.4802213172122788E+30</v>
      </c>
      <c r="CBP53" s="708">
        <f t="shared" si="67"/>
        <v>3.5846279567286475E+30</v>
      </c>
      <c r="CBQ53" s="708">
        <f t="shared" si="67"/>
        <v>3.6921667954305073E+30</v>
      </c>
      <c r="CBR53" s="708">
        <f t="shared" si="67"/>
        <v>3.8029317992934227E+30</v>
      </c>
      <c r="CBS53" s="708">
        <f t="shared" si="67"/>
        <v>3.9170197532722253E+30</v>
      </c>
      <c r="CBT53" s="708">
        <f t="shared" si="67"/>
        <v>4.0345303458703921E+30</v>
      </c>
      <c r="CBU53" s="708">
        <f t="shared" si="67"/>
        <v>4.1555662562465039E+30</v>
      </c>
      <c r="CBV53" s="708">
        <f t="shared" si="67"/>
        <v>4.2802332439338989E+30</v>
      </c>
      <c r="CBW53" s="708">
        <f t="shared" si="67"/>
        <v>4.4086402412519159E+30</v>
      </c>
      <c r="CBX53" s="708">
        <f t="shared" si="67"/>
        <v>4.5408994484894737E+30</v>
      </c>
      <c r="CBY53" s="708">
        <f t="shared" si="67"/>
        <v>4.6771264319441579E+30</v>
      </c>
      <c r="CBZ53" s="708">
        <f t="shared" si="67"/>
        <v>4.8174402249024827E+30</v>
      </c>
      <c r="CCA53" s="708">
        <f t="shared" si="67"/>
        <v>4.9619634316495571E+30</v>
      </c>
      <c r="CCB53" s="708">
        <f t="shared" si="67"/>
        <v>5.1108223345990445E+30</v>
      </c>
      <c r="CCC53" s="708">
        <f t="shared" si="67"/>
        <v>5.2641470046370164E+30</v>
      </c>
      <c r="CCD53" s="708">
        <f t="shared" si="67"/>
        <v>5.4220714147761273E+30</v>
      </c>
      <c r="CCE53" s="708">
        <f t="shared" si="67"/>
        <v>5.5847335572194117E+30</v>
      </c>
      <c r="CCF53" s="708">
        <f t="shared" si="67"/>
        <v>5.7522755639359942E+30</v>
      </c>
      <c r="CCG53" s="708">
        <f t="shared" si="67"/>
        <v>5.9248438308540745E+30</v>
      </c>
      <c r="CCH53" s="708">
        <f t="shared" si="67"/>
        <v>6.1025891457796965E+30</v>
      </c>
      <c r="CCI53" s="708">
        <f t="shared" si="67"/>
        <v>6.285666820153088E+30</v>
      </c>
      <c r="CCJ53" s="708">
        <f t="shared" si="67"/>
        <v>6.4742368247576813E+30</v>
      </c>
      <c r="CCK53" s="708">
        <f t="shared" si="67"/>
        <v>6.6684639295004117E+30</v>
      </c>
      <c r="CCL53" s="708">
        <f t="shared" ref="CCL53:CEW53" si="68">CCK53*$C$53</f>
        <v>6.8685178473854242E+30</v>
      </c>
      <c r="CCM53" s="708">
        <f t="shared" si="68"/>
        <v>7.0745733828069872E+30</v>
      </c>
      <c r="CCN53" s="708">
        <f t="shared" si="68"/>
        <v>7.2868105842911975E+30</v>
      </c>
      <c r="CCO53" s="708">
        <f t="shared" si="68"/>
        <v>7.5054149018199334E+30</v>
      </c>
      <c r="CCP53" s="708">
        <f t="shared" si="68"/>
        <v>7.7305773488745314E+30</v>
      </c>
      <c r="CCQ53" s="708">
        <f t="shared" si="68"/>
        <v>7.9624946693407674E+30</v>
      </c>
      <c r="CCR53" s="708">
        <f t="shared" si="68"/>
        <v>8.2013695094209909E+30</v>
      </c>
      <c r="CCS53" s="708">
        <f t="shared" si="68"/>
        <v>8.4474105947036208E+30</v>
      </c>
      <c r="CCT53" s="708">
        <f t="shared" si="68"/>
        <v>8.7008329125447297E+30</v>
      </c>
      <c r="CCU53" s="708">
        <f t="shared" si="68"/>
        <v>8.9618578999210722E+30</v>
      </c>
      <c r="CCV53" s="708">
        <f t="shared" si="68"/>
        <v>9.230713636918705E+30</v>
      </c>
      <c r="CCW53" s="708">
        <f t="shared" si="68"/>
        <v>9.5076350460262667E+30</v>
      </c>
      <c r="CCX53" s="708">
        <f t="shared" si="68"/>
        <v>9.7928640974070546E+30</v>
      </c>
      <c r="CCY53" s="708">
        <f t="shared" si="68"/>
        <v>1.0086650020329267E+31</v>
      </c>
      <c r="CCZ53" s="708">
        <f t="shared" si="68"/>
        <v>1.0389249520939144E+31</v>
      </c>
      <c r="CDA53" s="708">
        <f t="shared" si="68"/>
        <v>1.0700927006567318E+31</v>
      </c>
      <c r="CDB53" s="708">
        <f t="shared" si="68"/>
        <v>1.1021954816764337E+31</v>
      </c>
      <c r="CDC53" s="708">
        <f t="shared" si="68"/>
        <v>1.1352613461267267E+31</v>
      </c>
      <c r="CDD53" s="708">
        <f t="shared" si="68"/>
        <v>1.1693191865105285E+31</v>
      </c>
      <c r="CDE53" s="708">
        <f t="shared" si="68"/>
        <v>1.2043987621058445E+31</v>
      </c>
      <c r="CDF53" s="708">
        <f t="shared" si="68"/>
        <v>1.2405307249690199E+31</v>
      </c>
      <c r="CDG53" s="708">
        <f t="shared" si="68"/>
        <v>1.2777466467180905E+31</v>
      </c>
      <c r="CDH53" s="708">
        <f t="shared" si="68"/>
        <v>1.3160790461196331E+31</v>
      </c>
      <c r="CDI53" s="708">
        <f t="shared" si="68"/>
        <v>1.3555614175032222E+31</v>
      </c>
      <c r="CDJ53" s="708">
        <f t="shared" si="68"/>
        <v>1.3962282600283189E+31</v>
      </c>
      <c r="CDK53" s="708">
        <f t="shared" si="68"/>
        <v>1.4381151078291684E+31</v>
      </c>
      <c r="CDL53" s="708">
        <f t="shared" si="68"/>
        <v>1.4812585610640435E+31</v>
      </c>
      <c r="CDM53" s="708">
        <f t="shared" si="68"/>
        <v>1.5256963178959649E+31</v>
      </c>
      <c r="CDN53" s="708">
        <f t="shared" si="68"/>
        <v>1.5714672074328439E+31</v>
      </c>
      <c r="CDO53" s="708">
        <f t="shared" si="68"/>
        <v>1.6186112236558293E+31</v>
      </c>
      <c r="CDP53" s="708">
        <f t="shared" si="68"/>
        <v>1.6671695603655041E+31</v>
      </c>
      <c r="CDQ53" s="708">
        <f t="shared" si="68"/>
        <v>1.7171846471764693E+31</v>
      </c>
      <c r="CDR53" s="708">
        <f t="shared" si="68"/>
        <v>1.7687001865917634E+31</v>
      </c>
      <c r="CDS53" s="708">
        <f t="shared" si="68"/>
        <v>1.8217611921895164E+31</v>
      </c>
      <c r="CDT53" s="708">
        <f t="shared" si="68"/>
        <v>1.8764140279552019E+31</v>
      </c>
      <c r="CDU53" s="708">
        <f t="shared" si="68"/>
        <v>1.932706448793858E+31</v>
      </c>
      <c r="CDV53" s="708">
        <f t="shared" si="68"/>
        <v>1.9906876422576739E+31</v>
      </c>
      <c r="CDW53" s="708">
        <f t="shared" si="68"/>
        <v>2.0504082715254042E+31</v>
      </c>
      <c r="CDX53" s="708">
        <f t="shared" si="68"/>
        <v>2.1119205196711666E+31</v>
      </c>
      <c r="CDY53" s="708">
        <f t="shared" si="68"/>
        <v>2.1752781352613015E+31</v>
      </c>
      <c r="CDZ53" s="708">
        <f t="shared" si="68"/>
        <v>2.2405364793191404E+31</v>
      </c>
      <c r="CEA53" s="708">
        <f t="shared" si="68"/>
        <v>2.3077525736987147E+31</v>
      </c>
      <c r="CEB53" s="708">
        <f t="shared" si="68"/>
        <v>2.3769851509096763E+31</v>
      </c>
      <c r="CEC53" s="708">
        <f t="shared" si="68"/>
        <v>2.4482947054369668E+31</v>
      </c>
      <c r="CED53" s="708">
        <f t="shared" si="68"/>
        <v>2.5217435466000758E+31</v>
      </c>
      <c r="CEE53" s="708">
        <f t="shared" si="68"/>
        <v>2.5973958529980779E+31</v>
      </c>
      <c r="CEF53" s="708">
        <f t="shared" si="68"/>
        <v>2.6753177285880203E+31</v>
      </c>
      <c r="CEG53" s="708">
        <f t="shared" si="68"/>
        <v>2.755577260445661E+31</v>
      </c>
      <c r="CEH53" s="708">
        <f t="shared" si="68"/>
        <v>2.8382445782590308E+31</v>
      </c>
      <c r="CEI53" s="708">
        <f t="shared" si="68"/>
        <v>2.9233919156068019E+31</v>
      </c>
      <c r="CEJ53" s="708">
        <f t="shared" si="68"/>
        <v>3.0110936730750061E+31</v>
      </c>
      <c r="CEK53" s="708">
        <f t="shared" si="68"/>
        <v>3.1014264832672565E+31</v>
      </c>
      <c r="CEL53" s="708">
        <f t="shared" si="68"/>
        <v>3.1944692777652742E+31</v>
      </c>
      <c r="CEM53" s="708">
        <f t="shared" si="68"/>
        <v>3.2903033560982323E+31</v>
      </c>
      <c r="CEN53" s="708">
        <f t="shared" si="68"/>
        <v>3.3890124567811793E+31</v>
      </c>
      <c r="CEO53" s="708">
        <f t="shared" si="68"/>
        <v>3.4906828304846147E+31</v>
      </c>
      <c r="CEP53" s="708">
        <f t="shared" si="68"/>
        <v>3.5954033153991532E+31</v>
      </c>
      <c r="CEQ53" s="708">
        <f t="shared" si="68"/>
        <v>3.7032654148611279E+31</v>
      </c>
      <c r="CER53" s="708">
        <f t="shared" si="68"/>
        <v>3.814363377306962E+31</v>
      </c>
      <c r="CES53" s="708">
        <f t="shared" si="68"/>
        <v>3.9287942786261709E+31</v>
      </c>
      <c r="CET53" s="708">
        <f t="shared" si="68"/>
        <v>4.0466581069849563E+31</v>
      </c>
      <c r="CEU53" s="708">
        <f t="shared" si="68"/>
        <v>4.168057850194505E+31</v>
      </c>
      <c r="CEV53" s="708">
        <f t="shared" si="68"/>
        <v>4.2930995857003401E+31</v>
      </c>
      <c r="CEW53" s="708">
        <f t="shared" si="68"/>
        <v>4.4218925732713502E+31</v>
      </c>
      <c r="CEX53" s="708">
        <f t="shared" ref="CEX53:CHI53" si="69">CEW53*$C$53</f>
        <v>4.5545493504694906E+31</v>
      </c>
      <c r="CEY53" s="708">
        <f t="shared" si="69"/>
        <v>4.6911858309835759E+31</v>
      </c>
      <c r="CEZ53" s="708">
        <f t="shared" si="69"/>
        <v>4.8319214059130832E+31</v>
      </c>
      <c r="CFA53" s="708">
        <f t="shared" si="69"/>
        <v>4.9768790480904758E+31</v>
      </c>
      <c r="CFB53" s="708">
        <f t="shared" si="69"/>
        <v>5.1261854195331898E+31</v>
      </c>
      <c r="CFC53" s="708">
        <f t="shared" si="69"/>
        <v>5.279970982119186E+31</v>
      </c>
      <c r="CFD53" s="708">
        <f t="shared" si="69"/>
        <v>5.4383701115827619E+31</v>
      </c>
      <c r="CFE53" s="708">
        <f t="shared" si="69"/>
        <v>5.6015212149302448E+31</v>
      </c>
      <c r="CFF53" s="708">
        <f t="shared" si="69"/>
        <v>5.7695668513781521E+31</v>
      </c>
      <c r="CFG53" s="708">
        <f t="shared" si="69"/>
        <v>5.9426538569194968E+31</v>
      </c>
      <c r="CFH53" s="708">
        <f t="shared" si="69"/>
        <v>6.1209334726270822E+31</v>
      </c>
      <c r="CFI53" s="708">
        <f t="shared" si="69"/>
        <v>6.3045614768058946E+31</v>
      </c>
      <c r="CFJ53" s="708">
        <f t="shared" si="69"/>
        <v>6.4936983211100719E+31</v>
      </c>
      <c r="CFK53" s="708">
        <f t="shared" si="69"/>
        <v>6.6885092707433742E+31</v>
      </c>
      <c r="CFL53" s="708">
        <f t="shared" si="69"/>
        <v>6.8891645488656752E+31</v>
      </c>
      <c r="CFM53" s="708">
        <f t="shared" si="69"/>
        <v>7.0958394853316459E+31</v>
      </c>
      <c r="CFN53" s="708">
        <f t="shared" si="69"/>
        <v>7.3087146698915958E+31</v>
      </c>
      <c r="CFO53" s="708">
        <f t="shared" si="69"/>
        <v>7.5279761099883437E+31</v>
      </c>
      <c r="CFP53" s="708">
        <f t="shared" si="69"/>
        <v>7.7538153932879945E+31</v>
      </c>
      <c r="CFQ53" s="708">
        <f t="shared" si="69"/>
        <v>7.9864298550866345E+31</v>
      </c>
      <c r="CFR53" s="708">
        <f t="shared" si="69"/>
        <v>8.2260227507392335E+31</v>
      </c>
      <c r="CFS53" s="708">
        <f t="shared" si="69"/>
        <v>8.4728034332614107E+31</v>
      </c>
      <c r="CFT53" s="708">
        <f t="shared" si="69"/>
        <v>8.726987536259254E+31</v>
      </c>
      <c r="CFU53" s="708">
        <f t="shared" si="69"/>
        <v>8.9887971623470319E+31</v>
      </c>
      <c r="CFV53" s="708">
        <f t="shared" si="69"/>
        <v>9.2584610772174425E+31</v>
      </c>
      <c r="CFW53" s="708">
        <f t="shared" si="69"/>
        <v>9.5362149095339666E+31</v>
      </c>
      <c r="CFX53" s="708">
        <f t="shared" si="69"/>
        <v>9.8223013568199862E+31</v>
      </c>
      <c r="CFY53" s="708">
        <f t="shared" si="69"/>
        <v>1.0116970397524586E+32</v>
      </c>
      <c r="CFZ53" s="708">
        <f t="shared" si="69"/>
        <v>1.0420479509450324E+32</v>
      </c>
      <c r="CGA53" s="708">
        <f t="shared" si="69"/>
        <v>1.0733093894733833E+32</v>
      </c>
      <c r="CGB53" s="708">
        <f t="shared" si="69"/>
        <v>1.1055086711575848E+32</v>
      </c>
      <c r="CGC53" s="708">
        <f t="shared" si="69"/>
        <v>1.1386739312923124E+32</v>
      </c>
      <c r="CGD53" s="708">
        <f t="shared" si="69"/>
        <v>1.1728341492310818E+32</v>
      </c>
      <c r="CGE53" s="708">
        <f t="shared" si="69"/>
        <v>1.2080191737080143E+32</v>
      </c>
      <c r="CGF53" s="708">
        <f t="shared" si="69"/>
        <v>1.2442597489192547E+32</v>
      </c>
      <c r="CGG53" s="708">
        <f t="shared" si="69"/>
        <v>1.2815875413868324E+32</v>
      </c>
      <c r="CGH53" s="708">
        <f t="shared" si="69"/>
        <v>1.3200351676284373E+32</v>
      </c>
      <c r="CGI53" s="708">
        <f t="shared" si="69"/>
        <v>1.3596362226572905E+32</v>
      </c>
      <c r="CGJ53" s="708">
        <f t="shared" si="69"/>
        <v>1.4004253093370092E+32</v>
      </c>
      <c r="CGK53" s="708">
        <f t="shared" si="69"/>
        <v>1.4424380686171194E+32</v>
      </c>
      <c r="CGL53" s="708">
        <f t="shared" si="69"/>
        <v>1.485711210675633E+32</v>
      </c>
      <c r="CGM53" s="708">
        <f t="shared" si="69"/>
        <v>1.530282546995902E+32</v>
      </c>
      <c r="CGN53" s="708">
        <f t="shared" si="69"/>
        <v>1.5761910234057791E+32</v>
      </c>
      <c r="CGO53" s="708">
        <f t="shared" si="69"/>
        <v>1.6234767541079524E+32</v>
      </c>
      <c r="CGP53" s="708">
        <f t="shared" si="69"/>
        <v>1.6721810567311909E+32</v>
      </c>
      <c r="CGQ53" s="708">
        <f t="shared" si="69"/>
        <v>1.7223464884331268E+32</v>
      </c>
      <c r="CGR53" s="708">
        <f t="shared" si="69"/>
        <v>1.7740168830861207E+32</v>
      </c>
      <c r="CGS53" s="708">
        <f t="shared" si="69"/>
        <v>1.8272373895787045E+32</v>
      </c>
      <c r="CGT53" s="708">
        <f t="shared" si="69"/>
        <v>1.8820545112660655E+32</v>
      </c>
      <c r="CGU53" s="708">
        <f t="shared" si="69"/>
        <v>1.9385161466040477E+32</v>
      </c>
      <c r="CGV53" s="708">
        <f t="shared" si="69"/>
        <v>1.9966716310021692E+32</v>
      </c>
      <c r="CGW53" s="708">
        <f t="shared" si="69"/>
        <v>2.0565717799322345E+32</v>
      </c>
      <c r="CGX53" s="708">
        <f t="shared" si="69"/>
        <v>2.1182689333302015E+32</v>
      </c>
      <c r="CGY53" s="708">
        <f t="shared" si="69"/>
        <v>2.1818170013301076E+32</v>
      </c>
      <c r="CGZ53" s="708">
        <f t="shared" si="69"/>
        <v>2.2472715113700109E+32</v>
      </c>
      <c r="CHA53" s="708">
        <f t="shared" si="69"/>
        <v>2.3146896567111112E+32</v>
      </c>
      <c r="CHB53" s="708">
        <f t="shared" si="69"/>
        <v>2.3841303464124445E+32</v>
      </c>
      <c r="CHC53" s="708">
        <f t="shared" si="69"/>
        <v>2.4556542568048181E+32</v>
      </c>
      <c r="CHD53" s="708">
        <f t="shared" si="69"/>
        <v>2.5293238845089628E+32</v>
      </c>
      <c r="CHE53" s="708">
        <f t="shared" si="69"/>
        <v>2.6052036010442316E+32</v>
      </c>
      <c r="CHF53" s="708">
        <f t="shared" si="69"/>
        <v>2.6833597090755586E+32</v>
      </c>
      <c r="CHG53" s="708">
        <f t="shared" si="69"/>
        <v>2.7638605003478254E+32</v>
      </c>
      <c r="CHH53" s="708">
        <f t="shared" si="69"/>
        <v>2.8467763153582601E+32</v>
      </c>
      <c r="CHI53" s="708">
        <f t="shared" si="69"/>
        <v>2.9321796048190079E+32</v>
      </c>
      <c r="CHJ53" s="708">
        <f t="shared" ref="CHJ53:CJU53" si="70">CHI53*$C$53</f>
        <v>3.0201449929635783E+32</v>
      </c>
      <c r="CHK53" s="708">
        <f t="shared" si="70"/>
        <v>3.1107493427524857E+32</v>
      </c>
      <c r="CHL53" s="708">
        <f t="shared" si="70"/>
        <v>3.2040718230350603E+32</v>
      </c>
      <c r="CHM53" s="708">
        <f t="shared" si="70"/>
        <v>3.3001939777261126E+32</v>
      </c>
      <c r="CHN53" s="708">
        <f t="shared" si="70"/>
        <v>3.3991997970578964E+32</v>
      </c>
      <c r="CHO53" s="708">
        <f t="shared" si="70"/>
        <v>3.501175790969633E+32</v>
      </c>
      <c r="CHP53" s="708">
        <f t="shared" si="70"/>
        <v>3.6062110646987223E+32</v>
      </c>
      <c r="CHQ53" s="708">
        <f t="shared" si="70"/>
        <v>3.7143973966396843E+32</v>
      </c>
      <c r="CHR53" s="708">
        <f t="shared" si="70"/>
        <v>3.8258293185388749E+32</v>
      </c>
      <c r="CHS53" s="708">
        <f t="shared" si="70"/>
        <v>3.9406041980950414E+32</v>
      </c>
      <c r="CHT53" s="708">
        <f t="shared" si="70"/>
        <v>4.058822324037893E+32</v>
      </c>
      <c r="CHU53" s="708">
        <f t="shared" si="70"/>
        <v>4.1805869937590301E+32</v>
      </c>
      <c r="CHV53" s="708">
        <f t="shared" si="70"/>
        <v>4.3060046035718008E+32</v>
      </c>
      <c r="CHW53" s="708">
        <f t="shared" si="70"/>
        <v>4.4351847416789548E+32</v>
      </c>
      <c r="CHX53" s="708">
        <f t="shared" si="70"/>
        <v>4.5682402839293237E+32</v>
      </c>
      <c r="CHY53" s="708">
        <f t="shared" si="70"/>
        <v>4.7052874924472036E+32</v>
      </c>
      <c r="CHZ53" s="708">
        <f t="shared" si="70"/>
        <v>4.8464461172206197E+32</v>
      </c>
      <c r="CIA53" s="708">
        <f t="shared" si="70"/>
        <v>4.9918395007372383E+32</v>
      </c>
      <c r="CIB53" s="708">
        <f t="shared" si="70"/>
        <v>5.1415946857593557E+32</v>
      </c>
      <c r="CIC53" s="708">
        <f t="shared" si="70"/>
        <v>5.2958425263321369E+32</v>
      </c>
      <c r="CID53" s="708">
        <f t="shared" si="70"/>
        <v>5.4547178021221015E+32</v>
      </c>
      <c r="CIE53" s="708">
        <f t="shared" si="70"/>
        <v>5.6183593361857647E+32</v>
      </c>
      <c r="CIF53" s="708">
        <f t="shared" si="70"/>
        <v>5.7869101162713377E+32</v>
      </c>
      <c r="CIG53" s="708">
        <f t="shared" si="70"/>
        <v>5.9605174197594781E+32</v>
      </c>
      <c r="CIH53" s="708">
        <f t="shared" si="70"/>
        <v>6.139332942352263E+32</v>
      </c>
      <c r="CII53" s="708">
        <f t="shared" si="70"/>
        <v>6.3235129306228311E+32</v>
      </c>
      <c r="CIJ53" s="708">
        <f t="shared" si="70"/>
        <v>6.5132183185415169E+32</v>
      </c>
      <c r="CIK53" s="708">
        <f t="shared" si="70"/>
        <v>6.7086148680977626E+32</v>
      </c>
      <c r="CIL53" s="708">
        <f t="shared" si="70"/>
        <v>6.9098733141406957E+32</v>
      </c>
      <c r="CIM53" s="708">
        <f t="shared" si="70"/>
        <v>7.1171695135649161E+32</v>
      </c>
      <c r="CIN53" s="708">
        <f t="shared" si="70"/>
        <v>7.3306845989718637E+32</v>
      </c>
      <c r="CIO53" s="708">
        <f t="shared" si="70"/>
        <v>7.5506051369410204E+32</v>
      </c>
      <c r="CIP53" s="708">
        <f t="shared" si="70"/>
        <v>7.7771232910492511E+32</v>
      </c>
      <c r="CIQ53" s="708">
        <f t="shared" si="70"/>
        <v>8.0104369897807291E+32</v>
      </c>
      <c r="CIR53" s="708">
        <f t="shared" si="70"/>
        <v>8.2507500994741518E+32</v>
      </c>
      <c r="CIS53" s="708">
        <f t="shared" si="70"/>
        <v>8.4982726024583771E+32</v>
      </c>
      <c r="CIT53" s="708">
        <f t="shared" si="70"/>
        <v>8.7532207805321288E+32</v>
      </c>
      <c r="CIU53" s="708">
        <f t="shared" si="70"/>
        <v>9.0158174039480936E+32</v>
      </c>
      <c r="CIV53" s="708">
        <f t="shared" si="70"/>
        <v>9.2862919260665373E+32</v>
      </c>
      <c r="CIW53" s="708">
        <f t="shared" si="70"/>
        <v>9.5648806838485334E+32</v>
      </c>
      <c r="CIX53" s="708">
        <f t="shared" si="70"/>
        <v>9.8518271043639897E+32</v>
      </c>
      <c r="CIY53" s="708">
        <f t="shared" si="70"/>
        <v>1.014738191749491E+33</v>
      </c>
      <c r="CIZ53" s="708">
        <f t="shared" si="70"/>
        <v>1.0451803375019757E+33</v>
      </c>
      <c r="CJA53" s="708">
        <f t="shared" si="70"/>
        <v>1.076535747627035E+33</v>
      </c>
      <c r="CJB53" s="708">
        <f t="shared" si="70"/>
        <v>1.1088318200558462E+33</v>
      </c>
      <c r="CJC53" s="708">
        <f t="shared" si="70"/>
        <v>1.1420967746575216E+33</v>
      </c>
      <c r="CJD53" s="708">
        <f t="shared" si="70"/>
        <v>1.1763596778972473E+33</v>
      </c>
      <c r="CJE53" s="708">
        <f t="shared" si="70"/>
        <v>1.2116504682341648E+33</v>
      </c>
      <c r="CJF53" s="708">
        <f t="shared" si="70"/>
        <v>1.2479999822811898E+33</v>
      </c>
      <c r="CJG53" s="708">
        <f t="shared" si="70"/>
        <v>1.2854399817496256E+33</v>
      </c>
      <c r="CJH53" s="708">
        <f t="shared" si="70"/>
        <v>1.3240031812021145E+33</v>
      </c>
      <c r="CJI53" s="708">
        <f t="shared" si="70"/>
        <v>1.363723276638178E+33</v>
      </c>
      <c r="CJJ53" s="708">
        <f t="shared" si="70"/>
        <v>1.4046349749373234E+33</v>
      </c>
      <c r="CJK53" s="708">
        <f t="shared" si="70"/>
        <v>1.4467740241854431E+33</v>
      </c>
      <c r="CJL53" s="708">
        <f t="shared" si="70"/>
        <v>1.4901772449110065E+33</v>
      </c>
      <c r="CJM53" s="708">
        <f t="shared" si="70"/>
        <v>1.5348825622583368E+33</v>
      </c>
      <c r="CJN53" s="708">
        <f t="shared" si="70"/>
        <v>1.5809290391260868E+33</v>
      </c>
      <c r="CJO53" s="708">
        <f t="shared" si="70"/>
        <v>1.6283569102998695E+33</v>
      </c>
      <c r="CJP53" s="708">
        <f t="shared" si="70"/>
        <v>1.6772076176088657E+33</v>
      </c>
      <c r="CJQ53" s="708">
        <f t="shared" si="70"/>
        <v>1.7275238461371317E+33</v>
      </c>
      <c r="CJR53" s="708">
        <f t="shared" si="70"/>
        <v>1.7793495615212458E+33</v>
      </c>
      <c r="CJS53" s="708">
        <f t="shared" si="70"/>
        <v>1.8327300483668833E+33</v>
      </c>
      <c r="CJT53" s="708">
        <f t="shared" si="70"/>
        <v>1.8877119498178899E+33</v>
      </c>
      <c r="CJU53" s="708">
        <f t="shared" si="70"/>
        <v>1.9443433083124267E+33</v>
      </c>
      <c r="CJV53" s="708">
        <f t="shared" ref="CJV53:CMG53" si="71">CJU53*$C$53</f>
        <v>2.0026736075617996E+33</v>
      </c>
      <c r="CJW53" s="708">
        <f t="shared" si="71"/>
        <v>2.0627538157886535E+33</v>
      </c>
      <c r="CJX53" s="708">
        <f t="shared" si="71"/>
        <v>2.1246364302623132E+33</v>
      </c>
      <c r="CJY53" s="708">
        <f t="shared" si="71"/>
        <v>2.1883755231701827E+33</v>
      </c>
      <c r="CJZ53" s="708">
        <f t="shared" si="71"/>
        <v>2.2540267888652883E+33</v>
      </c>
      <c r="CKA53" s="708">
        <f t="shared" si="71"/>
        <v>2.3216475925312469E+33</v>
      </c>
      <c r="CKB53" s="708">
        <f t="shared" si="71"/>
        <v>2.3912970203071845E+33</v>
      </c>
      <c r="CKC53" s="708">
        <f t="shared" si="71"/>
        <v>2.4630359309164001E+33</v>
      </c>
      <c r="CKD53" s="708">
        <f t="shared" si="71"/>
        <v>2.5369270088438921E+33</v>
      </c>
      <c r="CKE53" s="708">
        <f t="shared" si="71"/>
        <v>2.6130348191092088E+33</v>
      </c>
      <c r="CKF53" s="708">
        <f t="shared" si="71"/>
        <v>2.6914258636824853E+33</v>
      </c>
      <c r="CKG53" s="708">
        <f t="shared" si="71"/>
        <v>2.7721686395929599E+33</v>
      </c>
      <c r="CKH53" s="708">
        <f t="shared" si="71"/>
        <v>2.8553336987807488E+33</v>
      </c>
      <c r="CKI53" s="708">
        <f t="shared" si="71"/>
        <v>2.9409937097441715E+33</v>
      </c>
      <c r="CKJ53" s="708">
        <f t="shared" si="71"/>
        <v>3.0292235210364966E+33</v>
      </c>
      <c r="CKK53" s="708">
        <f t="shared" si="71"/>
        <v>3.1201002266675915E+33</v>
      </c>
      <c r="CKL53" s="708">
        <f t="shared" si="71"/>
        <v>3.2137032334676193E+33</v>
      </c>
      <c r="CKM53" s="708">
        <f t="shared" si="71"/>
        <v>3.3101143304716481E+33</v>
      </c>
      <c r="CKN53" s="708">
        <f t="shared" si="71"/>
        <v>3.4094177603857978E+33</v>
      </c>
      <c r="CKO53" s="708">
        <f t="shared" si="71"/>
        <v>3.5117002931973721E+33</v>
      </c>
      <c r="CKP53" s="708">
        <f t="shared" si="71"/>
        <v>3.6170513019932936E+33</v>
      </c>
      <c r="CKQ53" s="708">
        <f t="shared" si="71"/>
        <v>3.7255628410530922E+33</v>
      </c>
      <c r="CKR53" s="708">
        <f t="shared" si="71"/>
        <v>3.8373297262846853E+33</v>
      </c>
      <c r="CKS53" s="708">
        <f t="shared" si="71"/>
        <v>3.9524496180732259E+33</v>
      </c>
      <c r="CKT53" s="708">
        <f t="shared" si="71"/>
        <v>4.0710231066154228E+33</v>
      </c>
      <c r="CKU53" s="708">
        <f t="shared" si="71"/>
        <v>4.1931537998138854E+33</v>
      </c>
      <c r="CKV53" s="708">
        <f t="shared" si="71"/>
        <v>4.318948413808302E+33</v>
      </c>
      <c r="CKW53" s="708">
        <f t="shared" si="71"/>
        <v>4.4485168662225512E+33</v>
      </c>
      <c r="CKX53" s="708">
        <f t="shared" si="71"/>
        <v>4.5819723722092277E+33</v>
      </c>
      <c r="CKY53" s="708">
        <f t="shared" si="71"/>
        <v>4.7194315433755047E+33</v>
      </c>
      <c r="CKZ53" s="708">
        <f t="shared" si="71"/>
        <v>4.8610144896767703E+33</v>
      </c>
      <c r="CLA53" s="708">
        <f t="shared" si="71"/>
        <v>5.0068449243670738E+33</v>
      </c>
      <c r="CLB53" s="708">
        <f t="shared" si="71"/>
        <v>5.1570502720980862E+33</v>
      </c>
      <c r="CLC53" s="708">
        <f t="shared" si="71"/>
        <v>5.3117617802610294E+33</v>
      </c>
      <c r="CLD53" s="708">
        <f t="shared" si="71"/>
        <v>5.4711146336688609E+33</v>
      </c>
      <c r="CLE53" s="708">
        <f t="shared" si="71"/>
        <v>5.6352480726789264E+33</v>
      </c>
      <c r="CLF53" s="708">
        <f t="shared" si="71"/>
        <v>5.8043055148592943E+33</v>
      </c>
      <c r="CLG53" s="708">
        <f t="shared" si="71"/>
        <v>5.9784346803050732E+33</v>
      </c>
      <c r="CLH53" s="708">
        <f t="shared" si="71"/>
        <v>6.1577877207142258E+33</v>
      </c>
      <c r="CLI53" s="708">
        <f t="shared" si="71"/>
        <v>6.3425213523356523E+33</v>
      </c>
      <c r="CLJ53" s="708">
        <f t="shared" si="71"/>
        <v>6.5327969929057215E+33</v>
      </c>
      <c r="CLK53" s="708">
        <f t="shared" si="71"/>
        <v>6.7287809026928935E+33</v>
      </c>
      <c r="CLL53" s="708">
        <f t="shared" si="71"/>
        <v>6.9306443297736808E+33</v>
      </c>
      <c r="CLM53" s="708">
        <f t="shared" si="71"/>
        <v>7.1385636596668909E+33</v>
      </c>
      <c r="CLN53" s="708">
        <f t="shared" si="71"/>
        <v>7.3527205694568977E+33</v>
      </c>
      <c r="CLO53" s="708">
        <f t="shared" si="71"/>
        <v>7.5733021865406051E+33</v>
      </c>
      <c r="CLP53" s="708">
        <f t="shared" si="71"/>
        <v>7.8005012521368232E+33</v>
      </c>
      <c r="CLQ53" s="708">
        <f t="shared" si="71"/>
        <v>8.0345162897009286E+33</v>
      </c>
      <c r="CLR53" s="708">
        <f t="shared" si="71"/>
        <v>8.2755517783919563E+33</v>
      </c>
      <c r="CLS53" s="708">
        <f t="shared" si="71"/>
        <v>8.5238183317437148E+33</v>
      </c>
      <c r="CLT53" s="708">
        <f t="shared" si="71"/>
        <v>8.7795328816960259E+33</v>
      </c>
      <c r="CLU53" s="708">
        <f t="shared" si="71"/>
        <v>9.0429188681469066E+33</v>
      </c>
      <c r="CLV53" s="708">
        <f t="shared" si="71"/>
        <v>9.314206434191314E+33</v>
      </c>
      <c r="CLW53" s="708">
        <f t="shared" si="71"/>
        <v>9.5936326272170541E+33</v>
      </c>
      <c r="CLX53" s="708">
        <f t="shared" si="71"/>
        <v>9.8814416060335655E+33</v>
      </c>
      <c r="CLY53" s="708">
        <f t="shared" si="71"/>
        <v>1.0177884854214573E+34</v>
      </c>
      <c r="CLZ53" s="708">
        <f t="shared" si="71"/>
        <v>1.0483221399841011E+34</v>
      </c>
      <c r="CMA53" s="708">
        <f t="shared" si="71"/>
        <v>1.0797718041836242E+34</v>
      </c>
      <c r="CMB53" s="708">
        <f t="shared" si="71"/>
        <v>1.1121649583091328E+34</v>
      </c>
      <c r="CMC53" s="708">
        <f t="shared" si="71"/>
        <v>1.1455299070584069E+34</v>
      </c>
      <c r="CMD53" s="708">
        <f t="shared" si="71"/>
        <v>1.1798958042701591E+34</v>
      </c>
      <c r="CME53" s="708">
        <f t="shared" si="71"/>
        <v>1.215292678398264E+34</v>
      </c>
      <c r="CMF53" s="708">
        <f t="shared" si="71"/>
        <v>1.2517514587502119E+34</v>
      </c>
      <c r="CMG53" s="708">
        <f t="shared" si="71"/>
        <v>1.2893040025127183E+34</v>
      </c>
      <c r="CMH53" s="708">
        <f t="shared" ref="CMH53:COS53" si="72">CMG53*$C$53</f>
        <v>1.3279831225881E+34</v>
      </c>
      <c r="CMI53" s="708">
        <f t="shared" si="72"/>
        <v>1.367822616265743E+34</v>
      </c>
      <c r="CMJ53" s="708">
        <f t="shared" si="72"/>
        <v>1.4088572947537153E+34</v>
      </c>
      <c r="CMK53" s="708">
        <f t="shared" si="72"/>
        <v>1.4511230135963268E+34</v>
      </c>
      <c r="CML53" s="708">
        <f t="shared" si="72"/>
        <v>1.4946567040042167E+34</v>
      </c>
      <c r="CMM53" s="708">
        <f t="shared" si="72"/>
        <v>1.5394964051243433E+34</v>
      </c>
      <c r="CMN53" s="708">
        <f t="shared" si="72"/>
        <v>1.5856812972780737E+34</v>
      </c>
      <c r="CMO53" s="708">
        <f t="shared" si="72"/>
        <v>1.633251736196416E+34</v>
      </c>
      <c r="CMP53" s="708">
        <f t="shared" si="72"/>
        <v>1.6822492882823085E+34</v>
      </c>
      <c r="CMQ53" s="708">
        <f t="shared" si="72"/>
        <v>1.7327167669307778E+34</v>
      </c>
      <c r="CMR53" s="708">
        <f t="shared" si="72"/>
        <v>1.7846982699387011E+34</v>
      </c>
      <c r="CMS53" s="708">
        <f t="shared" si="72"/>
        <v>1.8382392180368623E+34</v>
      </c>
      <c r="CMT53" s="708">
        <f t="shared" si="72"/>
        <v>1.8933863945779683E+34</v>
      </c>
      <c r="CMU53" s="708">
        <f t="shared" si="72"/>
        <v>1.9501879864153075E+34</v>
      </c>
      <c r="CMV53" s="708">
        <f t="shared" si="72"/>
        <v>2.0086936260077667E+34</v>
      </c>
      <c r="CMW53" s="708">
        <f t="shared" si="72"/>
        <v>2.0689544347879998E+34</v>
      </c>
      <c r="CMX53" s="708">
        <f t="shared" si="72"/>
        <v>2.1310230678316399E+34</v>
      </c>
      <c r="CMY53" s="708">
        <f t="shared" si="72"/>
        <v>2.194953759866589E+34</v>
      </c>
      <c r="CMZ53" s="708">
        <f t="shared" si="72"/>
        <v>2.2608023726625867E+34</v>
      </c>
      <c r="CNA53" s="708">
        <f t="shared" si="72"/>
        <v>2.3286264438424645E+34</v>
      </c>
      <c r="CNB53" s="708">
        <f t="shared" si="72"/>
        <v>2.3984852371577386E+34</v>
      </c>
      <c r="CNC53" s="708">
        <f t="shared" si="72"/>
        <v>2.4704397942724708E+34</v>
      </c>
      <c r="CND53" s="708">
        <f t="shared" si="72"/>
        <v>2.5445529881006448E+34</v>
      </c>
      <c r="CNE53" s="708">
        <f t="shared" si="72"/>
        <v>2.6208895777436641E+34</v>
      </c>
      <c r="CNF53" s="708">
        <f t="shared" si="72"/>
        <v>2.6995162650759741E+34</v>
      </c>
      <c r="CNG53" s="708">
        <f t="shared" si="72"/>
        <v>2.7805017530282535E+34</v>
      </c>
      <c r="CNH53" s="708">
        <f t="shared" si="72"/>
        <v>2.8639168056191011E+34</v>
      </c>
      <c r="CNI53" s="708">
        <f t="shared" si="72"/>
        <v>2.9498343097876743E+34</v>
      </c>
      <c r="CNJ53" s="708">
        <f t="shared" si="72"/>
        <v>3.0383293390813048E+34</v>
      </c>
      <c r="CNK53" s="708">
        <f t="shared" si="72"/>
        <v>3.129479219253744E+34</v>
      </c>
      <c r="CNL53" s="708">
        <f t="shared" si="72"/>
        <v>3.2233635958313563E+34</v>
      </c>
      <c r="CNM53" s="708">
        <f t="shared" si="72"/>
        <v>3.3200645037062972E+34</v>
      </c>
      <c r="CNN53" s="708">
        <f t="shared" si="72"/>
        <v>3.4196664388174863E+34</v>
      </c>
      <c r="CNO53" s="708">
        <f t="shared" si="72"/>
        <v>3.5222564319820108E+34</v>
      </c>
      <c r="CNP53" s="708">
        <f t="shared" si="72"/>
        <v>3.627924124941471E+34</v>
      </c>
      <c r="CNQ53" s="708">
        <f t="shared" si="72"/>
        <v>3.7367618486897152E+34</v>
      </c>
      <c r="CNR53" s="708">
        <f t="shared" si="72"/>
        <v>3.8488647041504069E+34</v>
      </c>
      <c r="CNS53" s="708">
        <f t="shared" si="72"/>
        <v>3.9643306452749192E+34</v>
      </c>
      <c r="CNT53" s="708">
        <f t="shared" si="72"/>
        <v>4.0832605646331669E+34</v>
      </c>
      <c r="CNU53" s="708">
        <f t="shared" si="72"/>
        <v>4.2057583815721619E+34</v>
      </c>
      <c r="CNV53" s="708">
        <f t="shared" si="72"/>
        <v>4.331931133019327E+34</v>
      </c>
      <c r="CNW53" s="708">
        <f t="shared" si="72"/>
        <v>4.4618890670099073E+34</v>
      </c>
      <c r="CNX53" s="708">
        <f t="shared" si="72"/>
        <v>4.5957457390202047E+34</v>
      </c>
      <c r="CNY53" s="708">
        <f t="shared" si="72"/>
        <v>4.7336181111908107E+34</v>
      </c>
      <c r="CNZ53" s="708">
        <f t="shared" si="72"/>
        <v>4.8756266545265348E+34</v>
      </c>
      <c r="COA53" s="708">
        <f t="shared" si="72"/>
        <v>5.0218954541623308E+34</v>
      </c>
      <c r="COB53" s="708">
        <f t="shared" si="72"/>
        <v>5.1725523177872004E+34</v>
      </c>
      <c r="COC53" s="708">
        <f t="shared" si="72"/>
        <v>5.327728887320817E+34</v>
      </c>
      <c r="COD53" s="708">
        <f t="shared" si="72"/>
        <v>5.4875607539404412E+34</v>
      </c>
      <c r="COE53" s="708">
        <f t="shared" si="72"/>
        <v>5.6521875765586548E+34</v>
      </c>
      <c r="COF53" s="708">
        <f t="shared" si="72"/>
        <v>5.8217532038554143E+34</v>
      </c>
      <c r="COG53" s="708">
        <f t="shared" si="72"/>
        <v>5.9964057999710772E+34</v>
      </c>
      <c r="COH53" s="708">
        <f t="shared" si="72"/>
        <v>6.1762979739702098E+34</v>
      </c>
      <c r="COI53" s="708">
        <f t="shared" si="72"/>
        <v>6.3615869131893165E+34</v>
      </c>
      <c r="COJ53" s="708">
        <f t="shared" si="72"/>
        <v>6.5524345205849966E+34</v>
      </c>
      <c r="COK53" s="708">
        <f t="shared" si="72"/>
        <v>6.7490075562025464E+34</v>
      </c>
      <c r="COL53" s="708">
        <f t="shared" si="72"/>
        <v>6.9514777828886232E+34</v>
      </c>
      <c r="COM53" s="708">
        <f t="shared" si="72"/>
        <v>7.160022116375282E+34</v>
      </c>
      <c r="CON53" s="708">
        <f t="shared" si="72"/>
        <v>7.3748227798665403E+34</v>
      </c>
      <c r="COO53" s="708">
        <f t="shared" si="72"/>
        <v>7.5960674632625368E+34</v>
      </c>
      <c r="COP53" s="708">
        <f t="shared" si="72"/>
        <v>7.8239494871604129E+34</v>
      </c>
      <c r="COQ53" s="708">
        <f t="shared" si="72"/>
        <v>8.0586679717752253E+34</v>
      </c>
      <c r="COR53" s="708">
        <f t="shared" si="72"/>
        <v>8.3004280109284824E+34</v>
      </c>
      <c r="COS53" s="708">
        <f t="shared" si="72"/>
        <v>8.549440851256338E+34</v>
      </c>
      <c r="COT53" s="708">
        <f t="shared" ref="COT53:CRE53" si="73">COS53*$C$53</f>
        <v>8.8059240767940288E+34</v>
      </c>
      <c r="COU53" s="708">
        <f t="shared" si="73"/>
        <v>9.0701017990978507E+34</v>
      </c>
      <c r="COV53" s="708">
        <f t="shared" si="73"/>
        <v>9.342204853070787E+34</v>
      </c>
      <c r="COW53" s="708">
        <f t="shared" si="73"/>
        <v>9.6224709986629114E+34</v>
      </c>
      <c r="COX53" s="708">
        <f t="shared" si="73"/>
        <v>9.9111451286227981E+34</v>
      </c>
      <c r="COY53" s="708">
        <f t="shared" si="73"/>
        <v>1.0208479482481483E+35</v>
      </c>
      <c r="COZ53" s="708">
        <f t="shared" si="73"/>
        <v>1.0514733866955928E+35</v>
      </c>
      <c r="CPA53" s="708">
        <f t="shared" si="73"/>
        <v>1.0830175882964606E+35</v>
      </c>
      <c r="CPB53" s="708">
        <f t="shared" si="73"/>
        <v>1.1155081159453544E+35</v>
      </c>
      <c r="CPC53" s="708">
        <f t="shared" si="73"/>
        <v>1.1489733594237151E+35</v>
      </c>
      <c r="CPD53" s="708">
        <f t="shared" si="73"/>
        <v>1.1834425602064265E+35</v>
      </c>
      <c r="CPE53" s="708">
        <f t="shared" si="73"/>
        <v>1.2189458370126193E+35</v>
      </c>
      <c r="CPF53" s="708">
        <f t="shared" si="73"/>
        <v>1.2555142121229979E+35</v>
      </c>
      <c r="CPG53" s="708">
        <f t="shared" si="73"/>
        <v>1.2931796384866878E+35</v>
      </c>
      <c r="CPH53" s="708">
        <f t="shared" si="73"/>
        <v>1.3319750276412885E+35</v>
      </c>
      <c r="CPI53" s="708">
        <f t="shared" si="73"/>
        <v>1.3719342784705272E+35</v>
      </c>
      <c r="CPJ53" s="708">
        <f t="shared" si="73"/>
        <v>1.4130923068246431E+35</v>
      </c>
      <c r="CPK53" s="708">
        <f t="shared" si="73"/>
        <v>1.4554850760293824E+35</v>
      </c>
      <c r="CPL53" s="708">
        <f t="shared" si="73"/>
        <v>1.4991496283102639E+35</v>
      </c>
      <c r="CPM53" s="708">
        <f t="shared" si="73"/>
        <v>1.5441241171595719E+35</v>
      </c>
      <c r="CPN53" s="708">
        <f t="shared" si="73"/>
        <v>1.5904478406743591E+35</v>
      </c>
      <c r="CPO53" s="708">
        <f t="shared" si="73"/>
        <v>1.6381612758945899E+35</v>
      </c>
      <c r="CPP53" s="708">
        <f t="shared" si="73"/>
        <v>1.6873061141714276E+35</v>
      </c>
      <c r="CPQ53" s="708">
        <f t="shared" si="73"/>
        <v>1.7379252975965704E+35</v>
      </c>
      <c r="CPR53" s="708">
        <f t="shared" si="73"/>
        <v>1.7900630565244675E+35</v>
      </c>
      <c r="CPS53" s="708">
        <f t="shared" si="73"/>
        <v>1.8437649482202014E+35</v>
      </c>
      <c r="CPT53" s="708">
        <f t="shared" si="73"/>
        <v>1.8990778966668077E+35</v>
      </c>
      <c r="CPU53" s="708">
        <f t="shared" si="73"/>
        <v>1.9560502335668121E+35</v>
      </c>
      <c r="CPV53" s="708">
        <f t="shared" si="73"/>
        <v>2.0147317405738165E+35</v>
      </c>
      <c r="CPW53" s="708">
        <f t="shared" si="73"/>
        <v>2.0751736927910312E+35</v>
      </c>
      <c r="CPX53" s="708">
        <f t="shared" si="73"/>
        <v>2.1374289035747621E+35</v>
      </c>
      <c r="CPY53" s="708">
        <f t="shared" si="73"/>
        <v>2.2015517706820049E+35</v>
      </c>
      <c r="CPZ53" s="708">
        <f t="shared" si="73"/>
        <v>2.2675983238024653E+35</v>
      </c>
      <c r="CQA53" s="708">
        <f t="shared" si="73"/>
        <v>2.3356262735165392E+35</v>
      </c>
      <c r="CQB53" s="708">
        <f t="shared" si="73"/>
        <v>2.4056950617220353E+35</v>
      </c>
      <c r="CQC53" s="708">
        <f t="shared" si="73"/>
        <v>2.4778659135736964E+35</v>
      </c>
      <c r="CQD53" s="708">
        <f t="shared" si="73"/>
        <v>2.5522018909809074E+35</v>
      </c>
      <c r="CQE53" s="708">
        <f t="shared" si="73"/>
        <v>2.6287679477103349E+35</v>
      </c>
      <c r="CQF53" s="708">
        <f t="shared" si="73"/>
        <v>2.7076309861416451E+35</v>
      </c>
      <c r="CQG53" s="708">
        <f t="shared" si="73"/>
        <v>2.7888599157258945E+35</v>
      </c>
      <c r="CQH53" s="708">
        <f t="shared" si="73"/>
        <v>2.8725257131976714E+35</v>
      </c>
      <c r="CQI53" s="708">
        <f t="shared" si="73"/>
        <v>2.9587014845936015E+35</v>
      </c>
      <c r="CQJ53" s="708">
        <f t="shared" si="73"/>
        <v>3.0474625291314095E+35</v>
      </c>
      <c r="CQK53" s="708">
        <f t="shared" si="73"/>
        <v>3.138886405005352E+35</v>
      </c>
      <c r="CQL53" s="708">
        <f t="shared" si="73"/>
        <v>3.2330529971555128E+35</v>
      </c>
      <c r="CQM53" s="708">
        <f t="shared" si="73"/>
        <v>3.3300445870701781E+35</v>
      </c>
      <c r="CQN53" s="708">
        <f t="shared" si="73"/>
        <v>3.4299459246822837E+35</v>
      </c>
      <c r="CQO53" s="708">
        <f t="shared" si="73"/>
        <v>3.5328443024227526E+35</v>
      </c>
      <c r="CQP53" s="708">
        <f t="shared" si="73"/>
        <v>3.6388296314954352E+35</v>
      </c>
      <c r="CQQ53" s="708">
        <f t="shared" si="73"/>
        <v>3.7479945204402981E+35</v>
      </c>
      <c r="CQR53" s="708">
        <f t="shared" si="73"/>
        <v>3.8604343560535073E+35</v>
      </c>
      <c r="CQS53" s="708">
        <f t="shared" si="73"/>
        <v>3.976247386735113E+35</v>
      </c>
      <c r="CQT53" s="708">
        <f t="shared" si="73"/>
        <v>4.0955348083371666E+35</v>
      </c>
      <c r="CQU53" s="708">
        <f t="shared" si="73"/>
        <v>4.2184008525872819E+35</v>
      </c>
      <c r="CQV53" s="708">
        <f t="shared" si="73"/>
        <v>4.3449528781649005E+35</v>
      </c>
      <c r="CQW53" s="708">
        <f t="shared" si="73"/>
        <v>4.475301464509848E+35</v>
      </c>
      <c r="CQX53" s="708">
        <f t="shared" si="73"/>
        <v>4.6095605084451437E+35</v>
      </c>
      <c r="CQY53" s="708">
        <f t="shared" si="73"/>
        <v>4.7478473236984984E+35</v>
      </c>
      <c r="CQZ53" s="708">
        <f t="shared" si="73"/>
        <v>4.8902827434094538E+35</v>
      </c>
      <c r="CRA53" s="708">
        <f t="shared" si="73"/>
        <v>5.0369912257117375E+35</v>
      </c>
      <c r="CRB53" s="708">
        <f t="shared" si="73"/>
        <v>5.1881009624830897E+35</v>
      </c>
      <c r="CRC53" s="708">
        <f t="shared" si="73"/>
        <v>5.3437439913575829E+35</v>
      </c>
      <c r="CRD53" s="708">
        <f t="shared" si="73"/>
        <v>5.5040563110983108E+35</v>
      </c>
      <c r="CRE53" s="708">
        <f t="shared" si="73"/>
        <v>5.6691780004312599E+35</v>
      </c>
      <c r="CRF53" s="708">
        <f t="shared" ref="CRF53:CTQ53" si="74">CRE53*$C$53</f>
        <v>5.8392533404441981E+35</v>
      </c>
      <c r="CRG53" s="708">
        <f t="shared" si="74"/>
        <v>6.0144309406575244E+35</v>
      </c>
      <c r="CRH53" s="708">
        <f t="shared" si="74"/>
        <v>6.1948638688772504E+35</v>
      </c>
      <c r="CRI53" s="708">
        <f t="shared" si="74"/>
        <v>6.3807097849435678E+35</v>
      </c>
      <c r="CRJ53" s="708">
        <f t="shared" si="74"/>
        <v>6.5721310784918749E+35</v>
      </c>
      <c r="CRK53" s="708">
        <f t="shared" si="74"/>
        <v>6.7692950108466306E+35</v>
      </c>
      <c r="CRL53" s="708">
        <f t="shared" si="74"/>
        <v>6.9723738611720294E+35</v>
      </c>
      <c r="CRM53" s="708">
        <f t="shared" si="74"/>
        <v>7.1815450770071898E+35</v>
      </c>
      <c r="CRN53" s="708">
        <f t="shared" si="74"/>
        <v>7.3969914293174051E+35</v>
      </c>
      <c r="CRO53" s="708">
        <f t="shared" si="74"/>
        <v>7.618901172196928E+35</v>
      </c>
      <c r="CRP53" s="708">
        <f t="shared" si="74"/>
        <v>7.8474682073628358E+35</v>
      </c>
      <c r="CRQ53" s="708">
        <f t="shared" si="74"/>
        <v>8.0828922535837207E+35</v>
      </c>
      <c r="CRR53" s="708">
        <f t="shared" si="74"/>
        <v>8.3253790211912318E+35</v>
      </c>
      <c r="CRS53" s="708">
        <f t="shared" si="74"/>
        <v>8.5751403918269694E+35</v>
      </c>
      <c r="CRT53" s="708">
        <f t="shared" si="74"/>
        <v>8.8323946035817782E+35</v>
      </c>
      <c r="CRU53" s="708">
        <f t="shared" si="74"/>
        <v>9.0973664416892323E+35</v>
      </c>
      <c r="CRV53" s="708">
        <f t="shared" si="74"/>
        <v>9.37028743493991E+35</v>
      </c>
      <c r="CRW53" s="708">
        <f t="shared" si="74"/>
        <v>9.6513960579881071E+35</v>
      </c>
      <c r="CRX53" s="708">
        <f t="shared" si="74"/>
        <v>9.9409379397277505E+35</v>
      </c>
      <c r="CRY53" s="708">
        <f t="shared" si="74"/>
        <v>1.0239166077919584E+36</v>
      </c>
      <c r="CRZ53" s="708">
        <f t="shared" si="74"/>
        <v>1.0546341060257172E+36</v>
      </c>
      <c r="CSA53" s="708">
        <f t="shared" si="74"/>
        <v>1.0862731292064887E+36</v>
      </c>
      <c r="CSB53" s="708">
        <f t="shared" si="74"/>
        <v>1.1188613230826834E+36</v>
      </c>
      <c r="CSC53" s="708">
        <f t="shared" si="74"/>
        <v>1.1524271627751639E+36</v>
      </c>
      <c r="CSD53" s="708">
        <f t="shared" si="74"/>
        <v>1.1869999776584188E+36</v>
      </c>
      <c r="CSE53" s="708">
        <f t="shared" si="74"/>
        <v>1.2226099769881714E+36</v>
      </c>
      <c r="CSF53" s="708">
        <f t="shared" si="74"/>
        <v>1.2592882762978166E+36</v>
      </c>
      <c r="CSG53" s="708">
        <f t="shared" si="74"/>
        <v>1.2970669245867511E+36</v>
      </c>
      <c r="CSH53" s="708">
        <f t="shared" si="74"/>
        <v>1.3359789323243537E+36</v>
      </c>
      <c r="CSI53" s="708">
        <f t="shared" si="74"/>
        <v>1.3760583002940843E+36</v>
      </c>
      <c r="CSJ53" s="708">
        <f t="shared" si="74"/>
        <v>1.4173400493029068E+36</v>
      </c>
      <c r="CSK53" s="708">
        <f t="shared" si="74"/>
        <v>1.4598602507819941E+36</v>
      </c>
      <c r="CSL53" s="708">
        <f t="shared" si="74"/>
        <v>1.503656058305454E+36</v>
      </c>
      <c r="CSM53" s="708">
        <f t="shared" si="74"/>
        <v>1.5487657400546175E+36</v>
      </c>
      <c r="CSN53" s="708">
        <f t="shared" si="74"/>
        <v>1.595228712256256E+36</v>
      </c>
      <c r="CSO53" s="708">
        <f t="shared" si="74"/>
        <v>1.6430855736239437E+36</v>
      </c>
      <c r="CSP53" s="708">
        <f t="shared" si="74"/>
        <v>1.6923781408326622E+36</v>
      </c>
      <c r="CSQ53" s="708">
        <f t="shared" si="74"/>
        <v>1.743149485057642E+36</v>
      </c>
      <c r="CSR53" s="708">
        <f t="shared" si="74"/>
        <v>1.7954439696093713E+36</v>
      </c>
      <c r="CSS53" s="708">
        <f t="shared" si="74"/>
        <v>1.8493072886976527E+36</v>
      </c>
      <c r="CST53" s="708">
        <f t="shared" si="74"/>
        <v>1.9047865073585823E+36</v>
      </c>
      <c r="CSU53" s="708">
        <f t="shared" si="74"/>
        <v>1.9619301025793398E+36</v>
      </c>
      <c r="CSV53" s="708">
        <f t="shared" si="74"/>
        <v>2.02078800565672E+36</v>
      </c>
      <c r="CSW53" s="708">
        <f t="shared" si="74"/>
        <v>2.0814116458264215E+36</v>
      </c>
      <c r="CSX53" s="708">
        <f t="shared" si="74"/>
        <v>2.1438539952012144E+36</v>
      </c>
      <c r="CSY53" s="708">
        <f t="shared" si="74"/>
        <v>2.2081696150572508E+36</v>
      </c>
      <c r="CSZ53" s="708">
        <f t="shared" si="74"/>
        <v>2.2744147035089685E+36</v>
      </c>
      <c r="CTA53" s="708">
        <f t="shared" si="74"/>
        <v>2.3426471446142375E+36</v>
      </c>
      <c r="CTB53" s="708">
        <f t="shared" si="74"/>
        <v>2.4129265589526646E+36</v>
      </c>
      <c r="CTC53" s="708">
        <f t="shared" si="74"/>
        <v>2.4853143557212447E+36</v>
      </c>
      <c r="CTD53" s="708">
        <f t="shared" si="74"/>
        <v>2.5598737863928822E+36</v>
      </c>
      <c r="CTE53" s="708">
        <f t="shared" si="74"/>
        <v>2.6366699999846687E+36</v>
      </c>
      <c r="CTF53" s="708">
        <f t="shared" si="74"/>
        <v>2.715770099984209E+36</v>
      </c>
      <c r="CTG53" s="708">
        <f t="shared" si="74"/>
        <v>2.7972432029837354E+36</v>
      </c>
      <c r="CTH53" s="708">
        <f t="shared" si="74"/>
        <v>2.8811604990732473E+36</v>
      </c>
      <c r="CTI53" s="708">
        <f t="shared" si="74"/>
        <v>2.9675953140454447E+36</v>
      </c>
      <c r="CTJ53" s="708">
        <f t="shared" si="74"/>
        <v>3.0566231734668081E+36</v>
      </c>
      <c r="CTK53" s="708">
        <f t="shared" si="74"/>
        <v>3.1483218686708124E+36</v>
      </c>
      <c r="CTL53" s="708">
        <f t="shared" si="74"/>
        <v>3.2427715247309366E+36</v>
      </c>
      <c r="CTM53" s="708">
        <f t="shared" si="74"/>
        <v>3.3400546704728647E+36</v>
      </c>
      <c r="CTN53" s="708">
        <f t="shared" si="74"/>
        <v>3.4402563105870505E+36</v>
      </c>
      <c r="CTO53" s="708">
        <f t="shared" si="74"/>
        <v>3.5434639999046618E+36</v>
      </c>
      <c r="CTP53" s="708">
        <f t="shared" si="74"/>
        <v>3.649767919901802E+36</v>
      </c>
      <c r="CTQ53" s="708">
        <f t="shared" si="74"/>
        <v>3.7592609574988559E+36</v>
      </c>
      <c r="CTR53" s="708">
        <f t="shared" ref="CTR53:CWC53" si="75">CTQ53*$C$53</f>
        <v>3.8720387862238217E+36</v>
      </c>
      <c r="CTS53" s="708">
        <f t="shared" si="75"/>
        <v>3.9881999498105366E+36</v>
      </c>
      <c r="CTT53" s="708">
        <f t="shared" si="75"/>
        <v>4.1078459483048525E+36</v>
      </c>
      <c r="CTU53" s="708">
        <f t="shared" si="75"/>
        <v>4.2310813267539983E+36</v>
      </c>
      <c r="CTV53" s="708">
        <f t="shared" si="75"/>
        <v>4.3580137665566185E+36</v>
      </c>
      <c r="CTW53" s="708">
        <f t="shared" si="75"/>
        <v>4.4887541795533171E+36</v>
      </c>
      <c r="CTX53" s="708">
        <f t="shared" si="75"/>
        <v>4.623416804939917E+36</v>
      </c>
      <c r="CTY53" s="708">
        <f t="shared" si="75"/>
        <v>4.7621193090881144E+36</v>
      </c>
      <c r="CTZ53" s="708">
        <f t="shared" si="75"/>
        <v>4.9049828883607578E+36</v>
      </c>
      <c r="CUA53" s="708">
        <f t="shared" si="75"/>
        <v>5.0521323750115809E+36</v>
      </c>
      <c r="CUB53" s="708">
        <f t="shared" si="75"/>
        <v>5.2036963462619285E+36</v>
      </c>
      <c r="CUC53" s="708">
        <f t="shared" si="75"/>
        <v>5.3598072366497867E+36</v>
      </c>
      <c r="CUD53" s="708">
        <f t="shared" si="75"/>
        <v>5.5206014537492804E+36</v>
      </c>
      <c r="CUE53" s="708">
        <f t="shared" si="75"/>
        <v>5.686219497361759E+36</v>
      </c>
      <c r="CUF53" s="708">
        <f t="shared" si="75"/>
        <v>5.8568060822826119E+36</v>
      </c>
      <c r="CUG53" s="708">
        <f t="shared" si="75"/>
        <v>6.0325102647510907E+36</v>
      </c>
      <c r="CUH53" s="708">
        <f t="shared" si="75"/>
        <v>6.2134855726936233E+36</v>
      </c>
      <c r="CUI53" s="708">
        <f t="shared" si="75"/>
        <v>6.3998901398744325E+36</v>
      </c>
      <c r="CUJ53" s="708">
        <f t="shared" si="75"/>
        <v>6.5918868440706651E+36</v>
      </c>
      <c r="CUK53" s="708">
        <f t="shared" si="75"/>
        <v>6.7896434493927854E+36</v>
      </c>
      <c r="CUL53" s="708">
        <f t="shared" si="75"/>
        <v>6.9933327528745692E+36</v>
      </c>
      <c r="CUM53" s="708">
        <f t="shared" si="75"/>
        <v>7.203132735460806E+36</v>
      </c>
      <c r="CUN53" s="708">
        <f t="shared" si="75"/>
        <v>7.4192267175246303E+36</v>
      </c>
      <c r="CUO53" s="708">
        <f t="shared" si="75"/>
        <v>7.6418035190503691E+36</v>
      </c>
      <c r="CUP53" s="708">
        <f t="shared" si="75"/>
        <v>7.8710576246218807E+36</v>
      </c>
      <c r="CUQ53" s="708">
        <f t="shared" si="75"/>
        <v>8.107189353360537E+36</v>
      </c>
      <c r="CUR53" s="708">
        <f t="shared" si="75"/>
        <v>8.3504050339613533E+36</v>
      </c>
      <c r="CUS53" s="708">
        <f t="shared" si="75"/>
        <v>8.600917184980194E+36</v>
      </c>
      <c r="CUT53" s="708">
        <f t="shared" si="75"/>
        <v>8.8589447005295998E+36</v>
      </c>
      <c r="CUU53" s="708">
        <f t="shared" si="75"/>
        <v>9.1247130415454883E+36</v>
      </c>
      <c r="CUV53" s="708">
        <f t="shared" si="75"/>
        <v>9.3984544327918532E+36</v>
      </c>
      <c r="CUW53" s="708">
        <f t="shared" si="75"/>
        <v>9.680408065775609E+36</v>
      </c>
      <c r="CUX53" s="708">
        <f t="shared" si="75"/>
        <v>9.9708203077488779E+36</v>
      </c>
      <c r="CUY53" s="708">
        <f t="shared" si="75"/>
        <v>1.0269944916981344E+37</v>
      </c>
      <c r="CUZ53" s="708">
        <f t="shared" si="75"/>
        <v>1.0578043264490785E+37</v>
      </c>
      <c r="CVA53" s="708">
        <f t="shared" si="75"/>
        <v>1.0895384562425509E+37</v>
      </c>
      <c r="CVB53" s="708">
        <f t="shared" si="75"/>
        <v>1.1222246099298273E+37</v>
      </c>
      <c r="CVC53" s="708">
        <f t="shared" si="75"/>
        <v>1.1558913482277223E+37</v>
      </c>
      <c r="CVD53" s="708">
        <f t="shared" si="75"/>
        <v>1.1905680886745539E+37</v>
      </c>
      <c r="CVE53" s="708">
        <f t="shared" si="75"/>
        <v>1.2262851313347905E+37</v>
      </c>
      <c r="CVF53" s="708">
        <f t="shared" si="75"/>
        <v>1.2630736852748342E+37</v>
      </c>
      <c r="CVG53" s="708">
        <f t="shared" si="75"/>
        <v>1.3009658958330792E+37</v>
      </c>
      <c r="CVH53" s="708">
        <f t="shared" si="75"/>
        <v>1.3399948727080717E+37</v>
      </c>
      <c r="CVI53" s="708">
        <f t="shared" si="75"/>
        <v>1.380194718889314E+37</v>
      </c>
      <c r="CVJ53" s="708">
        <f t="shared" si="75"/>
        <v>1.4216005604559936E+37</v>
      </c>
      <c r="CVK53" s="708">
        <f t="shared" si="75"/>
        <v>1.4642485772696734E+37</v>
      </c>
      <c r="CVL53" s="708">
        <f t="shared" si="75"/>
        <v>1.5081760345877636E+37</v>
      </c>
      <c r="CVM53" s="708">
        <f t="shared" si="75"/>
        <v>1.5534213156253966E+37</v>
      </c>
      <c r="CVN53" s="708">
        <f t="shared" si="75"/>
        <v>1.6000239550941585E+37</v>
      </c>
      <c r="CVO53" s="708">
        <f t="shared" si="75"/>
        <v>1.6480246737469833E+37</v>
      </c>
      <c r="CVP53" s="708">
        <f t="shared" si="75"/>
        <v>1.6974654139593927E+37</v>
      </c>
      <c r="CVQ53" s="708">
        <f t="shared" si="75"/>
        <v>1.7483893763781746E+37</v>
      </c>
      <c r="CVR53" s="708">
        <f t="shared" si="75"/>
        <v>1.8008410576695198E+37</v>
      </c>
      <c r="CVS53" s="708">
        <f t="shared" si="75"/>
        <v>1.8548662893996055E+37</v>
      </c>
      <c r="CVT53" s="708">
        <f t="shared" si="75"/>
        <v>1.9105122780815938E+37</v>
      </c>
      <c r="CVU53" s="708">
        <f t="shared" si="75"/>
        <v>1.9678276464240416E+37</v>
      </c>
      <c r="CVV53" s="708">
        <f t="shared" si="75"/>
        <v>2.026862475816763E+37</v>
      </c>
      <c r="CVW53" s="708">
        <f t="shared" si="75"/>
        <v>2.0876683500912658E+37</v>
      </c>
      <c r="CVX53" s="708">
        <f t="shared" si="75"/>
        <v>2.1502984005940038E+37</v>
      </c>
      <c r="CVY53" s="708">
        <f t="shared" si="75"/>
        <v>2.2148073526118239E+37</v>
      </c>
      <c r="CVZ53" s="708">
        <f t="shared" si="75"/>
        <v>2.2812515731901788E+37</v>
      </c>
      <c r="CWA53" s="708">
        <f t="shared" si="75"/>
        <v>2.3496891203858842E+37</v>
      </c>
      <c r="CWB53" s="708">
        <f t="shared" si="75"/>
        <v>2.4201797939974609E+37</v>
      </c>
      <c r="CWC53" s="708">
        <f t="shared" si="75"/>
        <v>2.4927851878173847E+37</v>
      </c>
      <c r="CWD53" s="708">
        <f t="shared" ref="CWD53:CYO53" si="76">CWC53*$C$53</f>
        <v>2.5675687434519064E+37</v>
      </c>
      <c r="CWE53" s="708">
        <f t="shared" si="76"/>
        <v>2.6445958057554637E+37</v>
      </c>
      <c r="CWF53" s="708">
        <f t="shared" si="76"/>
        <v>2.7239336799281277E+37</v>
      </c>
      <c r="CWG53" s="708">
        <f t="shared" si="76"/>
        <v>2.8056516903259715E+37</v>
      </c>
      <c r="CWH53" s="708">
        <f t="shared" si="76"/>
        <v>2.8898212410357505E+37</v>
      </c>
      <c r="CWI53" s="708">
        <f t="shared" si="76"/>
        <v>2.9765158782668233E+37</v>
      </c>
      <c r="CWJ53" s="708">
        <f t="shared" si="76"/>
        <v>3.0658113546148281E+37</v>
      </c>
      <c r="CWK53" s="708">
        <f t="shared" si="76"/>
        <v>3.1577856952532729E+37</v>
      </c>
      <c r="CWL53" s="708">
        <f t="shared" si="76"/>
        <v>3.2525192661108712E+37</v>
      </c>
      <c r="CWM53" s="708">
        <f t="shared" si="76"/>
        <v>3.3500948440941976E+37</v>
      </c>
      <c r="CWN53" s="708">
        <f t="shared" si="76"/>
        <v>3.4505976894170236E+37</v>
      </c>
      <c r="CWO53" s="708">
        <f t="shared" si="76"/>
        <v>3.5541156200995346E+37</v>
      </c>
      <c r="CWP53" s="708">
        <f t="shared" si="76"/>
        <v>3.6607390887025206E+37</v>
      </c>
      <c r="CWQ53" s="708">
        <f t="shared" si="76"/>
        <v>3.7705612613635963E+37</v>
      </c>
      <c r="CWR53" s="708">
        <f t="shared" si="76"/>
        <v>3.8836780992045044E+37</v>
      </c>
      <c r="CWS53" s="708">
        <f t="shared" si="76"/>
        <v>4.0001884421806397E+37</v>
      </c>
      <c r="CWT53" s="708">
        <f t="shared" si="76"/>
        <v>4.1201940954460588E+37</v>
      </c>
      <c r="CWU53" s="708">
        <f t="shared" si="76"/>
        <v>4.2437999183094405E+37</v>
      </c>
      <c r="CWV53" s="708">
        <f t="shared" si="76"/>
        <v>4.371113915858724E+37</v>
      </c>
      <c r="CWW53" s="708">
        <f t="shared" si="76"/>
        <v>4.502247333334486E+37</v>
      </c>
      <c r="CWX53" s="708">
        <f t="shared" si="76"/>
        <v>4.6373147533345209E+37</v>
      </c>
      <c r="CWY53" s="708">
        <f t="shared" si="76"/>
        <v>4.7764341959345569E+37</v>
      </c>
      <c r="CWZ53" s="708">
        <f t="shared" si="76"/>
        <v>4.9197272218125934E+37</v>
      </c>
      <c r="CXA53" s="708">
        <f t="shared" si="76"/>
        <v>5.0673190384669718E+37</v>
      </c>
      <c r="CXB53" s="708">
        <f t="shared" si="76"/>
        <v>5.2193386096209809E+37</v>
      </c>
      <c r="CXC53" s="708">
        <f t="shared" si="76"/>
        <v>5.3759187679096101E+37</v>
      </c>
      <c r="CXD53" s="708">
        <f t="shared" si="76"/>
        <v>5.5371963309468985E+37</v>
      </c>
      <c r="CXE53" s="708">
        <f t="shared" si="76"/>
        <v>5.7033122208753055E+37</v>
      </c>
      <c r="CXF53" s="708">
        <f t="shared" si="76"/>
        <v>5.8744115875015652E+37</v>
      </c>
      <c r="CXG53" s="708">
        <f t="shared" si="76"/>
        <v>6.0506439351266123E+37</v>
      </c>
      <c r="CXH53" s="708">
        <f t="shared" si="76"/>
        <v>6.2321632531804111E+37</v>
      </c>
      <c r="CXI53" s="708">
        <f t="shared" si="76"/>
        <v>6.4191281507758238E+37</v>
      </c>
      <c r="CXJ53" s="708">
        <f t="shared" si="76"/>
        <v>6.6117019952990985E+37</v>
      </c>
      <c r="CXK53" s="708">
        <f t="shared" si="76"/>
        <v>6.8100530551580714E+37</v>
      </c>
      <c r="CXL53" s="708">
        <f t="shared" si="76"/>
        <v>7.0143546468128136E+37</v>
      </c>
      <c r="CXM53" s="708">
        <f t="shared" si="76"/>
        <v>7.2247852862171977E+37</v>
      </c>
      <c r="CXN53" s="708">
        <f t="shared" si="76"/>
        <v>7.4415288448037135E+37</v>
      </c>
      <c r="CXO53" s="708">
        <f t="shared" si="76"/>
        <v>7.6647747101478247E+37</v>
      </c>
      <c r="CXP53" s="708">
        <f t="shared" si="76"/>
        <v>7.8947179514522598E+37</v>
      </c>
      <c r="CXQ53" s="708">
        <f t="shared" si="76"/>
        <v>8.1315594899958281E+37</v>
      </c>
      <c r="CXR53" s="708">
        <f t="shared" si="76"/>
        <v>8.3755062746957033E+37</v>
      </c>
      <c r="CXS53" s="708">
        <f t="shared" si="76"/>
        <v>8.6267714629365749E+37</v>
      </c>
      <c r="CXT53" s="708">
        <f t="shared" si="76"/>
        <v>8.8855746068246729E+37</v>
      </c>
      <c r="CXU53" s="708">
        <f t="shared" si="76"/>
        <v>9.1521418450294128E+37</v>
      </c>
      <c r="CXV53" s="708">
        <f t="shared" si="76"/>
        <v>9.4267061003802959E+37</v>
      </c>
      <c r="CXW53" s="708">
        <f t="shared" si="76"/>
        <v>9.7095072833917052E+37</v>
      </c>
      <c r="CXX53" s="708">
        <f t="shared" si="76"/>
        <v>1.0000792501893457E+38</v>
      </c>
      <c r="CXY53" s="708">
        <f t="shared" si="76"/>
        <v>1.0300816276950262E+38</v>
      </c>
      <c r="CXZ53" s="708">
        <f t="shared" si="76"/>
        <v>1.0609840765258769E+38</v>
      </c>
      <c r="CYA53" s="708">
        <f t="shared" si="76"/>
        <v>1.0928135988216532E+38</v>
      </c>
      <c r="CYB53" s="708">
        <f t="shared" si="76"/>
        <v>1.1255980067863028E+38</v>
      </c>
      <c r="CYC53" s="708">
        <f t="shared" si="76"/>
        <v>1.159365946989892E+38</v>
      </c>
      <c r="CYD53" s="708">
        <f t="shared" si="76"/>
        <v>1.1941469253995887E+38</v>
      </c>
      <c r="CYE53" s="708">
        <f t="shared" si="76"/>
        <v>1.2299713331615764E+38</v>
      </c>
      <c r="CYF53" s="708">
        <f t="shared" si="76"/>
        <v>1.2668704731564237E+38</v>
      </c>
      <c r="CYG53" s="708">
        <f t="shared" si="76"/>
        <v>1.3048765873511164E+38</v>
      </c>
      <c r="CYH53" s="708">
        <f t="shared" si="76"/>
        <v>1.34402288497165E+38</v>
      </c>
      <c r="CYI53" s="708">
        <f t="shared" si="76"/>
        <v>1.3843435715207994E+38</v>
      </c>
      <c r="CYJ53" s="708">
        <f t="shared" si="76"/>
        <v>1.4258738786664234E+38</v>
      </c>
      <c r="CYK53" s="708">
        <f t="shared" si="76"/>
        <v>1.4686500950264162E+38</v>
      </c>
      <c r="CYL53" s="708">
        <f t="shared" si="76"/>
        <v>1.5127095978772088E+38</v>
      </c>
      <c r="CYM53" s="708">
        <f t="shared" si="76"/>
        <v>1.5580908858135252E+38</v>
      </c>
      <c r="CYN53" s="708">
        <f t="shared" si="76"/>
        <v>1.6048336123879309E+38</v>
      </c>
      <c r="CYO53" s="708">
        <f t="shared" si="76"/>
        <v>1.6529786207595689E+38</v>
      </c>
      <c r="CYP53" s="708">
        <f t="shared" ref="CYP53:DBA53" si="77">CYO53*$C$53</f>
        <v>1.702567979382356E+38</v>
      </c>
      <c r="CYQ53" s="708">
        <f t="shared" si="77"/>
        <v>1.7536450187638266E+38</v>
      </c>
      <c r="CYR53" s="708">
        <f t="shared" si="77"/>
        <v>1.8062543693267413E+38</v>
      </c>
      <c r="CYS53" s="708">
        <f t="shared" si="77"/>
        <v>1.8604420004065437E+38</v>
      </c>
      <c r="CYT53" s="708">
        <f t="shared" si="77"/>
        <v>1.9162552604187401E+38</v>
      </c>
      <c r="CYU53" s="708">
        <f t="shared" si="77"/>
        <v>1.9737429182313023E+38</v>
      </c>
      <c r="CYV53" s="708">
        <f t="shared" si="77"/>
        <v>2.0329552057782414E+38</v>
      </c>
      <c r="CYW53" s="708">
        <f t="shared" si="77"/>
        <v>2.0939438619515886E+38</v>
      </c>
      <c r="CYX53" s="708">
        <f t="shared" si="77"/>
        <v>2.1567621778101364E+38</v>
      </c>
      <c r="CYY53" s="708">
        <f t="shared" si="77"/>
        <v>2.2214650431444404E+38</v>
      </c>
      <c r="CYZ53" s="708">
        <f t="shared" si="77"/>
        <v>2.2881089944387735E+38</v>
      </c>
      <c r="CZA53" s="708">
        <f t="shared" si="77"/>
        <v>2.3567522642719368E+38</v>
      </c>
      <c r="CZB53" s="708">
        <f t="shared" si="77"/>
        <v>2.427454832200095E+38</v>
      </c>
      <c r="CZC53" s="708">
        <f t="shared" si="77"/>
        <v>2.5002784771660979E+38</v>
      </c>
      <c r="CZD53" s="708">
        <f t="shared" si="77"/>
        <v>2.5752868314810809E+38</v>
      </c>
      <c r="CZE53" s="708">
        <f t="shared" si="77"/>
        <v>2.6525454364255135E+38</v>
      </c>
      <c r="CZF53" s="708">
        <f t="shared" si="77"/>
        <v>2.732121799518279E+38</v>
      </c>
      <c r="CZG53" s="708">
        <f t="shared" si="77"/>
        <v>2.8140854535038274E+38</v>
      </c>
      <c r="CZH53" s="708">
        <f t="shared" si="77"/>
        <v>2.8985080171089424E+38</v>
      </c>
      <c r="CZI53" s="708">
        <f t="shared" si="77"/>
        <v>2.9854632576222108E+38</v>
      </c>
      <c r="CZJ53" s="708">
        <f t="shared" si="77"/>
        <v>3.0750271553508772E+38</v>
      </c>
      <c r="CZK53" s="708">
        <f t="shared" si="77"/>
        <v>3.1672779700114036E+38</v>
      </c>
      <c r="CZL53" s="708">
        <f t="shared" si="77"/>
        <v>3.2622963091117459E+38</v>
      </c>
      <c r="CZM53" s="708">
        <f t="shared" si="77"/>
        <v>3.3601651983850985E+38</v>
      </c>
      <c r="CZN53" s="708">
        <f t="shared" si="77"/>
        <v>3.4609701543366515E+38</v>
      </c>
      <c r="CZO53" s="708">
        <f t="shared" si="77"/>
        <v>3.564799258966751E+38</v>
      </c>
      <c r="CZP53" s="708">
        <f t="shared" si="77"/>
        <v>3.671743236735754E+38</v>
      </c>
      <c r="CZQ53" s="708">
        <f t="shared" si="77"/>
        <v>3.7818955338378267E+38</v>
      </c>
      <c r="CZR53" s="708">
        <f t="shared" si="77"/>
        <v>3.8953523998529619E+38</v>
      </c>
      <c r="CZS53" s="708">
        <f t="shared" si="77"/>
        <v>4.0122129718485512E+38</v>
      </c>
      <c r="CZT53" s="708">
        <f t="shared" si="77"/>
        <v>4.132579361004008E+38</v>
      </c>
      <c r="CZU53" s="708">
        <f t="shared" si="77"/>
        <v>4.2565567418341281E+38</v>
      </c>
      <c r="CZV53" s="708">
        <f t="shared" si="77"/>
        <v>4.3842534440891523E+38</v>
      </c>
      <c r="CZW53" s="708">
        <f t="shared" si="77"/>
        <v>4.5157810474118272E+38</v>
      </c>
      <c r="CZX53" s="708">
        <f t="shared" si="77"/>
        <v>4.6512544788341824E+38</v>
      </c>
      <c r="CZY53" s="708">
        <f t="shared" si="77"/>
        <v>4.7907921131992083E+38</v>
      </c>
      <c r="CZZ53" s="708">
        <f t="shared" si="77"/>
        <v>4.9345158765951845E+38</v>
      </c>
      <c r="DAA53" s="708">
        <f t="shared" si="77"/>
        <v>5.08255135289304E+38</v>
      </c>
      <c r="DAB53" s="708">
        <f t="shared" si="77"/>
        <v>5.2350278934798315E+38</v>
      </c>
      <c r="DAC53" s="708">
        <f t="shared" si="77"/>
        <v>5.3920787302842264E+38</v>
      </c>
      <c r="DAD53" s="708">
        <f t="shared" si="77"/>
        <v>5.5538410921927535E+38</v>
      </c>
      <c r="DAE53" s="708">
        <f t="shared" si="77"/>
        <v>5.7204563249585365E+38</v>
      </c>
      <c r="DAF53" s="708">
        <f t="shared" si="77"/>
        <v>5.8920700147072925E+38</v>
      </c>
      <c r="DAG53" s="708">
        <f t="shared" si="77"/>
        <v>6.0688321151485117E+38</v>
      </c>
      <c r="DAH53" s="708">
        <f t="shared" si="77"/>
        <v>6.2508970786029674E+38</v>
      </c>
      <c r="DAI53" s="708">
        <f t="shared" si="77"/>
        <v>6.4384239909610562E+38</v>
      </c>
      <c r="DAJ53" s="708">
        <f t="shared" si="77"/>
        <v>6.6315767106898878E+38</v>
      </c>
      <c r="DAK53" s="708">
        <f t="shared" si="77"/>
        <v>6.8305240120105852E+38</v>
      </c>
      <c r="DAL53" s="708">
        <f t="shared" si="77"/>
        <v>7.0354397323709028E+38</v>
      </c>
      <c r="DAM53" s="708">
        <f t="shared" si="77"/>
        <v>7.2465029243420294E+38</v>
      </c>
      <c r="DAN53" s="708">
        <f t="shared" si="77"/>
        <v>7.4638980120722901E+38</v>
      </c>
      <c r="DAO53" s="708">
        <f t="shared" si="77"/>
        <v>7.6878149524344592E+38</v>
      </c>
      <c r="DAP53" s="708">
        <f t="shared" si="77"/>
        <v>7.9184494010074937E+38</v>
      </c>
      <c r="DAQ53" s="708">
        <f t="shared" si="77"/>
        <v>8.1560028830377188E+38</v>
      </c>
      <c r="DAR53" s="708">
        <f t="shared" si="77"/>
        <v>8.400682969528851E+38</v>
      </c>
      <c r="DAS53" s="708">
        <f t="shared" si="77"/>
        <v>8.6527034586147167E+38</v>
      </c>
      <c r="DAT53" s="708">
        <f t="shared" si="77"/>
        <v>8.9122845623731583E+38</v>
      </c>
      <c r="DAU53" s="708">
        <f t="shared" si="77"/>
        <v>9.1796530992443526E+38</v>
      </c>
      <c r="DAV53" s="708">
        <f t="shared" si="77"/>
        <v>9.4550426922216834E+38</v>
      </c>
      <c r="DAW53" s="708">
        <f t="shared" si="77"/>
        <v>9.7386939729883339E+38</v>
      </c>
      <c r="DAX53" s="708">
        <f t="shared" si="77"/>
        <v>1.0030854792177983E+39</v>
      </c>
      <c r="DAY53" s="708">
        <f t="shared" si="77"/>
        <v>1.0331780435943323E+39</v>
      </c>
      <c r="DAZ53" s="708">
        <f t="shared" si="77"/>
        <v>1.0641733849021623E+39</v>
      </c>
      <c r="DBA53" s="708">
        <f t="shared" si="77"/>
        <v>1.0960985864492272E+39</v>
      </c>
      <c r="DBB53" s="708">
        <f t="shared" ref="DBB53:DDM53" si="78">DBA53*$C$53</f>
        <v>1.128981544042704E+39</v>
      </c>
      <c r="DBC53" s="708">
        <f t="shared" si="78"/>
        <v>1.1628509903639852E+39</v>
      </c>
      <c r="DBD53" s="708">
        <f t="shared" si="78"/>
        <v>1.1977365200749047E+39</v>
      </c>
      <c r="DBE53" s="708">
        <f t="shared" si="78"/>
        <v>1.2336686156771518E+39</v>
      </c>
      <c r="DBF53" s="708">
        <f t="shared" si="78"/>
        <v>1.2706786741474665E+39</v>
      </c>
      <c r="DBG53" s="708">
        <f t="shared" si="78"/>
        <v>1.3087990343718905E+39</v>
      </c>
      <c r="DBH53" s="708">
        <f t="shared" si="78"/>
        <v>1.3480630054030473E+39</v>
      </c>
      <c r="DBI53" s="708">
        <f t="shared" si="78"/>
        <v>1.3885048955651388E+39</v>
      </c>
      <c r="DBJ53" s="708">
        <f t="shared" si="78"/>
        <v>1.430160042432093E+39</v>
      </c>
      <c r="DBK53" s="708">
        <f t="shared" si="78"/>
        <v>1.4730648437050558E+39</v>
      </c>
      <c r="DBL53" s="708">
        <f t="shared" si="78"/>
        <v>1.5172567890162073E+39</v>
      </c>
      <c r="DBM53" s="708">
        <f t="shared" si="78"/>
        <v>1.5627744926866936E+39</v>
      </c>
      <c r="DBN53" s="708">
        <f t="shared" si="78"/>
        <v>1.6096577274672943E+39</v>
      </c>
      <c r="DBO53" s="708">
        <f t="shared" si="78"/>
        <v>1.6579474592913131E+39</v>
      </c>
      <c r="DBP53" s="708">
        <f t="shared" si="78"/>
        <v>1.7076858830700525E+39</v>
      </c>
      <c r="DBQ53" s="708">
        <f t="shared" si="78"/>
        <v>1.758916459562154E+39</v>
      </c>
      <c r="DBR53" s="708">
        <f t="shared" si="78"/>
        <v>1.8116839533490186E+39</v>
      </c>
      <c r="DBS53" s="708">
        <f t="shared" si="78"/>
        <v>1.8660344719494892E+39</v>
      </c>
      <c r="DBT53" s="708">
        <f t="shared" si="78"/>
        <v>1.9220155061079738E+39</v>
      </c>
      <c r="DBU53" s="708">
        <f t="shared" si="78"/>
        <v>1.9796759712912132E+39</v>
      </c>
      <c r="DBV53" s="708">
        <f t="shared" si="78"/>
        <v>2.0390662504299496E+39</v>
      </c>
      <c r="DBW53" s="708">
        <f t="shared" si="78"/>
        <v>2.100238237942848E+39</v>
      </c>
      <c r="DBX53" s="708">
        <f t="shared" si="78"/>
        <v>2.1632453850811335E+39</v>
      </c>
      <c r="DBY53" s="708">
        <f t="shared" si="78"/>
        <v>2.2281427466335676E+39</v>
      </c>
      <c r="DBZ53" s="708">
        <f t="shared" si="78"/>
        <v>2.2949870290325747E+39</v>
      </c>
      <c r="DCA53" s="708">
        <f t="shared" si="78"/>
        <v>2.3638366399035519E+39</v>
      </c>
      <c r="DCB53" s="708">
        <f t="shared" si="78"/>
        <v>2.4347517391006584E+39</v>
      </c>
      <c r="DCC53" s="708">
        <f t="shared" si="78"/>
        <v>2.5077942912736782E+39</v>
      </c>
      <c r="DCD53" s="708">
        <f t="shared" si="78"/>
        <v>2.5830281200118886E+39</v>
      </c>
      <c r="DCE53" s="708">
        <f t="shared" si="78"/>
        <v>2.6605189636122454E+39</v>
      </c>
      <c r="DCF53" s="708">
        <f t="shared" si="78"/>
        <v>2.7403345325206131E+39</v>
      </c>
      <c r="DCG53" s="708">
        <f t="shared" si="78"/>
        <v>2.8225445684962316E+39</v>
      </c>
      <c r="DCH53" s="708">
        <f t="shared" si="78"/>
        <v>2.9072209055511185E+39</v>
      </c>
      <c r="DCI53" s="708">
        <f t="shared" si="78"/>
        <v>2.9944375327176523E+39</v>
      </c>
      <c r="DCJ53" s="708">
        <f t="shared" si="78"/>
        <v>3.084270658699182E+39</v>
      </c>
      <c r="DCK53" s="708">
        <f t="shared" si="78"/>
        <v>3.1767987784601573E+39</v>
      </c>
      <c r="DCL53" s="708">
        <f t="shared" si="78"/>
        <v>3.2721027418139621E+39</v>
      </c>
      <c r="DCM53" s="708">
        <f t="shared" si="78"/>
        <v>3.370265824068381E+39</v>
      </c>
      <c r="DCN53" s="708">
        <f t="shared" si="78"/>
        <v>3.4713737987904324E+39</v>
      </c>
      <c r="DCO53" s="708">
        <f t="shared" si="78"/>
        <v>3.5755150127541453E+39</v>
      </c>
      <c r="DCP53" s="708">
        <f t="shared" si="78"/>
        <v>3.6827804631367696E+39</v>
      </c>
      <c r="DCQ53" s="708">
        <f t="shared" si="78"/>
        <v>3.7932638770308728E+39</v>
      </c>
      <c r="DCR53" s="708">
        <f t="shared" si="78"/>
        <v>3.9070617933417989E+39</v>
      </c>
      <c r="DCS53" s="708">
        <f t="shared" si="78"/>
        <v>4.0242736471420528E+39</v>
      </c>
      <c r="DCT53" s="708">
        <f t="shared" si="78"/>
        <v>4.1450018565563143E+39</v>
      </c>
      <c r="DCU53" s="708">
        <f t="shared" si="78"/>
        <v>4.2693519122530041E+39</v>
      </c>
      <c r="DCV53" s="708">
        <f t="shared" si="78"/>
        <v>4.3974324696205944E+39</v>
      </c>
      <c r="DCW53" s="708">
        <f t="shared" si="78"/>
        <v>4.5293554437092121E+39</v>
      </c>
      <c r="DCX53" s="708">
        <f t="shared" si="78"/>
        <v>4.6652361070204887E+39</v>
      </c>
      <c r="DCY53" s="708">
        <f t="shared" si="78"/>
        <v>4.8051931902311036E+39</v>
      </c>
      <c r="DCZ53" s="708">
        <f t="shared" si="78"/>
        <v>4.9493489859380366E+39</v>
      </c>
      <c r="DDA53" s="708">
        <f t="shared" si="78"/>
        <v>5.0978294555161778E+39</v>
      </c>
      <c r="DDB53" s="708">
        <f t="shared" si="78"/>
        <v>5.2507643391816635E+39</v>
      </c>
      <c r="DDC53" s="708">
        <f t="shared" si="78"/>
        <v>5.4082872693571135E+39</v>
      </c>
      <c r="DDD53" s="708">
        <f t="shared" si="78"/>
        <v>5.5705358874378266E+39</v>
      </c>
      <c r="DDE53" s="708">
        <f t="shared" si="78"/>
        <v>5.7376519640609609E+39</v>
      </c>
      <c r="DDF53" s="708">
        <f t="shared" si="78"/>
        <v>5.90978152298279E+39</v>
      </c>
      <c r="DDG53" s="708">
        <f t="shared" si="78"/>
        <v>6.0870749686722736E+39</v>
      </c>
      <c r="DDH53" s="708">
        <f t="shared" si="78"/>
        <v>6.2696872177324418E+39</v>
      </c>
      <c r="DDI53" s="708">
        <f t="shared" si="78"/>
        <v>6.4577778342644147E+39</v>
      </c>
      <c r="DDJ53" s="708">
        <f t="shared" si="78"/>
        <v>6.6515111692923471E+39</v>
      </c>
      <c r="DDK53" s="708">
        <f t="shared" si="78"/>
        <v>6.8510565043711181E+39</v>
      </c>
      <c r="DDL53" s="708">
        <f t="shared" si="78"/>
        <v>7.0565881995022514E+39</v>
      </c>
      <c r="DDM53" s="708">
        <f t="shared" si="78"/>
        <v>7.2682858454873188E+39</v>
      </c>
      <c r="DDN53" s="708">
        <f t="shared" ref="DDN53:DFY53" si="79">DDM53*$C$53</f>
        <v>7.4863344208519383E+39</v>
      </c>
      <c r="DDO53" s="708">
        <f t="shared" si="79"/>
        <v>7.7109244534774969E+39</v>
      </c>
      <c r="DDP53" s="708">
        <f t="shared" si="79"/>
        <v>7.9422521870818217E+39</v>
      </c>
      <c r="DDQ53" s="708">
        <f t="shared" si="79"/>
        <v>8.1805197526942764E+39</v>
      </c>
      <c r="DDR53" s="708">
        <f t="shared" si="79"/>
        <v>8.4259353452751049E+39</v>
      </c>
      <c r="DDS53" s="708">
        <f t="shared" si="79"/>
        <v>8.678713405633358E+39</v>
      </c>
      <c r="DDT53" s="708">
        <f t="shared" si="79"/>
        <v>8.9390748078023585E+39</v>
      </c>
      <c r="DDU53" s="708">
        <f t="shared" si="79"/>
        <v>9.2072470520364295E+39</v>
      </c>
      <c r="DDV53" s="708">
        <f t="shared" si="79"/>
        <v>9.4834644635975229E+39</v>
      </c>
      <c r="DDW53" s="708">
        <f t="shared" si="79"/>
        <v>9.7679683975054485E+39</v>
      </c>
      <c r="DDX53" s="708">
        <f t="shared" si="79"/>
        <v>1.0061007449430612E+40</v>
      </c>
      <c r="DDY53" s="708">
        <f t="shared" si="79"/>
        <v>1.036283767291353E+40</v>
      </c>
      <c r="DDZ53" s="708">
        <f t="shared" si="79"/>
        <v>1.0673722803100936E+40</v>
      </c>
      <c r="DEA53" s="708">
        <f t="shared" si="79"/>
        <v>1.0993934487193965E+40</v>
      </c>
      <c r="DEB53" s="708">
        <f t="shared" si="79"/>
        <v>1.1323752521809785E+40</v>
      </c>
      <c r="DEC53" s="708">
        <f t="shared" si="79"/>
        <v>1.166346509746408E+40</v>
      </c>
      <c r="DED53" s="708">
        <f t="shared" si="79"/>
        <v>1.2013369050388002E+40</v>
      </c>
      <c r="DEE53" s="708">
        <f t="shared" si="79"/>
        <v>1.2373770121899642E+40</v>
      </c>
      <c r="DEF53" s="708">
        <f t="shared" si="79"/>
        <v>1.2744983225556633E+40</v>
      </c>
      <c r="DEG53" s="708">
        <f t="shared" si="79"/>
        <v>1.3127332722323332E+40</v>
      </c>
      <c r="DEH53" s="708">
        <f t="shared" si="79"/>
        <v>1.3521152703993031E+40</v>
      </c>
      <c r="DEI53" s="708">
        <f t="shared" si="79"/>
        <v>1.3926787285112823E+40</v>
      </c>
      <c r="DEJ53" s="708">
        <f t="shared" si="79"/>
        <v>1.4344590903666207E+40</v>
      </c>
      <c r="DEK53" s="708">
        <f t="shared" si="79"/>
        <v>1.4774928630776193E+40</v>
      </c>
      <c r="DEL53" s="708">
        <f t="shared" si="79"/>
        <v>1.521817648969948E+40</v>
      </c>
      <c r="DEM53" s="708">
        <f t="shared" si="79"/>
        <v>1.5674721784390465E+40</v>
      </c>
      <c r="DEN53" s="708">
        <f t="shared" si="79"/>
        <v>1.6144963437922179E+40</v>
      </c>
      <c r="DEO53" s="708">
        <f t="shared" si="79"/>
        <v>1.6629312341059846E+40</v>
      </c>
      <c r="DEP53" s="708">
        <f t="shared" si="79"/>
        <v>1.7128191711291642E+40</v>
      </c>
      <c r="DEQ53" s="708">
        <f t="shared" si="79"/>
        <v>1.7642037462630392E+40</v>
      </c>
      <c r="DER53" s="708">
        <f t="shared" si="79"/>
        <v>1.8171298586509304E+40</v>
      </c>
      <c r="DES53" s="708">
        <f t="shared" si="79"/>
        <v>1.8716437544104583E+40</v>
      </c>
      <c r="DET53" s="708">
        <f t="shared" si="79"/>
        <v>1.9277930670427721E+40</v>
      </c>
      <c r="DEU53" s="708">
        <f t="shared" si="79"/>
        <v>1.9856268590540553E+40</v>
      </c>
      <c r="DEV53" s="708">
        <f t="shared" si="79"/>
        <v>2.045195664825677E+40</v>
      </c>
      <c r="DEW53" s="708">
        <f t="shared" si="79"/>
        <v>2.1065515347704473E+40</v>
      </c>
      <c r="DEX53" s="708">
        <f t="shared" si="79"/>
        <v>2.1697480808135608E+40</v>
      </c>
      <c r="DEY53" s="708">
        <f t="shared" si="79"/>
        <v>2.2348405232379675E+40</v>
      </c>
      <c r="DEZ53" s="708">
        <f t="shared" si="79"/>
        <v>2.3018857389351063E+40</v>
      </c>
      <c r="DFA53" s="708">
        <f t="shared" si="79"/>
        <v>2.3709423111031598E+40</v>
      </c>
      <c r="DFB53" s="708">
        <f t="shared" si="79"/>
        <v>2.4420705804362545E+40</v>
      </c>
      <c r="DFC53" s="708">
        <f t="shared" si="79"/>
        <v>2.515332697849342E+40</v>
      </c>
      <c r="DFD53" s="708">
        <f t="shared" si="79"/>
        <v>2.5907926787848223E+40</v>
      </c>
      <c r="DFE53" s="708">
        <f t="shared" si="79"/>
        <v>2.6685164591483672E+40</v>
      </c>
      <c r="DFF53" s="708">
        <f t="shared" si="79"/>
        <v>2.7485719529228183E+40</v>
      </c>
      <c r="DFG53" s="708">
        <f t="shared" si="79"/>
        <v>2.831029111510503E+40</v>
      </c>
      <c r="DFH53" s="708">
        <f t="shared" si="79"/>
        <v>2.9159599848558184E+40</v>
      </c>
      <c r="DFI53" s="708">
        <f t="shared" si="79"/>
        <v>3.0034387844014932E+40</v>
      </c>
      <c r="DFJ53" s="708">
        <f t="shared" si="79"/>
        <v>3.093541947933538E+40</v>
      </c>
      <c r="DFK53" s="708">
        <f t="shared" si="79"/>
        <v>3.186348206371544E+40</v>
      </c>
      <c r="DFL53" s="708">
        <f t="shared" si="79"/>
        <v>3.2819386525626903E+40</v>
      </c>
      <c r="DFM53" s="708">
        <f t="shared" si="79"/>
        <v>3.3803968121395711E+40</v>
      </c>
      <c r="DFN53" s="708">
        <f t="shared" si="79"/>
        <v>3.4818087165037585E+40</v>
      </c>
      <c r="DFO53" s="708">
        <f t="shared" si="79"/>
        <v>3.5862629779988713E+40</v>
      </c>
      <c r="DFP53" s="708">
        <f t="shared" si="79"/>
        <v>3.6938508673388378E+40</v>
      </c>
      <c r="DFQ53" s="708">
        <f t="shared" si="79"/>
        <v>3.8046663933590032E+40</v>
      </c>
      <c r="DFR53" s="708">
        <f t="shared" si="79"/>
        <v>3.9188063851597736E+40</v>
      </c>
      <c r="DFS53" s="708">
        <f t="shared" si="79"/>
        <v>4.0363705767145671E+40</v>
      </c>
      <c r="DFT53" s="708">
        <f t="shared" si="79"/>
        <v>4.1574616940160041E+40</v>
      </c>
      <c r="DFU53" s="708">
        <f t="shared" si="79"/>
        <v>4.2821855448364843E+40</v>
      </c>
      <c r="DFV53" s="708">
        <f t="shared" si="79"/>
        <v>4.4106511111815787E+40</v>
      </c>
      <c r="DFW53" s="708">
        <f t="shared" si="79"/>
        <v>4.5429706445170264E+40</v>
      </c>
      <c r="DFX53" s="708">
        <f t="shared" si="79"/>
        <v>4.6792597638525375E+40</v>
      </c>
      <c r="DFY53" s="708">
        <f t="shared" si="79"/>
        <v>4.8196375567681142E+40</v>
      </c>
      <c r="DFZ53" s="708">
        <f t="shared" ref="DFZ53:DIK53" si="80">DFY53*$C$53</f>
        <v>4.9642266834711581E+40</v>
      </c>
      <c r="DGA53" s="708">
        <f t="shared" si="80"/>
        <v>5.113153483975293E+40</v>
      </c>
      <c r="DGB53" s="708">
        <f t="shared" si="80"/>
        <v>5.2665480884945523E+40</v>
      </c>
      <c r="DGC53" s="708">
        <f t="shared" si="80"/>
        <v>5.4245445311493891E+40</v>
      </c>
      <c r="DGD53" s="708">
        <f t="shared" si="80"/>
        <v>5.587280867083871E+40</v>
      </c>
      <c r="DGE53" s="708">
        <f t="shared" si="80"/>
        <v>5.7548992930963868E+40</v>
      </c>
      <c r="DGF53" s="708">
        <f t="shared" si="80"/>
        <v>5.9275462718892784E+40</v>
      </c>
      <c r="DGG53" s="708">
        <f t="shared" si="80"/>
        <v>6.1053726600459566E+40</v>
      </c>
      <c r="DGH53" s="708">
        <f t="shared" si="80"/>
        <v>6.2885338398473357E+40</v>
      </c>
      <c r="DGI53" s="708">
        <f t="shared" si="80"/>
        <v>6.4771898550427557E+40</v>
      </c>
      <c r="DGJ53" s="708">
        <f t="shared" si="80"/>
        <v>6.6715055506940387E+40</v>
      </c>
      <c r="DGK53" s="708">
        <f t="shared" si="80"/>
        <v>6.8716507172148602E+40</v>
      </c>
      <c r="DGL53" s="708">
        <f t="shared" si="80"/>
        <v>7.077800238731306E+40</v>
      </c>
      <c r="DGM53" s="708">
        <f t="shared" si="80"/>
        <v>7.2901342458932454E+40</v>
      </c>
      <c r="DGN53" s="708">
        <f t="shared" si="80"/>
        <v>7.508838273270043E+40</v>
      </c>
      <c r="DGO53" s="708">
        <f t="shared" si="80"/>
        <v>7.7341034214681448E+40</v>
      </c>
      <c r="DGP53" s="708">
        <f t="shared" si="80"/>
        <v>7.9661265241121889E+40</v>
      </c>
      <c r="DGQ53" s="708">
        <f t="shared" si="80"/>
        <v>8.205110319835555E+40</v>
      </c>
      <c r="DGR53" s="708">
        <f t="shared" si="80"/>
        <v>8.4512636294306218E+40</v>
      </c>
      <c r="DGS53" s="708">
        <f t="shared" si="80"/>
        <v>8.7048015383135405E+40</v>
      </c>
      <c r="DGT53" s="708">
        <f t="shared" si="80"/>
        <v>8.9659455844629472E+40</v>
      </c>
      <c r="DGU53" s="708">
        <f t="shared" si="80"/>
        <v>9.2349239519968356E+40</v>
      </c>
      <c r="DGV53" s="708">
        <f t="shared" si="80"/>
        <v>9.5119716705567413E+40</v>
      </c>
      <c r="DGW53" s="708">
        <f t="shared" si="80"/>
        <v>9.7973308206734441E+40</v>
      </c>
      <c r="DGX53" s="708">
        <f t="shared" si="80"/>
        <v>1.0091250745293648E+41</v>
      </c>
      <c r="DGY53" s="708">
        <f t="shared" si="80"/>
        <v>1.0393988267652457E+41</v>
      </c>
      <c r="DGZ53" s="708">
        <f t="shared" si="80"/>
        <v>1.0705807915682031E+41</v>
      </c>
      <c r="DHA53" s="708">
        <f t="shared" si="80"/>
        <v>1.1026982153152492E+41</v>
      </c>
      <c r="DHB53" s="708">
        <f t="shared" si="80"/>
        <v>1.1357791617747067E+41</v>
      </c>
      <c r="DHC53" s="708">
        <f t="shared" si="80"/>
        <v>1.1698525366279479E+41</v>
      </c>
      <c r="DHD53" s="708">
        <f t="shared" si="80"/>
        <v>1.2049481127267863E+41</v>
      </c>
      <c r="DHE53" s="708">
        <f t="shared" si="80"/>
        <v>1.2410965561085899E+41</v>
      </c>
      <c r="DHF53" s="708">
        <f t="shared" si="80"/>
        <v>1.2783294527918477E+41</v>
      </c>
      <c r="DHG53" s="708">
        <f t="shared" si="80"/>
        <v>1.3166793363756032E+41</v>
      </c>
      <c r="DHH53" s="708">
        <f t="shared" si="80"/>
        <v>1.3561797164668714E+41</v>
      </c>
      <c r="DHI53" s="708">
        <f t="shared" si="80"/>
        <v>1.3968651079608777E+41</v>
      </c>
      <c r="DHJ53" s="708">
        <f t="shared" si="80"/>
        <v>1.438771061199704E+41</v>
      </c>
      <c r="DHK53" s="708">
        <f t="shared" si="80"/>
        <v>1.4819341930356951E+41</v>
      </c>
      <c r="DHL53" s="708">
        <f t="shared" si="80"/>
        <v>1.526392218826766E+41</v>
      </c>
      <c r="DHM53" s="708">
        <f t="shared" si="80"/>
        <v>1.572183985391569E+41</v>
      </c>
      <c r="DHN53" s="708">
        <f t="shared" si="80"/>
        <v>1.6193495049533162E+41</v>
      </c>
      <c r="DHO53" s="708">
        <f t="shared" si="80"/>
        <v>1.6679299901019157E+41</v>
      </c>
      <c r="DHP53" s="708">
        <f t="shared" si="80"/>
        <v>1.7179678898049732E+41</v>
      </c>
      <c r="DHQ53" s="708">
        <f t="shared" si="80"/>
        <v>1.7695069264991223E+41</v>
      </c>
      <c r="DHR53" s="708">
        <f t="shared" si="80"/>
        <v>1.8225921342940959E+41</v>
      </c>
      <c r="DHS53" s="708">
        <f t="shared" si="80"/>
        <v>1.8772698983229189E+41</v>
      </c>
      <c r="DHT53" s="708">
        <f t="shared" si="80"/>
        <v>1.9335879952726064E+41</v>
      </c>
      <c r="DHU53" s="708">
        <f t="shared" si="80"/>
        <v>1.9915956351307845E+41</v>
      </c>
      <c r="DHV53" s="708">
        <f t="shared" si="80"/>
        <v>2.0513435041847081E+41</v>
      </c>
      <c r="DHW53" s="708">
        <f t="shared" si="80"/>
        <v>2.1128838093102493E+41</v>
      </c>
      <c r="DHX53" s="708">
        <f t="shared" si="80"/>
        <v>2.1762703235895567E+41</v>
      </c>
      <c r="DHY53" s="708">
        <f t="shared" si="80"/>
        <v>2.2415584332972435E+41</v>
      </c>
      <c r="DHZ53" s="708">
        <f t="shared" si="80"/>
        <v>2.308805186296161E+41</v>
      </c>
      <c r="DIA53" s="708">
        <f t="shared" si="80"/>
        <v>2.3780693418850459E+41</v>
      </c>
      <c r="DIB53" s="708">
        <f t="shared" si="80"/>
        <v>2.4494114221415973E+41</v>
      </c>
      <c r="DIC53" s="708">
        <f t="shared" si="80"/>
        <v>2.5228937648058453E+41</v>
      </c>
      <c r="DID53" s="708">
        <f t="shared" si="80"/>
        <v>2.5985805777500207E+41</v>
      </c>
      <c r="DIE53" s="708">
        <f t="shared" si="80"/>
        <v>2.6765379950825216E+41</v>
      </c>
      <c r="DIF53" s="708">
        <f t="shared" si="80"/>
        <v>2.7568341349349973E+41</v>
      </c>
      <c r="DIG53" s="708">
        <f t="shared" si="80"/>
        <v>2.8395391589830471E+41</v>
      </c>
      <c r="DIH53" s="708">
        <f t="shared" si="80"/>
        <v>2.9247253337525384E+41</v>
      </c>
      <c r="DII53" s="708">
        <f t="shared" si="80"/>
        <v>3.0124670937651146E+41</v>
      </c>
      <c r="DIJ53" s="708">
        <f t="shared" si="80"/>
        <v>3.1028411065780681E+41</v>
      </c>
      <c r="DIK53" s="708">
        <f t="shared" si="80"/>
        <v>3.1959263397754103E+41</v>
      </c>
      <c r="DIL53" s="708">
        <f t="shared" ref="DIL53:DKW53" si="81">DIK53*$C$53</f>
        <v>3.2918041299686726E+41</v>
      </c>
      <c r="DIM53" s="708">
        <f t="shared" si="81"/>
        <v>3.3905582538677329E+41</v>
      </c>
      <c r="DIN53" s="708">
        <f t="shared" si="81"/>
        <v>3.492275001483765E+41</v>
      </c>
      <c r="DIO53" s="708">
        <f t="shared" si="81"/>
        <v>3.597043251528278E+41</v>
      </c>
      <c r="DIP53" s="708">
        <f t="shared" si="81"/>
        <v>3.7049545490741265E+41</v>
      </c>
      <c r="DIQ53" s="708">
        <f t="shared" si="81"/>
        <v>3.8161031855463501E+41</v>
      </c>
      <c r="DIR53" s="708">
        <f t="shared" si="81"/>
        <v>3.9305862811127406E+41</v>
      </c>
      <c r="DIS53" s="708">
        <f t="shared" si="81"/>
        <v>4.0485038695461227E+41</v>
      </c>
      <c r="DIT53" s="708">
        <f t="shared" si="81"/>
        <v>4.1699589856325064E+41</v>
      </c>
      <c r="DIU53" s="708">
        <f t="shared" si="81"/>
        <v>4.2950577552014821E+41</v>
      </c>
      <c r="DIV53" s="708">
        <f t="shared" si="81"/>
        <v>4.4239094878575266E+41</v>
      </c>
      <c r="DIW53" s="708">
        <f t="shared" si="81"/>
        <v>4.5566267724932525E+41</v>
      </c>
      <c r="DIX53" s="708">
        <f t="shared" si="81"/>
        <v>4.6933255756680505E+41</v>
      </c>
      <c r="DIY53" s="708">
        <f t="shared" si="81"/>
        <v>4.8341253429380922E+41</v>
      </c>
      <c r="DIZ53" s="708">
        <f t="shared" si="81"/>
        <v>4.9791491032262348E+41</v>
      </c>
      <c r="DJA53" s="708">
        <f t="shared" si="81"/>
        <v>5.1285235763230217E+41</v>
      </c>
      <c r="DJB53" s="708">
        <f t="shared" si="81"/>
        <v>5.2823792836127123E+41</v>
      </c>
      <c r="DJC53" s="708">
        <f t="shared" si="81"/>
        <v>5.4408506621210935E+41</v>
      </c>
      <c r="DJD53" s="708">
        <f t="shared" si="81"/>
        <v>5.6040761819847262E+41</v>
      </c>
      <c r="DJE53" s="708">
        <f t="shared" si="81"/>
        <v>5.7721984674442679E+41</v>
      </c>
      <c r="DJF53" s="708">
        <f t="shared" si="81"/>
        <v>5.9453644214675964E+41</v>
      </c>
      <c r="DJG53" s="708">
        <f t="shared" si="81"/>
        <v>6.1237253541116247E+41</v>
      </c>
      <c r="DJH53" s="708">
        <f t="shared" si="81"/>
        <v>6.3074371147349732E+41</v>
      </c>
      <c r="DJI53" s="708">
        <f t="shared" si="81"/>
        <v>6.4966602281770228E+41</v>
      </c>
      <c r="DJJ53" s="708">
        <f t="shared" si="81"/>
        <v>6.6915600350223339E+41</v>
      </c>
      <c r="DJK53" s="708">
        <f t="shared" si="81"/>
        <v>6.8923068360730038E+41</v>
      </c>
      <c r="DJL53" s="708">
        <f t="shared" si="81"/>
        <v>7.0990760411551933E+41</v>
      </c>
      <c r="DJM53" s="708">
        <f t="shared" si="81"/>
        <v>7.3120483223898487E+41</v>
      </c>
      <c r="DJN53" s="708">
        <f t="shared" si="81"/>
        <v>7.5314097720615443E+41</v>
      </c>
      <c r="DJO53" s="708">
        <f t="shared" si="81"/>
        <v>7.7573520652233914E+41</v>
      </c>
      <c r="DJP53" s="708">
        <f t="shared" si="81"/>
        <v>7.9900726271800928E+41</v>
      </c>
      <c r="DJQ53" s="708">
        <f t="shared" si="81"/>
        <v>8.2297748059954951E+41</v>
      </c>
      <c r="DJR53" s="708">
        <f t="shared" si="81"/>
        <v>8.4766680501753605E+41</v>
      </c>
      <c r="DJS53" s="708">
        <f t="shared" si="81"/>
        <v>8.7309680916806218E+41</v>
      </c>
      <c r="DJT53" s="708">
        <f t="shared" si="81"/>
        <v>8.9928971344310407E+41</v>
      </c>
      <c r="DJU53" s="708">
        <f t="shared" si="81"/>
        <v>9.2626840484639727E+41</v>
      </c>
      <c r="DJV53" s="708">
        <f t="shared" si="81"/>
        <v>9.5405645699178919E+41</v>
      </c>
      <c r="DJW53" s="708">
        <f t="shared" si="81"/>
        <v>9.8267815070154289E+41</v>
      </c>
      <c r="DJX53" s="708">
        <f t="shared" si="81"/>
        <v>1.0121584952225892E+42</v>
      </c>
      <c r="DJY53" s="708">
        <f t="shared" si="81"/>
        <v>1.0425232500792668E+42</v>
      </c>
      <c r="DJZ53" s="708">
        <f t="shared" si="81"/>
        <v>1.0737989475816449E+42</v>
      </c>
      <c r="DKA53" s="708">
        <f t="shared" si="81"/>
        <v>1.1060129160090943E+42</v>
      </c>
      <c r="DKB53" s="708">
        <f t="shared" si="81"/>
        <v>1.1391933034893672E+42</v>
      </c>
      <c r="DKC53" s="708">
        <f t="shared" si="81"/>
        <v>1.1733691025940482E+42</v>
      </c>
      <c r="DKD53" s="708">
        <f t="shared" si="81"/>
        <v>1.2085701756718697E+42</v>
      </c>
      <c r="DKE53" s="708">
        <f t="shared" si="81"/>
        <v>1.2448272809420259E+42</v>
      </c>
      <c r="DKF53" s="708">
        <f t="shared" si="81"/>
        <v>1.2821720993702868E+42</v>
      </c>
      <c r="DKG53" s="708">
        <f t="shared" si="81"/>
        <v>1.3206372623513954E+42</v>
      </c>
      <c r="DKH53" s="708">
        <f t="shared" si="81"/>
        <v>1.3602563802219373E+42</v>
      </c>
      <c r="DKI53" s="708">
        <f t="shared" si="81"/>
        <v>1.4010640716285954E+42</v>
      </c>
      <c r="DKJ53" s="708">
        <f t="shared" si="81"/>
        <v>1.4430959937774533E+42</v>
      </c>
      <c r="DKK53" s="708">
        <f t="shared" si="81"/>
        <v>1.4863888735907768E+42</v>
      </c>
      <c r="DKL53" s="708">
        <f t="shared" si="81"/>
        <v>1.5309805397985E+42</v>
      </c>
      <c r="DKM53" s="708">
        <f t="shared" si="81"/>
        <v>1.5769099559924549E+42</v>
      </c>
      <c r="DKN53" s="708">
        <f t="shared" si="81"/>
        <v>1.6242172546722288E+42</v>
      </c>
      <c r="DKO53" s="708">
        <f t="shared" si="81"/>
        <v>1.6729437723123956E+42</v>
      </c>
      <c r="DKP53" s="708">
        <f t="shared" si="81"/>
        <v>1.7231320854817676E+42</v>
      </c>
      <c r="DKQ53" s="708">
        <f t="shared" si="81"/>
        <v>1.7748260480462208E+42</v>
      </c>
      <c r="DKR53" s="708">
        <f t="shared" si="81"/>
        <v>1.8280708294876075E+42</v>
      </c>
      <c r="DKS53" s="708">
        <f t="shared" si="81"/>
        <v>1.8829129543722358E+42</v>
      </c>
      <c r="DKT53" s="708">
        <f t="shared" si="81"/>
        <v>1.9394003430034029E+42</v>
      </c>
      <c r="DKU53" s="708">
        <f t="shared" si="81"/>
        <v>1.9975823532935049E+42</v>
      </c>
      <c r="DKV53" s="708">
        <f t="shared" si="81"/>
        <v>2.05750982389231E+42</v>
      </c>
      <c r="DKW53" s="708">
        <f t="shared" si="81"/>
        <v>2.1192351186090794E+42</v>
      </c>
      <c r="DKX53" s="708">
        <f t="shared" ref="DKX53:DNI53" si="82">DKW53*$C$53</f>
        <v>2.1828121721673517E+42</v>
      </c>
      <c r="DKY53" s="708">
        <f t="shared" si="82"/>
        <v>2.2482965373323722E+42</v>
      </c>
      <c r="DKZ53" s="708">
        <f t="shared" si="82"/>
        <v>2.3157454334523433E+42</v>
      </c>
      <c r="DLA53" s="708">
        <f t="shared" si="82"/>
        <v>2.3852177964559138E+42</v>
      </c>
      <c r="DLB53" s="708">
        <f t="shared" si="82"/>
        <v>2.4567743303495914E+42</v>
      </c>
      <c r="DLC53" s="708">
        <f t="shared" si="82"/>
        <v>2.530477560260079E+42</v>
      </c>
      <c r="DLD53" s="708">
        <f t="shared" si="82"/>
        <v>2.6063918870678814E+42</v>
      </c>
      <c r="DLE53" s="708">
        <f t="shared" si="82"/>
        <v>2.684583643679918E+42</v>
      </c>
      <c r="DLF53" s="708">
        <f t="shared" si="82"/>
        <v>2.7651211529903156E+42</v>
      </c>
      <c r="DLG53" s="708">
        <f t="shared" si="82"/>
        <v>2.8480747875800251E+42</v>
      </c>
      <c r="DLH53" s="708">
        <f t="shared" si="82"/>
        <v>2.9335170312074263E+42</v>
      </c>
      <c r="DLI53" s="708">
        <f t="shared" si="82"/>
        <v>3.0215225421436491E+42</v>
      </c>
      <c r="DLJ53" s="708">
        <f t="shared" si="82"/>
        <v>3.1121682184079585E+42</v>
      </c>
      <c r="DLK53" s="708">
        <f t="shared" si="82"/>
        <v>3.2055332649601975E+42</v>
      </c>
      <c r="DLL53" s="708">
        <f t="shared" si="82"/>
        <v>3.3016992629090034E+42</v>
      </c>
      <c r="DLM53" s="708">
        <f t="shared" si="82"/>
        <v>3.4007502407962734E+42</v>
      </c>
      <c r="DLN53" s="708">
        <f t="shared" si="82"/>
        <v>3.5027727480201616E+42</v>
      </c>
      <c r="DLO53" s="708">
        <f t="shared" si="82"/>
        <v>3.6078559304607669E+42</v>
      </c>
      <c r="DLP53" s="708">
        <f t="shared" si="82"/>
        <v>3.7160916083745903E+42</v>
      </c>
      <c r="DLQ53" s="708">
        <f t="shared" si="82"/>
        <v>3.827574356625828E+42</v>
      </c>
      <c r="DLR53" s="708">
        <f t="shared" si="82"/>
        <v>3.942401587324603E+42</v>
      </c>
      <c r="DLS53" s="708">
        <f t="shared" si="82"/>
        <v>4.0606736349443413E+42</v>
      </c>
      <c r="DLT53" s="708">
        <f t="shared" si="82"/>
        <v>4.1824938439926715E+42</v>
      </c>
      <c r="DLU53" s="708">
        <f t="shared" si="82"/>
        <v>4.3079686593124517E+42</v>
      </c>
      <c r="DLV53" s="708">
        <f t="shared" si="82"/>
        <v>4.4372077190918254E+42</v>
      </c>
      <c r="DLW53" s="708">
        <f t="shared" si="82"/>
        <v>4.5703239506645803E+42</v>
      </c>
      <c r="DLX53" s="708">
        <f t="shared" si="82"/>
        <v>4.7074336691845176E+42</v>
      </c>
      <c r="DLY53" s="708">
        <f t="shared" si="82"/>
        <v>4.8486566792600533E+42</v>
      </c>
      <c r="DLZ53" s="708">
        <f t="shared" si="82"/>
        <v>4.9941163796378552E+42</v>
      </c>
      <c r="DMA53" s="708">
        <f t="shared" si="82"/>
        <v>5.1439398710269908E+42</v>
      </c>
      <c r="DMB53" s="708">
        <f t="shared" si="82"/>
        <v>5.2982580671578005E+42</v>
      </c>
      <c r="DMC53" s="708">
        <f t="shared" si="82"/>
        <v>5.4572058091725347E+42</v>
      </c>
      <c r="DMD53" s="708">
        <f t="shared" si="82"/>
        <v>5.6209219834477106E+42</v>
      </c>
      <c r="DME53" s="708">
        <f t="shared" si="82"/>
        <v>5.7895496429511423E+42</v>
      </c>
      <c r="DMF53" s="708">
        <f t="shared" si="82"/>
        <v>5.9632361322396763E+42</v>
      </c>
      <c r="DMG53" s="708">
        <f t="shared" si="82"/>
        <v>6.1421332162068663E+42</v>
      </c>
      <c r="DMH53" s="708">
        <f t="shared" si="82"/>
        <v>6.3263972126930725E+42</v>
      </c>
      <c r="DMI53" s="708">
        <f t="shared" si="82"/>
        <v>6.5161891290738646E+42</v>
      </c>
      <c r="DMJ53" s="708">
        <f t="shared" si="82"/>
        <v>6.7116748029460811E+42</v>
      </c>
      <c r="DMK53" s="708">
        <f t="shared" si="82"/>
        <v>6.9130250470344637E+42</v>
      </c>
      <c r="DML53" s="708">
        <f t="shared" si="82"/>
        <v>7.1204157984454979E+42</v>
      </c>
      <c r="DMM53" s="708">
        <f t="shared" si="82"/>
        <v>7.3340282723988632E+42</v>
      </c>
      <c r="DMN53" s="708">
        <f t="shared" si="82"/>
        <v>7.5540491205708288E+42</v>
      </c>
      <c r="DMO53" s="708">
        <f t="shared" si="82"/>
        <v>7.780670594187954E+42</v>
      </c>
      <c r="DMP53" s="708">
        <f t="shared" si="82"/>
        <v>8.0140907120135926E+42</v>
      </c>
      <c r="DMQ53" s="708">
        <f t="shared" si="82"/>
        <v>8.2545134333740003E+42</v>
      </c>
      <c r="DMR53" s="708">
        <f t="shared" si="82"/>
        <v>8.5021488363752204E+42</v>
      </c>
      <c r="DMS53" s="708">
        <f t="shared" si="82"/>
        <v>8.7572133014664766E+42</v>
      </c>
      <c r="DMT53" s="708">
        <f t="shared" si="82"/>
        <v>9.019929700510471E+42</v>
      </c>
      <c r="DMU53" s="708">
        <f t="shared" si="82"/>
        <v>9.290527591525785E+42</v>
      </c>
      <c r="DMV53" s="708">
        <f t="shared" si="82"/>
        <v>9.5692434192715593E+42</v>
      </c>
      <c r="DMW53" s="708">
        <f t="shared" si="82"/>
        <v>9.856320721849706E+42</v>
      </c>
      <c r="DMX53" s="708">
        <f t="shared" si="82"/>
        <v>1.0152010343505197E+43</v>
      </c>
      <c r="DMY53" s="708">
        <f t="shared" si="82"/>
        <v>1.0456570653810354E+43</v>
      </c>
      <c r="DMZ53" s="708">
        <f t="shared" si="82"/>
        <v>1.0770267773424664E+43</v>
      </c>
      <c r="DNA53" s="708">
        <f t="shared" si="82"/>
        <v>1.1093375806627404E+43</v>
      </c>
      <c r="DNB53" s="708">
        <f t="shared" si="82"/>
        <v>1.1426177080826225E+43</v>
      </c>
      <c r="DNC53" s="708">
        <f t="shared" si="82"/>
        <v>1.1768962393251012E+43</v>
      </c>
      <c r="DND53" s="708">
        <f t="shared" si="82"/>
        <v>1.2122031265048542E+43</v>
      </c>
      <c r="DNE53" s="708">
        <f t="shared" si="82"/>
        <v>1.2485692202999998E+43</v>
      </c>
      <c r="DNF53" s="708">
        <f t="shared" si="82"/>
        <v>1.2860262969089999E+43</v>
      </c>
      <c r="DNG53" s="708">
        <f t="shared" si="82"/>
        <v>1.32460708581627E+43</v>
      </c>
      <c r="DNH53" s="708">
        <f t="shared" si="82"/>
        <v>1.3643452983907583E+43</v>
      </c>
      <c r="DNI53" s="708">
        <f t="shared" si="82"/>
        <v>1.405275657342481E+43</v>
      </c>
      <c r="DNJ53" s="708">
        <f t="shared" ref="DNJ53:DPU53" si="83">DNI53*$C$53</f>
        <v>1.4474339270627555E+43</v>
      </c>
      <c r="DNK53" s="708">
        <f t="shared" si="83"/>
        <v>1.4908569448746383E+43</v>
      </c>
      <c r="DNL53" s="708">
        <f t="shared" si="83"/>
        <v>1.5355826532208775E+43</v>
      </c>
      <c r="DNM53" s="708">
        <f t="shared" si="83"/>
        <v>1.5816501328175038E+43</v>
      </c>
      <c r="DNN53" s="708">
        <f t="shared" si="83"/>
        <v>1.629099636802029E+43</v>
      </c>
      <c r="DNO53" s="708">
        <f t="shared" si="83"/>
        <v>1.6779726259060899E+43</v>
      </c>
      <c r="DNP53" s="708">
        <f t="shared" si="83"/>
        <v>1.7283118046832727E+43</v>
      </c>
      <c r="DNQ53" s="708">
        <f t="shared" si="83"/>
        <v>1.7801611588237709E+43</v>
      </c>
      <c r="DNR53" s="708">
        <f t="shared" si="83"/>
        <v>1.833565993588484E+43</v>
      </c>
      <c r="DNS53" s="708">
        <f t="shared" si="83"/>
        <v>1.8885729733961385E+43</v>
      </c>
      <c r="DNT53" s="708">
        <f t="shared" si="83"/>
        <v>1.9452301625980227E+43</v>
      </c>
      <c r="DNU53" s="708">
        <f t="shared" si="83"/>
        <v>2.0035870674759634E+43</v>
      </c>
      <c r="DNV53" s="708">
        <f t="shared" si="83"/>
        <v>2.0636946795002424E+43</v>
      </c>
      <c r="DNW53" s="708">
        <f t="shared" si="83"/>
        <v>2.1256055198852499E+43</v>
      </c>
      <c r="DNX53" s="708">
        <f t="shared" si="83"/>
        <v>2.1893736854818074E+43</v>
      </c>
      <c r="DNY53" s="708">
        <f t="shared" si="83"/>
        <v>2.2550548960462615E+43</v>
      </c>
      <c r="DNZ53" s="708">
        <f t="shared" si="83"/>
        <v>2.3227065429276492E+43</v>
      </c>
      <c r="DOA53" s="708">
        <f t="shared" si="83"/>
        <v>2.392387739215479E+43</v>
      </c>
      <c r="DOB53" s="708">
        <f t="shared" si="83"/>
        <v>2.4641593713919434E+43</v>
      </c>
      <c r="DOC53" s="708">
        <f t="shared" si="83"/>
        <v>2.5380841525337018E+43</v>
      </c>
      <c r="DOD53" s="708">
        <f t="shared" si="83"/>
        <v>2.614226677109713E+43</v>
      </c>
      <c r="DOE53" s="708">
        <f t="shared" si="83"/>
        <v>2.6926534774230042E+43</v>
      </c>
      <c r="DOF53" s="708">
        <f t="shared" si="83"/>
        <v>2.7734330817456945E+43</v>
      </c>
      <c r="DOG53" s="708">
        <f t="shared" si="83"/>
        <v>2.8566360741980653E+43</v>
      </c>
      <c r="DOH53" s="708">
        <f t="shared" si="83"/>
        <v>2.9423351564240071E+43</v>
      </c>
      <c r="DOI53" s="708">
        <f t="shared" si="83"/>
        <v>3.0306052111167272E+43</v>
      </c>
      <c r="DOJ53" s="708">
        <f t="shared" si="83"/>
        <v>3.1215233674502293E+43</v>
      </c>
      <c r="DOK53" s="708">
        <f t="shared" si="83"/>
        <v>3.215169068473736E+43</v>
      </c>
      <c r="DOL53" s="708">
        <f t="shared" si="83"/>
        <v>3.3116241405279482E+43</v>
      </c>
      <c r="DOM53" s="708">
        <f t="shared" si="83"/>
        <v>3.4109728647437867E+43</v>
      </c>
      <c r="DON53" s="708">
        <f t="shared" si="83"/>
        <v>3.5133020506861003E+43</v>
      </c>
      <c r="DOO53" s="708">
        <f t="shared" si="83"/>
        <v>3.6187011122066834E+43</v>
      </c>
      <c r="DOP53" s="708">
        <f t="shared" si="83"/>
        <v>3.727262145572884E+43</v>
      </c>
      <c r="DOQ53" s="708">
        <f t="shared" si="83"/>
        <v>3.8390800099400708E+43</v>
      </c>
      <c r="DOR53" s="708">
        <f t="shared" si="83"/>
        <v>3.9542524102382728E+43</v>
      </c>
      <c r="DOS53" s="708">
        <f t="shared" si="83"/>
        <v>4.0728799825454209E+43</v>
      </c>
      <c r="DOT53" s="708">
        <f t="shared" si="83"/>
        <v>4.1950663820217835E+43</v>
      </c>
      <c r="DOU53" s="708">
        <f t="shared" si="83"/>
        <v>4.3209183734824373E+43</v>
      </c>
      <c r="DOV53" s="708">
        <f t="shared" si="83"/>
        <v>4.4505459246869104E+43</v>
      </c>
      <c r="DOW53" s="708">
        <f t="shared" si="83"/>
        <v>4.5840623024275181E+43</v>
      </c>
      <c r="DOX53" s="708">
        <f t="shared" si="83"/>
        <v>4.7215841715003441E+43</v>
      </c>
      <c r="DOY53" s="708">
        <f t="shared" si="83"/>
        <v>4.8632316966453541E+43</v>
      </c>
      <c r="DOZ53" s="708">
        <f t="shared" si="83"/>
        <v>5.0091286475447151E+43</v>
      </c>
      <c r="DPA53" s="708">
        <f t="shared" si="83"/>
        <v>5.1594025069710565E+43</v>
      </c>
      <c r="DPB53" s="708">
        <f t="shared" si="83"/>
        <v>5.3141845821801884E+43</v>
      </c>
      <c r="DPC53" s="708">
        <f t="shared" si="83"/>
        <v>5.4736101196455941E+43</v>
      </c>
      <c r="DPD53" s="708">
        <f t="shared" si="83"/>
        <v>5.6378184232349621E+43</v>
      </c>
      <c r="DPE53" s="708">
        <f t="shared" si="83"/>
        <v>5.8069529759320115E+43</v>
      </c>
      <c r="DPF53" s="708">
        <f t="shared" si="83"/>
        <v>5.9811615652099722E+43</v>
      </c>
      <c r="DPG53" s="708">
        <f t="shared" si="83"/>
        <v>6.1605964121662713E+43</v>
      </c>
      <c r="DPH53" s="708">
        <f t="shared" si="83"/>
        <v>6.3454143045312599E+43</v>
      </c>
      <c r="DPI53" s="708">
        <f t="shared" si="83"/>
        <v>6.535776733667198E+43</v>
      </c>
      <c r="DPJ53" s="708">
        <f t="shared" si="83"/>
        <v>6.7318500356772146E+43</v>
      </c>
      <c r="DPK53" s="708">
        <f t="shared" si="83"/>
        <v>6.9338055367475312E+43</v>
      </c>
      <c r="DPL53" s="708">
        <f t="shared" si="83"/>
        <v>7.1418197028499575E+43</v>
      </c>
      <c r="DPM53" s="708">
        <f t="shared" si="83"/>
        <v>7.356074293935456E+43</v>
      </c>
      <c r="DPN53" s="708">
        <f t="shared" si="83"/>
        <v>7.5767565227535202E+43</v>
      </c>
      <c r="DPO53" s="708">
        <f t="shared" si="83"/>
        <v>7.8040592184361256E+43</v>
      </c>
      <c r="DPP53" s="708">
        <f t="shared" si="83"/>
        <v>8.0381809949892094E+43</v>
      </c>
      <c r="DPQ53" s="708">
        <f t="shared" si="83"/>
        <v>8.2793264248388859E+43</v>
      </c>
      <c r="DPR53" s="708">
        <f t="shared" si="83"/>
        <v>8.5277062175840524E+43</v>
      </c>
      <c r="DPS53" s="708">
        <f t="shared" si="83"/>
        <v>8.7835374041115743E+43</v>
      </c>
      <c r="DPT53" s="708">
        <f t="shared" si="83"/>
        <v>9.0470435262349217E+43</v>
      </c>
      <c r="DPU53" s="708">
        <f t="shared" si="83"/>
        <v>9.3184548320219697E+43</v>
      </c>
      <c r="DPV53" s="708">
        <f t="shared" ref="DPV53:DSG53" si="84">DPU53*$C$53</f>
        <v>9.5980084769826282E+43</v>
      </c>
      <c r="DPW53" s="708">
        <f t="shared" si="84"/>
        <v>9.885948731292107E+43</v>
      </c>
      <c r="DPX53" s="708">
        <f t="shared" si="84"/>
        <v>1.0182527193230871E+44</v>
      </c>
      <c r="DPY53" s="708">
        <f t="shared" si="84"/>
        <v>1.0488003009027798E+44</v>
      </c>
      <c r="DPZ53" s="708">
        <f t="shared" si="84"/>
        <v>1.0802643099298633E+44</v>
      </c>
      <c r="DQA53" s="708">
        <f t="shared" si="84"/>
        <v>1.1126722392277592E+44</v>
      </c>
      <c r="DQB53" s="708">
        <f t="shared" si="84"/>
        <v>1.1460524064045919E+44</v>
      </c>
      <c r="DQC53" s="708">
        <f t="shared" si="84"/>
        <v>1.1804339785967298E+44</v>
      </c>
      <c r="DQD53" s="708">
        <f t="shared" si="84"/>
        <v>1.2158469979546317E+44</v>
      </c>
      <c r="DQE53" s="708">
        <f t="shared" si="84"/>
        <v>1.2523224078932706E+44</v>
      </c>
      <c r="DQF53" s="708">
        <f t="shared" si="84"/>
        <v>1.2898920801300688E+44</v>
      </c>
      <c r="DQG53" s="708">
        <f t="shared" si="84"/>
        <v>1.328588842533971E+44</v>
      </c>
      <c r="DQH53" s="708">
        <f t="shared" si="84"/>
        <v>1.3684465078099902E+44</v>
      </c>
      <c r="DQI53" s="708">
        <f t="shared" si="84"/>
        <v>1.4094999030442899E+44</v>
      </c>
      <c r="DQJ53" s="708">
        <f t="shared" si="84"/>
        <v>1.4517849001356186E+44</v>
      </c>
      <c r="DQK53" s="708">
        <f t="shared" si="84"/>
        <v>1.4953384471396872E+44</v>
      </c>
      <c r="DQL53" s="708">
        <f t="shared" si="84"/>
        <v>1.5401986005538779E+44</v>
      </c>
      <c r="DQM53" s="708">
        <f t="shared" si="84"/>
        <v>1.5864045585704942E+44</v>
      </c>
      <c r="DQN53" s="708">
        <f t="shared" si="84"/>
        <v>1.6339966953276091E+44</v>
      </c>
      <c r="DQO53" s="708">
        <f t="shared" si="84"/>
        <v>1.6830165961874374E+44</v>
      </c>
      <c r="DQP53" s="708">
        <f t="shared" si="84"/>
        <v>1.7335070940730607E+44</v>
      </c>
      <c r="DQQ53" s="708">
        <f t="shared" si="84"/>
        <v>1.7855123068952525E+44</v>
      </c>
      <c r="DQR53" s="708">
        <f t="shared" si="84"/>
        <v>1.8390776761021101E+44</v>
      </c>
      <c r="DQS53" s="708">
        <f t="shared" si="84"/>
        <v>1.8942500063851734E+44</v>
      </c>
      <c r="DQT53" s="708">
        <f t="shared" si="84"/>
        <v>1.9510775065767287E+44</v>
      </c>
      <c r="DQU53" s="708">
        <f t="shared" si="84"/>
        <v>2.0096098317740308E+44</v>
      </c>
      <c r="DQV53" s="708">
        <f t="shared" si="84"/>
        <v>2.0698981267272519E+44</v>
      </c>
      <c r="DQW53" s="708">
        <f t="shared" si="84"/>
        <v>2.1319950705290694E+44</v>
      </c>
      <c r="DQX53" s="708">
        <f t="shared" si="84"/>
        <v>2.1959549226449416E+44</v>
      </c>
      <c r="DQY53" s="708">
        <f t="shared" si="84"/>
        <v>2.26183357032429E+44</v>
      </c>
      <c r="DQZ53" s="708">
        <f t="shared" si="84"/>
        <v>2.3296885774340187E+44</v>
      </c>
      <c r="DRA53" s="708">
        <f t="shared" si="84"/>
        <v>2.3995792347570395E+44</v>
      </c>
      <c r="DRB53" s="708">
        <f t="shared" si="84"/>
        <v>2.4715666117997506E+44</v>
      </c>
      <c r="DRC53" s="708">
        <f t="shared" si="84"/>
        <v>2.5457136101537433E+44</v>
      </c>
      <c r="DRD53" s="708">
        <f t="shared" si="84"/>
        <v>2.6220850184583556E+44</v>
      </c>
      <c r="DRE53" s="708">
        <f t="shared" si="84"/>
        <v>2.7007475690121062E+44</v>
      </c>
      <c r="DRF53" s="708">
        <f t="shared" si="84"/>
        <v>2.7817699960824697E+44</v>
      </c>
      <c r="DRG53" s="708">
        <f t="shared" si="84"/>
        <v>2.8652230959649439E+44</v>
      </c>
      <c r="DRH53" s="708">
        <f t="shared" si="84"/>
        <v>2.9511797888438925E+44</v>
      </c>
      <c r="DRI53" s="708">
        <f t="shared" si="84"/>
        <v>3.0397151825092095E+44</v>
      </c>
      <c r="DRJ53" s="708">
        <f t="shared" si="84"/>
        <v>3.1309066379844859E+44</v>
      </c>
      <c r="DRK53" s="708">
        <f t="shared" si="84"/>
        <v>3.2248338371240205E+44</v>
      </c>
      <c r="DRL53" s="708">
        <f t="shared" si="84"/>
        <v>3.3215788522377414E+44</v>
      </c>
      <c r="DRM53" s="708">
        <f t="shared" si="84"/>
        <v>3.4212262178048738E+44</v>
      </c>
      <c r="DRN53" s="708">
        <f t="shared" si="84"/>
        <v>3.5238630043390202E+44</v>
      </c>
      <c r="DRO53" s="708">
        <f t="shared" si="84"/>
        <v>3.6295788944691906E+44</v>
      </c>
      <c r="DRP53" s="708">
        <f t="shared" si="84"/>
        <v>3.7384662613032662E+44</v>
      </c>
      <c r="DRQ53" s="708">
        <f t="shared" si="84"/>
        <v>3.8506202491423646E+44</v>
      </c>
      <c r="DRR53" s="708">
        <f t="shared" si="84"/>
        <v>3.9661388566166359E+44</v>
      </c>
      <c r="DRS53" s="708">
        <f t="shared" si="84"/>
        <v>4.0851230223151352E+44</v>
      </c>
      <c r="DRT53" s="708">
        <f t="shared" si="84"/>
        <v>4.207676712984589E+44</v>
      </c>
      <c r="DRU53" s="708">
        <f t="shared" si="84"/>
        <v>4.3339070143741267E+44</v>
      </c>
      <c r="DRV53" s="708">
        <f t="shared" si="84"/>
        <v>4.4639242248053509E+44</v>
      </c>
      <c r="DRW53" s="708">
        <f t="shared" si="84"/>
        <v>4.5978419515495116E+44</v>
      </c>
      <c r="DRX53" s="708">
        <f t="shared" si="84"/>
        <v>4.7357772100959973E+44</v>
      </c>
      <c r="DRY53" s="708">
        <f t="shared" si="84"/>
        <v>4.8778505263988776E+44</v>
      </c>
      <c r="DRZ53" s="708">
        <f t="shared" si="84"/>
        <v>5.0241860421908441E+44</v>
      </c>
      <c r="DSA53" s="708">
        <f t="shared" si="84"/>
        <v>5.1749116234565692E+44</v>
      </c>
      <c r="DSB53" s="708">
        <f t="shared" si="84"/>
        <v>5.3301589721602664E+44</v>
      </c>
      <c r="DSC53" s="708">
        <f t="shared" si="84"/>
        <v>5.4900637413250746E+44</v>
      </c>
      <c r="DSD53" s="708">
        <f t="shared" si="84"/>
        <v>5.6547656535648267E+44</v>
      </c>
      <c r="DSE53" s="708">
        <f t="shared" si="84"/>
        <v>5.8244086231717714E+44</v>
      </c>
      <c r="DSF53" s="708">
        <f t="shared" si="84"/>
        <v>5.9991408818669247E+44</v>
      </c>
      <c r="DSG53" s="708">
        <f t="shared" si="84"/>
        <v>6.1791151083229322E+44</v>
      </c>
      <c r="DSH53" s="708">
        <f t="shared" ref="DSH53:DUS53" si="85">DSG53*$C$53</f>
        <v>6.3644885615726202E+44</v>
      </c>
      <c r="DSI53" s="708">
        <f t="shared" si="85"/>
        <v>6.555423218419799E+44</v>
      </c>
      <c r="DSJ53" s="708">
        <f t="shared" si="85"/>
        <v>6.7520859149723929E+44</v>
      </c>
      <c r="DSK53" s="708">
        <f t="shared" si="85"/>
        <v>6.9546484924215647E+44</v>
      </c>
      <c r="DSL53" s="708">
        <f t="shared" si="85"/>
        <v>7.1632879471942126E+44</v>
      </c>
      <c r="DSM53" s="708">
        <f t="shared" si="85"/>
        <v>7.3781865856100385E+44</v>
      </c>
      <c r="DSN53" s="708">
        <f t="shared" si="85"/>
        <v>7.5995321831783401E+44</v>
      </c>
      <c r="DSO53" s="708">
        <f t="shared" si="85"/>
        <v>7.8275181486736909E+44</v>
      </c>
      <c r="DSP53" s="708">
        <f t="shared" si="85"/>
        <v>8.0623436931339016E+44</v>
      </c>
      <c r="DSQ53" s="708">
        <f t="shared" si="85"/>
        <v>8.3042140039279192E+44</v>
      </c>
      <c r="DSR53" s="708">
        <f t="shared" si="85"/>
        <v>8.5533404240457569E+44</v>
      </c>
      <c r="DSS53" s="708">
        <f t="shared" si="85"/>
        <v>8.8099406367671296E+44</v>
      </c>
      <c r="DST53" s="708">
        <f t="shared" si="85"/>
        <v>9.0742388558701437E+44</v>
      </c>
      <c r="DSU53" s="708">
        <f t="shared" si="85"/>
        <v>9.3464660215462486E+44</v>
      </c>
      <c r="DSV53" s="708">
        <f t="shared" si="85"/>
        <v>9.6268600021926366E+44</v>
      </c>
      <c r="DSW53" s="708">
        <f t="shared" si="85"/>
        <v>9.9156658022584153E+44</v>
      </c>
      <c r="DSX53" s="708">
        <f t="shared" si="85"/>
        <v>1.0213135776326169E+45</v>
      </c>
      <c r="DSY53" s="708">
        <f t="shared" si="85"/>
        <v>1.0519529849615953E+45</v>
      </c>
      <c r="DSZ53" s="708">
        <f t="shared" si="85"/>
        <v>1.0835115745104432E+45</v>
      </c>
      <c r="DTA53" s="708">
        <f t="shared" si="85"/>
        <v>1.1160169217457566E+45</v>
      </c>
      <c r="DTB53" s="708">
        <f t="shared" si="85"/>
        <v>1.1494974293981293E+45</v>
      </c>
      <c r="DTC53" s="708">
        <f t="shared" si="85"/>
        <v>1.1839823522800731E+45</v>
      </c>
      <c r="DTD53" s="708">
        <f t="shared" si="85"/>
        <v>1.2195018228484754E+45</v>
      </c>
      <c r="DTE53" s="708">
        <f t="shared" si="85"/>
        <v>1.2560868775339297E+45</v>
      </c>
      <c r="DTF53" s="708">
        <f t="shared" si="85"/>
        <v>1.2937694838599476E+45</v>
      </c>
      <c r="DTG53" s="708">
        <f t="shared" si="85"/>
        <v>1.332582568375746E+45</v>
      </c>
      <c r="DTH53" s="708">
        <f t="shared" si="85"/>
        <v>1.3725600454270185E+45</v>
      </c>
      <c r="DTI53" s="708">
        <f t="shared" si="85"/>
        <v>1.413736846789829E+45</v>
      </c>
      <c r="DTJ53" s="708">
        <f t="shared" si="85"/>
        <v>1.4561489521935238E+45</v>
      </c>
      <c r="DTK53" s="708">
        <f t="shared" si="85"/>
        <v>1.4998334207593294E+45</v>
      </c>
      <c r="DTL53" s="708">
        <f t="shared" si="85"/>
        <v>1.5448284233821093E+45</v>
      </c>
      <c r="DTM53" s="708">
        <f t="shared" si="85"/>
        <v>1.5911732760835726E+45</v>
      </c>
      <c r="DTN53" s="708">
        <f t="shared" si="85"/>
        <v>1.6389084743660799E+45</v>
      </c>
      <c r="DTO53" s="708">
        <f t="shared" si="85"/>
        <v>1.6880757285970625E+45</v>
      </c>
      <c r="DTP53" s="708">
        <f t="shared" si="85"/>
        <v>1.7387180004549744E+45</v>
      </c>
      <c r="DTQ53" s="708">
        <f t="shared" si="85"/>
        <v>1.7908795404686238E+45</v>
      </c>
      <c r="DTR53" s="708">
        <f t="shared" si="85"/>
        <v>1.8446059266826825E+45</v>
      </c>
      <c r="DTS53" s="708">
        <f t="shared" si="85"/>
        <v>1.8999441044831629E+45</v>
      </c>
      <c r="DTT53" s="708">
        <f t="shared" si="85"/>
        <v>1.9569424276176579E+45</v>
      </c>
      <c r="DTU53" s="708">
        <f t="shared" si="85"/>
        <v>2.0156507004461878E+45</v>
      </c>
      <c r="DTV53" s="708">
        <f t="shared" si="85"/>
        <v>2.0761202214595736E+45</v>
      </c>
      <c r="DTW53" s="708">
        <f t="shared" si="85"/>
        <v>2.138403828103361E+45</v>
      </c>
      <c r="DTX53" s="708">
        <f t="shared" si="85"/>
        <v>2.2025559429464617E+45</v>
      </c>
      <c r="DTY53" s="708">
        <f t="shared" si="85"/>
        <v>2.2686326212348556E+45</v>
      </c>
      <c r="DTZ53" s="708">
        <f t="shared" si="85"/>
        <v>2.3366915998719015E+45</v>
      </c>
      <c r="DUA53" s="708">
        <f t="shared" si="85"/>
        <v>2.4067923478680585E+45</v>
      </c>
      <c r="DUB53" s="708">
        <f t="shared" si="85"/>
        <v>2.4789961183041003E+45</v>
      </c>
      <c r="DUC53" s="708">
        <f t="shared" si="85"/>
        <v>2.5533660018532234E+45</v>
      </c>
      <c r="DUD53" s="708">
        <f t="shared" si="85"/>
        <v>2.6299669819088202E+45</v>
      </c>
      <c r="DUE53" s="708">
        <f t="shared" si="85"/>
        <v>2.7088659913660849E+45</v>
      </c>
      <c r="DUF53" s="708">
        <f t="shared" si="85"/>
        <v>2.7901319711070675E+45</v>
      </c>
      <c r="DUG53" s="708">
        <f t="shared" si="85"/>
        <v>2.8738359302402796E+45</v>
      </c>
      <c r="DUH53" s="708">
        <f t="shared" si="85"/>
        <v>2.960051008147488E+45</v>
      </c>
      <c r="DUI53" s="708">
        <f t="shared" si="85"/>
        <v>3.0488525383919128E+45</v>
      </c>
      <c r="DUJ53" s="708">
        <f t="shared" si="85"/>
        <v>3.1403181145436706E+45</v>
      </c>
      <c r="DUK53" s="708">
        <f t="shared" si="85"/>
        <v>3.2345276579799809E+45</v>
      </c>
      <c r="DUL53" s="708">
        <f t="shared" si="85"/>
        <v>3.3315634877193802E+45</v>
      </c>
      <c r="DUM53" s="708">
        <f t="shared" si="85"/>
        <v>3.4315103923509617E+45</v>
      </c>
      <c r="DUN53" s="708">
        <f t="shared" si="85"/>
        <v>3.5344557041214903E+45</v>
      </c>
      <c r="DUO53" s="708">
        <f t="shared" si="85"/>
        <v>3.6404893752451351E+45</v>
      </c>
      <c r="DUP53" s="708">
        <f t="shared" si="85"/>
        <v>3.749704056502489E+45</v>
      </c>
      <c r="DUQ53" s="708">
        <f t="shared" si="85"/>
        <v>3.8621951781975636E+45</v>
      </c>
      <c r="DUR53" s="708">
        <f t="shared" si="85"/>
        <v>3.9780610335434909E+45</v>
      </c>
      <c r="DUS53" s="708">
        <f t="shared" si="85"/>
        <v>4.0974028645497955E+45</v>
      </c>
      <c r="DUT53" s="708">
        <f t="shared" ref="DUT53:DXE53" si="86">DUS53*$C$53</f>
        <v>4.2203249504862893E+45</v>
      </c>
      <c r="DUU53" s="708">
        <f t="shared" si="86"/>
        <v>4.3469346990008779E+45</v>
      </c>
      <c r="DUV53" s="708">
        <f t="shared" si="86"/>
        <v>4.4773427399709045E+45</v>
      </c>
      <c r="DUW53" s="708">
        <f t="shared" si="86"/>
        <v>4.611663022170032E+45</v>
      </c>
      <c r="DUX53" s="708">
        <f t="shared" si="86"/>
        <v>4.7500129128351329E+45</v>
      </c>
      <c r="DUY53" s="708">
        <f t="shared" si="86"/>
        <v>4.8925133002201869E+45</v>
      </c>
      <c r="DUZ53" s="708">
        <f t="shared" si="86"/>
        <v>5.0392886992267923E+45</v>
      </c>
      <c r="DVA53" s="708">
        <f t="shared" si="86"/>
        <v>5.1904673602035963E+45</v>
      </c>
      <c r="DVB53" s="708">
        <f t="shared" si="86"/>
        <v>5.3461813810097045E+45</v>
      </c>
      <c r="DVC53" s="708">
        <f t="shared" si="86"/>
        <v>5.5065668224399956E+45</v>
      </c>
      <c r="DVD53" s="708">
        <f t="shared" si="86"/>
        <v>5.6717638271131959E+45</v>
      </c>
      <c r="DVE53" s="708">
        <f t="shared" si="86"/>
        <v>5.8419167419265915E+45</v>
      </c>
      <c r="DVF53" s="708">
        <f t="shared" si="86"/>
        <v>6.0171742441843895E+45</v>
      </c>
      <c r="DVG53" s="708">
        <f t="shared" si="86"/>
        <v>6.1976894715099216E+45</v>
      </c>
      <c r="DVH53" s="708">
        <f t="shared" si="86"/>
        <v>6.3836201556552198E+45</v>
      </c>
      <c r="DVI53" s="708">
        <f t="shared" si="86"/>
        <v>6.5751287603248762E+45</v>
      </c>
      <c r="DVJ53" s="708">
        <f t="shared" si="86"/>
        <v>6.7723826231346228E+45</v>
      </c>
      <c r="DVK53" s="708">
        <f t="shared" si="86"/>
        <v>6.9755541018286617E+45</v>
      </c>
      <c r="DVL53" s="708">
        <f t="shared" si="86"/>
        <v>7.1848207248835215E+45</v>
      </c>
      <c r="DVM53" s="708">
        <f t="shared" si="86"/>
        <v>7.4003653466300271E+45</v>
      </c>
      <c r="DVN53" s="708">
        <f t="shared" si="86"/>
        <v>7.6223763070289278E+45</v>
      </c>
      <c r="DVO53" s="708">
        <f t="shared" si="86"/>
        <v>7.8510475962397957E+45</v>
      </c>
      <c r="DVP53" s="708">
        <f t="shared" si="86"/>
        <v>8.0865790241269892E+45</v>
      </c>
      <c r="DVQ53" s="708">
        <f t="shared" si="86"/>
        <v>8.3291763948507991E+45</v>
      </c>
      <c r="DVR53" s="708">
        <f t="shared" si="86"/>
        <v>8.5790516866963236E+45</v>
      </c>
      <c r="DVS53" s="708">
        <f t="shared" si="86"/>
        <v>8.8364232372972129E+45</v>
      </c>
      <c r="DVT53" s="708">
        <f t="shared" si="86"/>
        <v>9.1015159344161295E+45</v>
      </c>
      <c r="DVU53" s="708">
        <f t="shared" si="86"/>
        <v>9.3745614124486132E+45</v>
      </c>
      <c r="DVV53" s="708">
        <f t="shared" si="86"/>
        <v>9.6557982548220723E+45</v>
      </c>
      <c r="DVW53" s="708">
        <f t="shared" si="86"/>
        <v>9.9454722024667343E+45</v>
      </c>
      <c r="DVX53" s="708">
        <f t="shared" si="86"/>
        <v>1.0243836368540737E+46</v>
      </c>
      <c r="DVY53" s="708">
        <f t="shared" si="86"/>
        <v>1.0551151459596959E+46</v>
      </c>
      <c r="DVZ53" s="708">
        <f t="shared" si="86"/>
        <v>1.0867686003384868E+46</v>
      </c>
      <c r="DWA53" s="708">
        <f t="shared" si="86"/>
        <v>1.1193716583486414E+46</v>
      </c>
      <c r="DWB53" s="708">
        <f t="shared" si="86"/>
        <v>1.1529528080991006E+46</v>
      </c>
      <c r="DWC53" s="708">
        <f t="shared" si="86"/>
        <v>1.1875413923420737E+46</v>
      </c>
      <c r="DWD53" s="708">
        <f t="shared" si="86"/>
        <v>1.2231676341123358E+46</v>
      </c>
      <c r="DWE53" s="708">
        <f t="shared" si="86"/>
        <v>1.2598626631357059E+46</v>
      </c>
      <c r="DWF53" s="708">
        <f t="shared" si="86"/>
        <v>1.297658543029777E+46</v>
      </c>
      <c r="DWG53" s="708">
        <f t="shared" si="86"/>
        <v>1.3365882993206705E+46</v>
      </c>
      <c r="DWH53" s="708">
        <f t="shared" si="86"/>
        <v>1.3766859483002907E+46</v>
      </c>
      <c r="DWI53" s="708">
        <f t="shared" si="86"/>
        <v>1.4179865267492994E+46</v>
      </c>
      <c r="DWJ53" s="708">
        <f t="shared" si="86"/>
        <v>1.4605261225517785E+46</v>
      </c>
      <c r="DWK53" s="708">
        <f t="shared" si="86"/>
        <v>1.504341906228332E+46</v>
      </c>
      <c r="DWL53" s="708">
        <f t="shared" si="86"/>
        <v>1.549472163415182E+46</v>
      </c>
      <c r="DWM53" s="708">
        <f t="shared" si="86"/>
        <v>1.5959563283176375E+46</v>
      </c>
      <c r="DWN53" s="708">
        <f t="shared" si="86"/>
        <v>1.6438350181671666E+46</v>
      </c>
      <c r="DWO53" s="708">
        <f t="shared" si="86"/>
        <v>1.6931500687121817E+46</v>
      </c>
      <c r="DWP53" s="708">
        <f t="shared" si="86"/>
        <v>1.7439445707735473E+46</v>
      </c>
      <c r="DWQ53" s="708">
        <f t="shared" si="86"/>
        <v>1.7962629078967539E+46</v>
      </c>
      <c r="DWR53" s="708">
        <f t="shared" si="86"/>
        <v>1.8501507951336565E+46</v>
      </c>
      <c r="DWS53" s="708">
        <f t="shared" si="86"/>
        <v>1.9056553189876662E+46</v>
      </c>
      <c r="DWT53" s="708">
        <f t="shared" si="86"/>
        <v>1.9628249785572962E+46</v>
      </c>
      <c r="DWU53" s="708">
        <f t="shared" si="86"/>
        <v>2.0217097279140151E+46</v>
      </c>
      <c r="DWV53" s="708">
        <f t="shared" si="86"/>
        <v>2.0823610197514357E+46</v>
      </c>
      <c r="DWW53" s="708">
        <f t="shared" si="86"/>
        <v>2.1448318503439788E+46</v>
      </c>
      <c r="DWX53" s="708">
        <f t="shared" si="86"/>
        <v>2.2091768058542983E+46</v>
      </c>
      <c r="DWY53" s="708">
        <f t="shared" si="86"/>
        <v>2.2754521100299273E+46</v>
      </c>
      <c r="DWZ53" s="708">
        <f t="shared" si="86"/>
        <v>2.3437156733308252E+46</v>
      </c>
      <c r="DXA53" s="708">
        <f t="shared" si="86"/>
        <v>2.41402714353075E+46</v>
      </c>
      <c r="DXB53" s="708">
        <f t="shared" si="86"/>
        <v>2.4864479578366724E+46</v>
      </c>
      <c r="DXC53" s="708">
        <f t="shared" si="86"/>
        <v>2.5610413965717726E+46</v>
      </c>
      <c r="DXD53" s="708">
        <f t="shared" si="86"/>
        <v>2.6378726384689258E+46</v>
      </c>
      <c r="DXE53" s="708">
        <f t="shared" si="86"/>
        <v>2.7170088176229935E+46</v>
      </c>
      <c r="DXF53" s="708">
        <f t="shared" ref="DXF53:DZQ53" si="87">DXE53*$C$53</f>
        <v>2.7985190821516833E+46</v>
      </c>
      <c r="DXG53" s="708">
        <f t="shared" si="87"/>
        <v>2.8824746546162339E+46</v>
      </c>
      <c r="DXH53" s="708">
        <f t="shared" si="87"/>
        <v>2.9689488942547209E+46</v>
      </c>
      <c r="DXI53" s="708">
        <f t="shared" si="87"/>
        <v>3.0580173610823628E+46</v>
      </c>
      <c r="DXJ53" s="708">
        <f t="shared" si="87"/>
        <v>3.1497578819148335E+46</v>
      </c>
      <c r="DXK53" s="708">
        <f t="shared" si="87"/>
        <v>3.2442506183722788E+46</v>
      </c>
      <c r="DXL53" s="708">
        <f t="shared" si="87"/>
        <v>3.3415781369234473E+46</v>
      </c>
      <c r="DXM53" s="708">
        <f t="shared" si="87"/>
        <v>3.4418254810311508E+46</v>
      </c>
      <c r="DXN53" s="708">
        <f t="shared" si="87"/>
        <v>3.5450802454620856E+46</v>
      </c>
      <c r="DXO53" s="708">
        <f t="shared" si="87"/>
        <v>3.6514326528259482E+46</v>
      </c>
      <c r="DXP53" s="708">
        <f t="shared" si="87"/>
        <v>3.7609756324107267E+46</v>
      </c>
      <c r="DXQ53" s="708">
        <f t="shared" si="87"/>
        <v>3.8738049013830485E+46</v>
      </c>
      <c r="DXR53" s="708">
        <f t="shared" si="87"/>
        <v>3.99001904842454E+46</v>
      </c>
      <c r="DXS53" s="708">
        <f t="shared" si="87"/>
        <v>4.1097196198772764E+46</v>
      </c>
      <c r="DXT53" s="708">
        <f t="shared" si="87"/>
        <v>4.2330112084735949E+46</v>
      </c>
      <c r="DXU53" s="708">
        <f t="shared" si="87"/>
        <v>4.3600015447278029E+46</v>
      </c>
      <c r="DXV53" s="708">
        <f t="shared" si="87"/>
        <v>4.4908015910696371E+46</v>
      </c>
      <c r="DXW53" s="708">
        <f t="shared" si="87"/>
        <v>4.6255256388017264E+46</v>
      </c>
      <c r="DXX53" s="708">
        <f t="shared" si="87"/>
        <v>4.7642914079657784E+46</v>
      </c>
      <c r="DXY53" s="708">
        <f t="shared" si="87"/>
        <v>4.9072201502047523E+46</v>
      </c>
      <c r="DXZ53" s="708">
        <f t="shared" si="87"/>
        <v>5.0544367547108947E+46</v>
      </c>
      <c r="DYA53" s="708">
        <f t="shared" si="87"/>
        <v>5.2060698573522219E+46</v>
      </c>
      <c r="DYB53" s="708">
        <f t="shared" si="87"/>
        <v>5.3622519530727884E+46</v>
      </c>
      <c r="DYC53" s="708">
        <f t="shared" si="87"/>
        <v>5.5231195116649719E+46</v>
      </c>
      <c r="DYD53" s="708">
        <f t="shared" si="87"/>
        <v>5.6888130970149212E+46</v>
      </c>
      <c r="DYE53" s="708">
        <f t="shared" si="87"/>
        <v>5.8594774899253692E+46</v>
      </c>
      <c r="DYF53" s="708">
        <f t="shared" si="87"/>
        <v>6.0352618146231302E+46</v>
      </c>
      <c r="DYG53" s="708">
        <f t="shared" si="87"/>
        <v>6.2163196690618242E+46</v>
      </c>
      <c r="DYH53" s="708">
        <f t="shared" si="87"/>
        <v>6.4028092591336796E+46</v>
      </c>
      <c r="DYI53" s="708">
        <f t="shared" si="87"/>
        <v>6.5948935369076903E+46</v>
      </c>
      <c r="DYJ53" s="708">
        <f t="shared" si="87"/>
        <v>6.792740343014921E+46</v>
      </c>
      <c r="DYK53" s="708">
        <f t="shared" si="87"/>
        <v>6.9965225533053692E+46</v>
      </c>
      <c r="DYL53" s="708">
        <f t="shared" si="87"/>
        <v>7.2064182299045306E+46</v>
      </c>
      <c r="DYM53" s="708">
        <f t="shared" si="87"/>
        <v>7.4226107768016672E+46</v>
      </c>
      <c r="DYN53" s="708">
        <f t="shared" si="87"/>
        <v>7.6452891001057177E+46</v>
      </c>
      <c r="DYO53" s="708">
        <f t="shared" si="87"/>
        <v>7.8746477731088893E+46</v>
      </c>
      <c r="DYP53" s="708">
        <f t="shared" si="87"/>
        <v>8.1108872063021561E+46</v>
      </c>
      <c r="DYQ53" s="708">
        <f t="shared" si="87"/>
        <v>8.3542138224912207E+46</v>
      </c>
      <c r="DYR53" s="708">
        <f t="shared" si="87"/>
        <v>8.6048402371659576E+46</v>
      </c>
      <c r="DYS53" s="708">
        <f t="shared" si="87"/>
        <v>8.8629854442809367E+46</v>
      </c>
      <c r="DYT53" s="708">
        <f t="shared" si="87"/>
        <v>9.1288750076093646E+46</v>
      </c>
      <c r="DYU53" s="708">
        <f t="shared" si="87"/>
        <v>9.4027412578376453E+46</v>
      </c>
      <c r="DYV53" s="708">
        <f t="shared" si="87"/>
        <v>9.6848234955727741E+46</v>
      </c>
      <c r="DYW53" s="708">
        <f t="shared" si="87"/>
        <v>9.975368200439957E+46</v>
      </c>
      <c r="DYX53" s="708">
        <f t="shared" si="87"/>
        <v>1.0274629246453155E+47</v>
      </c>
      <c r="DYY53" s="708">
        <f t="shared" si="87"/>
        <v>1.0582868123846749E+47</v>
      </c>
      <c r="DYZ53" s="708">
        <f t="shared" si="87"/>
        <v>1.0900354167562151E+47</v>
      </c>
      <c r="DZA53" s="708">
        <f t="shared" si="87"/>
        <v>1.1227364792589015E+47</v>
      </c>
      <c r="DZB53" s="708">
        <f t="shared" si="87"/>
        <v>1.1564185736366687E+47</v>
      </c>
      <c r="DZC53" s="708">
        <f t="shared" si="87"/>
        <v>1.1911111308457687E+47</v>
      </c>
      <c r="DZD53" s="708">
        <f t="shared" si="87"/>
        <v>1.2268444647711419E+47</v>
      </c>
      <c r="DZE53" s="708">
        <f t="shared" si="87"/>
        <v>1.2636497987142762E+47</v>
      </c>
      <c r="DZF53" s="708">
        <f t="shared" si="87"/>
        <v>1.3015592926757046E+47</v>
      </c>
      <c r="DZG53" s="708">
        <f t="shared" si="87"/>
        <v>1.3406060714559757E+47</v>
      </c>
      <c r="DZH53" s="708">
        <f t="shared" si="87"/>
        <v>1.380824253599655E+47</v>
      </c>
      <c r="DZI53" s="708">
        <f t="shared" si="87"/>
        <v>1.4222489812076448E+47</v>
      </c>
      <c r="DZJ53" s="708">
        <f t="shared" si="87"/>
        <v>1.4649164506438742E+47</v>
      </c>
      <c r="DZK53" s="708">
        <f t="shared" si="87"/>
        <v>1.5088639441631905E+47</v>
      </c>
      <c r="DZL53" s="708">
        <f t="shared" si="87"/>
        <v>1.5541298624880862E+47</v>
      </c>
      <c r="DZM53" s="708">
        <f t="shared" si="87"/>
        <v>1.6007537583627288E+47</v>
      </c>
      <c r="DZN53" s="708">
        <f t="shared" si="87"/>
        <v>1.6487763711136108E+47</v>
      </c>
      <c r="DZO53" s="708">
        <f t="shared" si="87"/>
        <v>1.6982396622470193E+47</v>
      </c>
      <c r="DZP53" s="708">
        <f t="shared" si="87"/>
        <v>1.7491868521144299E+47</v>
      </c>
      <c r="DZQ53" s="708">
        <f t="shared" si="87"/>
        <v>1.8016624576778628E+47</v>
      </c>
      <c r="DZR53" s="708">
        <f t="shared" ref="DZR53:ECC53" si="88">DZQ53*$C$53</f>
        <v>1.8557123314081987E+47</v>
      </c>
      <c r="DZS53" s="708">
        <f t="shared" si="88"/>
        <v>1.9113837013504448E+47</v>
      </c>
      <c r="DZT53" s="708">
        <f t="shared" si="88"/>
        <v>1.9687252123909582E+47</v>
      </c>
      <c r="DZU53" s="708">
        <f t="shared" si="88"/>
        <v>2.0277869687626871E+47</v>
      </c>
      <c r="DZV53" s="708">
        <f t="shared" si="88"/>
        <v>2.0886205778255677E+47</v>
      </c>
      <c r="DZW53" s="708">
        <f t="shared" si="88"/>
        <v>2.1512791951603347E+47</v>
      </c>
      <c r="DZX53" s="708">
        <f t="shared" si="88"/>
        <v>2.2158175710151448E+47</v>
      </c>
      <c r="DZY53" s="708">
        <f t="shared" si="88"/>
        <v>2.2822920981455994E+47</v>
      </c>
      <c r="DZZ53" s="708">
        <f t="shared" si="88"/>
        <v>2.3507608610899673E+47</v>
      </c>
      <c r="EAA53" s="708">
        <f t="shared" si="88"/>
        <v>2.4212836869226663E+47</v>
      </c>
      <c r="EAB53" s="708">
        <f t="shared" si="88"/>
        <v>2.4939221975303465E+47</v>
      </c>
      <c r="EAC53" s="708">
        <f t="shared" si="88"/>
        <v>2.5687398634562572E+47</v>
      </c>
      <c r="EAD53" s="708">
        <f t="shared" si="88"/>
        <v>2.6458020593599449E+47</v>
      </c>
      <c r="EAE53" s="708">
        <f t="shared" si="88"/>
        <v>2.7251761211407433E+47</v>
      </c>
      <c r="EAF53" s="708">
        <f t="shared" si="88"/>
        <v>2.8069314047749655E+47</v>
      </c>
      <c r="EAG53" s="708">
        <f t="shared" si="88"/>
        <v>2.8911393469182144E+47</v>
      </c>
      <c r="EAH53" s="708">
        <f t="shared" si="88"/>
        <v>2.9778735273257611E+47</v>
      </c>
      <c r="EAI53" s="708">
        <f t="shared" si="88"/>
        <v>3.0672097331455342E+47</v>
      </c>
      <c r="EAJ53" s="708">
        <f t="shared" si="88"/>
        <v>3.1592260251399002E+47</v>
      </c>
      <c r="EAK53" s="708">
        <f t="shared" si="88"/>
        <v>3.2540028058940972E+47</v>
      </c>
      <c r="EAL53" s="708">
        <f t="shared" si="88"/>
        <v>3.3516228900709203E+47</v>
      </c>
      <c r="EAM53" s="708">
        <f t="shared" si="88"/>
        <v>3.4521715767730479E+47</v>
      </c>
      <c r="EAN53" s="708">
        <f t="shared" si="88"/>
        <v>3.5557367240762394E+47</v>
      </c>
      <c r="EAO53" s="708">
        <f t="shared" si="88"/>
        <v>3.6624088257985266E+47</v>
      </c>
      <c r="EAP53" s="708">
        <f t="shared" si="88"/>
        <v>3.7722810905724826E+47</v>
      </c>
      <c r="EAQ53" s="708">
        <f t="shared" si="88"/>
        <v>3.8854495232896569E+47</v>
      </c>
      <c r="EAR53" s="708">
        <f t="shared" si="88"/>
        <v>4.0020130089883464E+47</v>
      </c>
      <c r="EAS53" s="708">
        <f t="shared" si="88"/>
        <v>4.1220733992579967E+47</v>
      </c>
      <c r="EAT53" s="708">
        <f t="shared" si="88"/>
        <v>4.2457356012357368E+47</v>
      </c>
      <c r="EAU53" s="708">
        <f t="shared" si="88"/>
        <v>4.3731076692728087E+47</v>
      </c>
      <c r="EAV53" s="708">
        <f t="shared" si="88"/>
        <v>4.504300899350993E+47</v>
      </c>
      <c r="EAW53" s="708">
        <f t="shared" si="88"/>
        <v>4.6394299263315225E+47</v>
      </c>
      <c r="EAX53" s="708">
        <f t="shared" si="88"/>
        <v>4.7786128241214687E+47</v>
      </c>
      <c r="EAY53" s="708">
        <f t="shared" si="88"/>
        <v>4.9219712088451126E+47</v>
      </c>
      <c r="EAZ53" s="708">
        <f t="shared" si="88"/>
        <v>5.0696303451104663E+47</v>
      </c>
      <c r="EBA53" s="708">
        <f t="shared" si="88"/>
        <v>5.2217192554637804E+47</v>
      </c>
      <c r="EBB53" s="708">
        <f t="shared" si="88"/>
        <v>5.3783708331276943E+47</v>
      </c>
      <c r="EBC53" s="708">
        <f t="shared" si="88"/>
        <v>5.5397219581215256E+47</v>
      </c>
      <c r="EBD53" s="708">
        <f t="shared" si="88"/>
        <v>5.7059136168651712E+47</v>
      </c>
      <c r="EBE53" s="708">
        <f t="shared" si="88"/>
        <v>5.8770910253711262E+47</v>
      </c>
      <c r="EBF53" s="708">
        <f t="shared" si="88"/>
        <v>6.0534037561322605E+47</v>
      </c>
      <c r="EBG53" s="708">
        <f t="shared" si="88"/>
        <v>6.2350058688162285E+47</v>
      </c>
      <c r="EBH53" s="708">
        <f t="shared" si="88"/>
        <v>6.4220560448807154E+47</v>
      </c>
      <c r="EBI53" s="708">
        <f t="shared" si="88"/>
        <v>6.6147177262271373E+47</v>
      </c>
      <c r="EBJ53" s="708">
        <f t="shared" si="88"/>
        <v>6.8131592580139515E+47</v>
      </c>
      <c r="EBK53" s="708">
        <f t="shared" si="88"/>
        <v>7.0175540357543698E+47</v>
      </c>
      <c r="EBL53" s="708">
        <f t="shared" si="88"/>
        <v>7.228080656827001E+47</v>
      </c>
      <c r="EBM53" s="708">
        <f t="shared" si="88"/>
        <v>7.4449230765318109E+47</v>
      </c>
      <c r="EBN53" s="708">
        <f t="shared" si="88"/>
        <v>7.6682707688277656E+47</v>
      </c>
      <c r="EBO53" s="708">
        <f t="shared" si="88"/>
        <v>7.898318891892598E+47</v>
      </c>
      <c r="EBP53" s="708">
        <f t="shared" si="88"/>
        <v>8.1352684586493768E+47</v>
      </c>
      <c r="EBQ53" s="708">
        <f t="shared" si="88"/>
        <v>8.3793265124088588E+47</v>
      </c>
      <c r="EBR53" s="708">
        <f t="shared" si="88"/>
        <v>8.6307063077811255E+47</v>
      </c>
      <c r="EBS53" s="708">
        <f t="shared" si="88"/>
        <v>8.8896274970145598E+47</v>
      </c>
      <c r="EBT53" s="708">
        <f t="shared" si="88"/>
        <v>9.1563163219249973E+47</v>
      </c>
      <c r="EBU53" s="708">
        <f t="shared" si="88"/>
        <v>9.4310058115827477E+47</v>
      </c>
      <c r="EBV53" s="708">
        <f t="shared" si="88"/>
        <v>9.7139359859302306E+47</v>
      </c>
      <c r="EBW53" s="708">
        <f t="shared" si="88"/>
        <v>1.0005354065508137E+48</v>
      </c>
      <c r="EBX53" s="708">
        <f t="shared" si="88"/>
        <v>1.0305514687473382E+48</v>
      </c>
      <c r="EBY53" s="708">
        <f t="shared" si="88"/>
        <v>1.0614680128097584E+48</v>
      </c>
      <c r="EBZ53" s="708">
        <f t="shared" si="88"/>
        <v>1.0933120531940512E+48</v>
      </c>
      <c r="ECA53" s="708">
        <f t="shared" si="88"/>
        <v>1.1261114147898728E+48</v>
      </c>
      <c r="ECB53" s="708">
        <f t="shared" si="88"/>
        <v>1.159894757233569E+48</v>
      </c>
      <c r="ECC53" s="708">
        <f t="shared" si="88"/>
        <v>1.1946915999505761E+48</v>
      </c>
      <c r="ECD53" s="708">
        <f t="shared" ref="ECD53:EEO53" si="89">ECC53*$C$53</f>
        <v>1.2305323479490934E+48</v>
      </c>
      <c r="ECE53" s="708">
        <f t="shared" si="89"/>
        <v>1.2674483183875662E+48</v>
      </c>
      <c r="ECF53" s="708">
        <f t="shared" si="89"/>
        <v>1.3054717679391932E+48</v>
      </c>
      <c r="ECG53" s="708">
        <f t="shared" si="89"/>
        <v>1.3446359209773691E+48</v>
      </c>
      <c r="ECH53" s="708">
        <f t="shared" si="89"/>
        <v>1.3849749986066902E+48</v>
      </c>
      <c r="ECI53" s="708">
        <f t="shared" si="89"/>
        <v>1.4265242485648911E+48</v>
      </c>
      <c r="ECJ53" s="708">
        <f t="shared" si="89"/>
        <v>1.469319976021838E+48</v>
      </c>
      <c r="ECK53" s="708">
        <f t="shared" si="89"/>
        <v>1.5133995753024931E+48</v>
      </c>
      <c r="ECL53" s="708">
        <f t="shared" si="89"/>
        <v>1.5588015625615679E+48</v>
      </c>
      <c r="ECM53" s="708">
        <f t="shared" si="89"/>
        <v>1.605565609438415E+48</v>
      </c>
      <c r="ECN53" s="708">
        <f t="shared" si="89"/>
        <v>1.6537325777215675E+48</v>
      </c>
      <c r="ECO53" s="708">
        <f t="shared" si="89"/>
        <v>1.7033445550532147E+48</v>
      </c>
      <c r="ECP53" s="708">
        <f t="shared" si="89"/>
        <v>1.7544448917048111E+48</v>
      </c>
      <c r="ECQ53" s="708">
        <f t="shared" si="89"/>
        <v>1.8070782384559555E+48</v>
      </c>
      <c r="ECR53" s="708">
        <f t="shared" si="89"/>
        <v>1.8612905856096344E+48</v>
      </c>
      <c r="ECS53" s="708">
        <f t="shared" si="89"/>
        <v>1.9171293031779233E+48</v>
      </c>
      <c r="ECT53" s="708">
        <f t="shared" si="89"/>
        <v>1.9746431822732611E+48</v>
      </c>
      <c r="ECU53" s="708">
        <f t="shared" si="89"/>
        <v>2.0338824777414591E+48</v>
      </c>
      <c r="ECV53" s="708">
        <f t="shared" si="89"/>
        <v>2.0948989520737031E+48</v>
      </c>
      <c r="ECW53" s="708">
        <f t="shared" si="89"/>
        <v>2.1577459206359142E+48</v>
      </c>
      <c r="ECX53" s="708">
        <f t="shared" si="89"/>
        <v>2.2224782982549918E+48</v>
      </c>
      <c r="ECY53" s="708">
        <f t="shared" si="89"/>
        <v>2.2891526472026417E+48</v>
      </c>
      <c r="ECZ53" s="708">
        <f t="shared" si="89"/>
        <v>2.3578272266187209E+48</v>
      </c>
      <c r="EDA53" s="708">
        <f t="shared" si="89"/>
        <v>2.4285620434172825E+48</v>
      </c>
      <c r="EDB53" s="708">
        <f t="shared" si="89"/>
        <v>2.5014189047198011E+48</v>
      </c>
      <c r="EDC53" s="708">
        <f t="shared" si="89"/>
        <v>2.5764614718613951E+48</v>
      </c>
      <c r="EDD53" s="708">
        <f t="shared" si="89"/>
        <v>2.653755316017237E+48</v>
      </c>
      <c r="EDE53" s="708">
        <f t="shared" si="89"/>
        <v>2.7333679754977542E+48</v>
      </c>
      <c r="EDF53" s="708">
        <f t="shared" si="89"/>
        <v>2.815369014762687E+48</v>
      </c>
      <c r="EDG53" s="708">
        <f t="shared" si="89"/>
        <v>2.8998300852055677E+48</v>
      </c>
      <c r="EDH53" s="708">
        <f t="shared" si="89"/>
        <v>2.9868249877617352E+48</v>
      </c>
      <c r="EDI53" s="708">
        <f t="shared" si="89"/>
        <v>3.0764297373945874E+48</v>
      </c>
      <c r="EDJ53" s="708">
        <f t="shared" si="89"/>
        <v>3.1687226295164248E+48</v>
      </c>
      <c r="EDK53" s="708">
        <f t="shared" si="89"/>
        <v>3.2637843084019179E+48</v>
      </c>
      <c r="EDL53" s="708">
        <f t="shared" si="89"/>
        <v>3.3616978376539757E+48</v>
      </c>
      <c r="EDM53" s="708">
        <f t="shared" si="89"/>
        <v>3.4625487727835952E+48</v>
      </c>
      <c r="EDN53" s="708">
        <f t="shared" si="89"/>
        <v>3.5664252359671032E+48</v>
      </c>
      <c r="EDO53" s="708">
        <f t="shared" si="89"/>
        <v>3.6734179930461165E+48</v>
      </c>
      <c r="EDP53" s="708">
        <f t="shared" si="89"/>
        <v>3.7836205328375E+48</v>
      </c>
      <c r="EDQ53" s="708">
        <f t="shared" si="89"/>
        <v>3.8971291488226249E+48</v>
      </c>
      <c r="EDR53" s="708">
        <f t="shared" si="89"/>
        <v>4.0140430232873036E+48</v>
      </c>
      <c r="EDS53" s="708">
        <f t="shared" si="89"/>
        <v>4.134464313985923E+48</v>
      </c>
      <c r="EDT53" s="708">
        <f t="shared" si="89"/>
        <v>4.2584982434055007E+48</v>
      </c>
      <c r="EDU53" s="708">
        <f t="shared" si="89"/>
        <v>4.3862531907076661E+48</v>
      </c>
      <c r="EDV53" s="708">
        <f t="shared" si="89"/>
        <v>4.5178407864288962E+48</v>
      </c>
      <c r="EDW53" s="708">
        <f t="shared" si="89"/>
        <v>4.6533760100217635E+48</v>
      </c>
      <c r="EDX53" s="708">
        <f t="shared" si="89"/>
        <v>4.7929772903224166E+48</v>
      </c>
      <c r="EDY53" s="708">
        <f t="shared" si="89"/>
        <v>4.9367666090320895E+48</v>
      </c>
      <c r="EDZ53" s="708">
        <f t="shared" si="89"/>
        <v>5.0848696073030525E+48</v>
      </c>
      <c r="EEA53" s="708">
        <f t="shared" si="89"/>
        <v>5.2374156955221445E+48</v>
      </c>
      <c r="EEB53" s="708">
        <f t="shared" si="89"/>
        <v>5.3945381663878087E+48</v>
      </c>
      <c r="EEC53" s="708">
        <f t="shared" si="89"/>
        <v>5.5563743113794428E+48</v>
      </c>
      <c r="EED53" s="708">
        <f t="shared" si="89"/>
        <v>5.723065540720826E+48</v>
      </c>
      <c r="EEE53" s="708">
        <f t="shared" si="89"/>
        <v>5.8947575069424506E+48</v>
      </c>
      <c r="EEF53" s="708">
        <f t="shared" si="89"/>
        <v>6.0716002321507242E+48</v>
      </c>
      <c r="EEG53" s="708">
        <f t="shared" si="89"/>
        <v>6.2537482391152461E+48</v>
      </c>
      <c r="EEH53" s="708">
        <f t="shared" si="89"/>
        <v>6.4413606862887034E+48</v>
      </c>
      <c r="EEI53" s="708">
        <f t="shared" si="89"/>
        <v>6.6346015068773651E+48</v>
      </c>
      <c r="EEJ53" s="708">
        <f t="shared" si="89"/>
        <v>6.8336395520836867E+48</v>
      </c>
      <c r="EEK53" s="708">
        <f t="shared" si="89"/>
        <v>7.0386487386461981E+48</v>
      </c>
      <c r="EEL53" s="708">
        <f t="shared" si="89"/>
        <v>7.2498082008055841E+48</v>
      </c>
      <c r="EEM53" s="708">
        <f t="shared" si="89"/>
        <v>7.4673024468297523E+48</v>
      </c>
      <c r="EEN53" s="708">
        <f t="shared" si="89"/>
        <v>7.6913215202346449E+48</v>
      </c>
      <c r="EEO53" s="708">
        <f t="shared" si="89"/>
        <v>7.9220611658416838E+48</v>
      </c>
      <c r="EEP53" s="708">
        <f t="shared" ref="EEP53:EHA53" si="90">EEO53*$C$53</f>
        <v>8.1597230008169343E+48</v>
      </c>
      <c r="EEQ53" s="708">
        <f t="shared" si="90"/>
        <v>8.4045146908414419E+48</v>
      </c>
      <c r="EER53" s="708">
        <f t="shared" si="90"/>
        <v>8.6566501315666857E+48</v>
      </c>
      <c r="EES53" s="708">
        <f t="shared" si="90"/>
        <v>8.9163496355136865E+48</v>
      </c>
      <c r="EET53" s="708">
        <f t="shared" si="90"/>
        <v>9.1838401245790968E+48</v>
      </c>
      <c r="EEU53" s="708">
        <f t="shared" si="90"/>
        <v>9.4593553283164701E+48</v>
      </c>
      <c r="EEV53" s="708">
        <f t="shared" si="90"/>
        <v>9.7431359881659646E+48</v>
      </c>
      <c r="EEW53" s="708">
        <f t="shared" si="90"/>
        <v>1.0035430067810944E+49</v>
      </c>
      <c r="EEX53" s="708">
        <f t="shared" si="90"/>
        <v>1.0336492969845272E+49</v>
      </c>
      <c r="EEY53" s="708">
        <f t="shared" si="90"/>
        <v>1.0646587758940631E+49</v>
      </c>
      <c r="EEZ53" s="708">
        <f t="shared" si="90"/>
        <v>1.0965985391708849E+49</v>
      </c>
      <c r="EFA53" s="708">
        <f t="shared" si="90"/>
        <v>1.1294964953460115E+49</v>
      </c>
      <c r="EFB53" s="708">
        <f t="shared" si="90"/>
        <v>1.1633813902063919E+49</v>
      </c>
      <c r="EFC53" s="708">
        <f t="shared" si="90"/>
        <v>1.1982828319125838E+49</v>
      </c>
      <c r="EFD53" s="708">
        <f t="shared" si="90"/>
        <v>1.2342313168699613E+49</v>
      </c>
      <c r="EFE53" s="708">
        <f t="shared" si="90"/>
        <v>1.2712582563760602E+49</v>
      </c>
      <c r="EFF53" s="708">
        <f t="shared" si="90"/>
        <v>1.3093960040673421E+49</v>
      </c>
      <c r="EFG53" s="708">
        <f t="shared" si="90"/>
        <v>1.3486778841893623E+49</v>
      </c>
      <c r="EFH53" s="708">
        <f t="shared" si="90"/>
        <v>1.3891382207150432E+49</v>
      </c>
      <c r="EFI53" s="708">
        <f t="shared" si="90"/>
        <v>1.4308123673364947E+49</v>
      </c>
      <c r="EFJ53" s="708">
        <f t="shared" si="90"/>
        <v>1.4737367383565896E+49</v>
      </c>
      <c r="EFK53" s="708">
        <f t="shared" si="90"/>
        <v>1.5179488405072873E+49</v>
      </c>
      <c r="EFL53" s="708">
        <f t="shared" si="90"/>
        <v>1.5634873057225059E+49</v>
      </c>
      <c r="EFM53" s="708">
        <f t="shared" si="90"/>
        <v>1.6103919248941812E+49</v>
      </c>
      <c r="EFN53" s="708">
        <f t="shared" si="90"/>
        <v>1.6587036826410065E+49</v>
      </c>
      <c r="EFO53" s="708">
        <f t="shared" si="90"/>
        <v>1.7084647931202368E+49</v>
      </c>
      <c r="EFP53" s="708">
        <f t="shared" si="90"/>
        <v>1.759718736913844E+49</v>
      </c>
      <c r="EFQ53" s="708">
        <f t="shared" si="90"/>
        <v>1.8125102990212595E+49</v>
      </c>
      <c r="EFR53" s="708">
        <f t="shared" si="90"/>
        <v>1.8668856079918974E+49</v>
      </c>
      <c r="EFS53" s="708">
        <f t="shared" si="90"/>
        <v>1.9228921762316544E+49</v>
      </c>
      <c r="EFT53" s="708">
        <f t="shared" si="90"/>
        <v>1.980578941518604E+49</v>
      </c>
      <c r="EFU53" s="708">
        <f t="shared" si="90"/>
        <v>2.0399963097641623E+49</v>
      </c>
      <c r="EFV53" s="708">
        <f t="shared" si="90"/>
        <v>2.1011961990570873E+49</v>
      </c>
      <c r="EFW53" s="708">
        <f t="shared" si="90"/>
        <v>2.1642320850287999E+49</v>
      </c>
      <c r="EFX53" s="708">
        <f t="shared" si="90"/>
        <v>2.229159047579664E+49</v>
      </c>
      <c r="EFY53" s="708">
        <f t="shared" si="90"/>
        <v>2.2960338190070541E+49</v>
      </c>
      <c r="EFZ53" s="708">
        <f t="shared" si="90"/>
        <v>2.364914833577266E+49</v>
      </c>
      <c r="EGA53" s="708">
        <f t="shared" si="90"/>
        <v>2.4358622785845843E+49</v>
      </c>
      <c r="EGB53" s="708">
        <f t="shared" si="90"/>
        <v>2.5089381469421217E+49</v>
      </c>
      <c r="EGC53" s="708">
        <f t="shared" si="90"/>
        <v>2.5842062913503855E+49</v>
      </c>
      <c r="EGD53" s="708">
        <f t="shared" si="90"/>
        <v>2.6617324800908972E+49</v>
      </c>
      <c r="EGE53" s="708">
        <f t="shared" si="90"/>
        <v>2.7415844544936242E+49</v>
      </c>
      <c r="EGF53" s="708">
        <f t="shared" si="90"/>
        <v>2.8238319881284332E+49</v>
      </c>
      <c r="EGG53" s="708">
        <f t="shared" si="90"/>
        <v>2.9085469477722863E+49</v>
      </c>
      <c r="EGH53" s="708">
        <f t="shared" si="90"/>
        <v>2.9958033562054548E+49</v>
      </c>
      <c r="EGI53" s="708">
        <f t="shared" si="90"/>
        <v>3.0856774568916184E+49</v>
      </c>
      <c r="EGJ53" s="708">
        <f t="shared" si="90"/>
        <v>3.1782477805983671E+49</v>
      </c>
      <c r="EGK53" s="708">
        <f t="shared" si="90"/>
        <v>3.2735952140163181E+49</v>
      </c>
      <c r="EGL53" s="708">
        <f t="shared" si="90"/>
        <v>3.3718030704368076E+49</v>
      </c>
      <c r="EGM53" s="708">
        <f t="shared" si="90"/>
        <v>3.4729571625499118E+49</v>
      </c>
      <c r="EGN53" s="708">
        <f t="shared" si="90"/>
        <v>3.5771458774264091E+49</v>
      </c>
      <c r="EGO53" s="708">
        <f t="shared" si="90"/>
        <v>3.6844602537492012E+49</v>
      </c>
      <c r="EGP53" s="708">
        <f t="shared" si="90"/>
        <v>3.7949940613616776E+49</v>
      </c>
      <c r="EGQ53" s="708">
        <f t="shared" si="90"/>
        <v>3.9088438832025281E+49</v>
      </c>
      <c r="EGR53" s="708">
        <f t="shared" si="90"/>
        <v>4.026109199698604E+49</v>
      </c>
      <c r="EGS53" s="708">
        <f t="shared" si="90"/>
        <v>4.146892475689562E+49</v>
      </c>
      <c r="EGT53" s="708">
        <f t="shared" si="90"/>
        <v>4.2712992499602492E+49</v>
      </c>
      <c r="EGU53" s="708">
        <f t="shared" si="90"/>
        <v>4.3994382274590569E+49</v>
      </c>
      <c r="EGV53" s="708">
        <f t="shared" si="90"/>
        <v>4.5314213742828286E+49</v>
      </c>
      <c r="EGW53" s="708">
        <f t="shared" si="90"/>
        <v>4.6673640155113136E+49</v>
      </c>
      <c r="EGX53" s="708">
        <f t="shared" si="90"/>
        <v>4.8073849359766526E+49</v>
      </c>
      <c r="EGY53" s="708">
        <f t="shared" si="90"/>
        <v>4.951606484055952E+49</v>
      </c>
      <c r="EGZ53" s="708">
        <f t="shared" si="90"/>
        <v>5.1001546785776302E+49</v>
      </c>
      <c r="EHA53" s="708">
        <f t="shared" si="90"/>
        <v>5.2531593189349593E+49</v>
      </c>
      <c r="EHB53" s="708">
        <f t="shared" ref="EHB53:EJM53" si="91">EHA53*$C$53</f>
        <v>5.4107540985030087E+49</v>
      </c>
      <c r="EHC53" s="708">
        <f t="shared" si="91"/>
        <v>5.5730767214580994E+49</v>
      </c>
      <c r="EHD53" s="708">
        <f t="shared" si="91"/>
        <v>5.7402690231018424E+49</v>
      </c>
      <c r="EHE53" s="708">
        <f t="shared" si="91"/>
        <v>5.9124770937948981E+49</v>
      </c>
      <c r="EHF53" s="708">
        <f t="shared" si="91"/>
        <v>6.0898514066087448E+49</v>
      </c>
      <c r="EHG53" s="708">
        <f t="shared" si="91"/>
        <v>6.2725469488070076E+49</v>
      </c>
      <c r="EHH53" s="708">
        <f t="shared" si="91"/>
        <v>6.4607233572712177E+49</v>
      </c>
      <c r="EHI53" s="708">
        <f t="shared" si="91"/>
        <v>6.6545450579893541E+49</v>
      </c>
      <c r="EHJ53" s="708">
        <f t="shared" si="91"/>
        <v>6.8541814097290349E+49</v>
      </c>
      <c r="EHK53" s="708">
        <f t="shared" si="91"/>
        <v>7.0598068520209059E+49</v>
      </c>
      <c r="EHL53" s="708">
        <f t="shared" si="91"/>
        <v>7.2716010575815334E+49</v>
      </c>
      <c r="EHM53" s="708">
        <f t="shared" si="91"/>
        <v>7.4897490893089799E+49</v>
      </c>
      <c r="EHN53" s="708">
        <f t="shared" si="91"/>
        <v>7.7144415619882494E+49</v>
      </c>
      <c r="EHO53" s="708">
        <f t="shared" si="91"/>
        <v>7.9458748088478967E+49</v>
      </c>
      <c r="EHP53" s="708">
        <f t="shared" si="91"/>
        <v>8.1842510531133341E+49</v>
      </c>
      <c r="EHQ53" s="708">
        <f t="shared" si="91"/>
        <v>8.429778584706734E+49</v>
      </c>
      <c r="EHR53" s="708">
        <f t="shared" si="91"/>
        <v>8.6826719422479357E+49</v>
      </c>
      <c r="EHS53" s="708">
        <f t="shared" si="91"/>
        <v>8.9431521005153741E+49</v>
      </c>
      <c r="EHT53" s="708">
        <f t="shared" si="91"/>
        <v>9.2114466635308359E+49</v>
      </c>
      <c r="EHU53" s="708">
        <f t="shared" si="91"/>
        <v>9.487790063436762E+49</v>
      </c>
      <c r="EHV53" s="708">
        <f t="shared" si="91"/>
        <v>9.7724237653398649E+49</v>
      </c>
      <c r="EHW53" s="708">
        <f t="shared" si="91"/>
        <v>1.006559647830006E+50</v>
      </c>
      <c r="EHX53" s="708">
        <f t="shared" si="91"/>
        <v>1.0367564372649062E+50</v>
      </c>
      <c r="EHY53" s="708">
        <f t="shared" si="91"/>
        <v>1.0678591303828534E+50</v>
      </c>
      <c r="EHZ53" s="708">
        <f t="shared" si="91"/>
        <v>1.099894904294339E+50</v>
      </c>
      <c r="EIA53" s="708">
        <f t="shared" si="91"/>
        <v>1.1328917514231692E+50</v>
      </c>
      <c r="EIB53" s="708">
        <f t="shared" si="91"/>
        <v>1.1668785039658643E+50</v>
      </c>
      <c r="EIC53" s="708">
        <f t="shared" si="91"/>
        <v>1.2018848590848403E+50</v>
      </c>
      <c r="EID53" s="708">
        <f t="shared" si="91"/>
        <v>1.2379414048573856E+50</v>
      </c>
      <c r="EIE53" s="708">
        <f t="shared" si="91"/>
        <v>1.2750796470031071E+50</v>
      </c>
      <c r="EIF53" s="708">
        <f t="shared" si="91"/>
        <v>1.3133320364132003E+50</v>
      </c>
      <c r="EIG53" s="708">
        <f t="shared" si="91"/>
        <v>1.3527319975055963E+50</v>
      </c>
      <c r="EIH53" s="708">
        <f t="shared" si="91"/>
        <v>1.3933139574307642E+50</v>
      </c>
      <c r="EII53" s="708">
        <f t="shared" si="91"/>
        <v>1.4351133761536873E+50</v>
      </c>
      <c r="EIJ53" s="708">
        <f t="shared" si="91"/>
        <v>1.4781667774382979E+50</v>
      </c>
      <c r="EIK53" s="708">
        <f t="shared" si="91"/>
        <v>1.5225117807614469E+50</v>
      </c>
      <c r="EIL53" s="708">
        <f t="shared" si="91"/>
        <v>1.5681871341842904E+50</v>
      </c>
      <c r="EIM53" s="708">
        <f t="shared" si="91"/>
        <v>1.6152327482098192E+50</v>
      </c>
      <c r="EIN53" s="708">
        <f t="shared" si="91"/>
        <v>1.6636897306561139E+50</v>
      </c>
      <c r="EIO53" s="708">
        <f t="shared" si="91"/>
        <v>1.7136004225757973E+50</v>
      </c>
      <c r="EIP53" s="708">
        <f t="shared" si="91"/>
        <v>1.7650084352530712E+50</v>
      </c>
      <c r="EIQ53" s="708">
        <f t="shared" si="91"/>
        <v>1.8179586883106633E+50</v>
      </c>
      <c r="EIR53" s="708">
        <f t="shared" si="91"/>
        <v>1.8724974489599833E+50</v>
      </c>
      <c r="EIS53" s="708">
        <f t="shared" si="91"/>
        <v>1.9286723724287829E+50</v>
      </c>
      <c r="EIT53" s="708">
        <f t="shared" si="91"/>
        <v>1.9865325436016463E+50</v>
      </c>
      <c r="EIU53" s="708">
        <f t="shared" si="91"/>
        <v>2.0461285199096958E+50</v>
      </c>
      <c r="EIV53" s="708">
        <f t="shared" si="91"/>
        <v>2.1075123755069868E+50</v>
      </c>
      <c r="EIW53" s="708">
        <f t="shared" si="91"/>
        <v>2.1707377467721963E+50</v>
      </c>
      <c r="EIX53" s="708">
        <f t="shared" si="91"/>
        <v>2.235859879175362E+50</v>
      </c>
      <c r="EIY53" s="708">
        <f t="shared" si="91"/>
        <v>2.302935675550623E+50</v>
      </c>
      <c r="EIZ53" s="708">
        <f t="shared" si="91"/>
        <v>2.3720237458171416E+50</v>
      </c>
      <c r="EJA53" s="708">
        <f t="shared" si="91"/>
        <v>2.4431844581916561E+50</v>
      </c>
      <c r="EJB53" s="708">
        <f t="shared" si="91"/>
        <v>2.516479991937406E+50</v>
      </c>
      <c r="EJC53" s="708">
        <f t="shared" si="91"/>
        <v>2.5919743916955281E+50</v>
      </c>
      <c r="EJD53" s="708">
        <f t="shared" si="91"/>
        <v>2.669733623446394E+50</v>
      </c>
      <c r="EJE53" s="708">
        <f t="shared" si="91"/>
        <v>2.7498256321497859E+50</v>
      </c>
      <c r="EJF53" s="708">
        <f t="shared" si="91"/>
        <v>2.8323204011142794E+50</v>
      </c>
      <c r="EJG53" s="708">
        <f t="shared" si="91"/>
        <v>2.9172900131477077E+50</v>
      </c>
      <c r="EJH53" s="708">
        <f t="shared" si="91"/>
        <v>3.0048087135421391E+50</v>
      </c>
      <c r="EJI53" s="708">
        <f t="shared" si="91"/>
        <v>3.0949529749484034E+50</v>
      </c>
      <c r="EJJ53" s="708">
        <f t="shared" si="91"/>
        <v>3.1878015641968556E+50</v>
      </c>
      <c r="EJK53" s="708">
        <f t="shared" si="91"/>
        <v>3.2834356111227614E+50</v>
      </c>
      <c r="EJL53" s="708">
        <f t="shared" si="91"/>
        <v>3.3819386794564445E+50</v>
      </c>
      <c r="EJM53" s="708">
        <f t="shared" si="91"/>
        <v>3.4833968398401377E+50</v>
      </c>
      <c r="EJN53" s="708">
        <f t="shared" ref="EJN53:ELY53" si="92">EJM53*$C$53</f>
        <v>3.587898745035342E+50</v>
      </c>
      <c r="EJO53" s="708">
        <f t="shared" si="92"/>
        <v>3.6955357073864025E+50</v>
      </c>
      <c r="EJP53" s="708">
        <f t="shared" si="92"/>
        <v>3.8064017786079949E+50</v>
      </c>
      <c r="EJQ53" s="708">
        <f t="shared" si="92"/>
        <v>3.9205938319662348E+50</v>
      </c>
      <c r="EJR53" s="708">
        <f t="shared" si="92"/>
        <v>4.0382116469252219E+50</v>
      </c>
      <c r="EJS53" s="708">
        <f t="shared" si="92"/>
        <v>4.1593579963329791E+50</v>
      </c>
      <c r="EJT53" s="708">
        <f t="shared" si="92"/>
        <v>4.2841387362229682E+50</v>
      </c>
      <c r="EJU53" s="708">
        <f t="shared" si="92"/>
        <v>4.4126628983096575E+50</v>
      </c>
      <c r="EJV53" s="708">
        <f t="shared" si="92"/>
        <v>4.5450427852589469E+50</v>
      </c>
      <c r="EJW53" s="708">
        <f t="shared" si="92"/>
        <v>4.6813940688167152E+50</v>
      </c>
      <c r="EJX53" s="708">
        <f t="shared" si="92"/>
        <v>4.8218358908812169E+50</v>
      </c>
      <c r="EJY53" s="708">
        <f t="shared" si="92"/>
        <v>4.9664909676076532E+50</v>
      </c>
      <c r="EJZ53" s="708">
        <f t="shared" si="92"/>
        <v>5.1154856966358829E+50</v>
      </c>
      <c r="EKA53" s="708">
        <f t="shared" si="92"/>
        <v>5.2689502675349599E+50</v>
      </c>
      <c r="EKB53" s="708">
        <f t="shared" si="92"/>
        <v>5.4270187755610092E+50</v>
      </c>
      <c r="EKC53" s="708">
        <f t="shared" si="92"/>
        <v>5.5898293388278394E+50</v>
      </c>
      <c r="EKD53" s="708">
        <f t="shared" si="92"/>
        <v>5.7575242189926743E+50</v>
      </c>
      <c r="EKE53" s="708">
        <f t="shared" si="92"/>
        <v>5.9302499455624549E+50</v>
      </c>
      <c r="EKF53" s="708">
        <f t="shared" si="92"/>
        <v>6.1081574439293287E+50</v>
      </c>
      <c r="EKG53" s="708">
        <f t="shared" si="92"/>
        <v>6.2914021672472088E+50</v>
      </c>
      <c r="EKH53" s="708">
        <f t="shared" si="92"/>
        <v>6.4801442322646252E+50</v>
      </c>
      <c r="EKI53" s="708">
        <f t="shared" si="92"/>
        <v>6.6745485592325638E+50</v>
      </c>
      <c r="EKJ53" s="708">
        <f t="shared" si="92"/>
        <v>6.874785016009541E+50</v>
      </c>
      <c r="EKK53" s="708">
        <f t="shared" si="92"/>
        <v>7.0810285664898278E+50</v>
      </c>
      <c r="EKL53" s="708">
        <f t="shared" si="92"/>
        <v>7.2934594234845231E+50</v>
      </c>
      <c r="EKM53" s="708">
        <f t="shared" si="92"/>
        <v>7.5122632061890583E+50</v>
      </c>
      <c r="EKN53" s="708">
        <f t="shared" si="92"/>
        <v>7.7376311023747301E+50</v>
      </c>
      <c r="EKO53" s="708">
        <f t="shared" si="92"/>
        <v>7.9697600354459726E+50</v>
      </c>
      <c r="EKP53" s="708">
        <f t="shared" si="92"/>
        <v>8.2088528365093518E+50</v>
      </c>
      <c r="EKQ53" s="708">
        <f t="shared" si="92"/>
        <v>8.4551184216046321E+50</v>
      </c>
      <c r="EKR53" s="708">
        <f t="shared" si="92"/>
        <v>8.7087719742527707E+50</v>
      </c>
      <c r="EKS53" s="708">
        <f t="shared" si="92"/>
        <v>8.9700351334803538E+50</v>
      </c>
      <c r="EKT53" s="708">
        <f t="shared" si="92"/>
        <v>9.2391361874847643E+50</v>
      </c>
      <c r="EKU53" s="708">
        <f t="shared" si="92"/>
        <v>9.5163102731093082E+50</v>
      </c>
      <c r="EKV53" s="708">
        <f t="shared" si="92"/>
        <v>9.8017995813025879E+50</v>
      </c>
      <c r="EKW53" s="708">
        <f t="shared" si="92"/>
        <v>1.0095853568741666E+51</v>
      </c>
      <c r="EKX53" s="708">
        <f t="shared" si="92"/>
        <v>1.0398729175803917E+51</v>
      </c>
      <c r="EKY53" s="708">
        <f t="shared" si="92"/>
        <v>1.0710691051078035E+51</v>
      </c>
      <c r="EKZ53" s="708">
        <f t="shared" si="92"/>
        <v>1.1032011782610376E+51</v>
      </c>
      <c r="ELA53" s="708">
        <f t="shared" si="92"/>
        <v>1.1362972136088687E+51</v>
      </c>
      <c r="ELB53" s="708">
        <f t="shared" si="92"/>
        <v>1.1703861300171347E+51</v>
      </c>
      <c r="ELC53" s="708">
        <f t="shared" si="92"/>
        <v>1.2054977139176489E+51</v>
      </c>
      <c r="ELD53" s="708">
        <f t="shared" si="92"/>
        <v>1.2416626453351784E+51</v>
      </c>
      <c r="ELE53" s="708">
        <f t="shared" si="92"/>
        <v>1.2789125246952338E+51</v>
      </c>
      <c r="ELF53" s="708">
        <f t="shared" si="92"/>
        <v>1.3172799004360908E+51</v>
      </c>
      <c r="ELG53" s="708">
        <f t="shared" si="92"/>
        <v>1.3567982974491735E+51</v>
      </c>
      <c r="ELH53" s="708">
        <f t="shared" si="92"/>
        <v>1.3975022463726488E+51</v>
      </c>
      <c r="ELI53" s="708">
        <f t="shared" si="92"/>
        <v>1.4394273137638283E+51</v>
      </c>
      <c r="ELJ53" s="708">
        <f t="shared" si="92"/>
        <v>1.4826101331767432E+51</v>
      </c>
      <c r="ELK53" s="708">
        <f t="shared" si="92"/>
        <v>1.5270884371720457E+51</v>
      </c>
      <c r="ELL53" s="708">
        <f t="shared" si="92"/>
        <v>1.5729010902872069E+51</v>
      </c>
      <c r="ELM53" s="708">
        <f t="shared" si="92"/>
        <v>1.6200881229958232E+51</v>
      </c>
      <c r="ELN53" s="708">
        <f t="shared" si="92"/>
        <v>1.6686907666856978E+51</v>
      </c>
      <c r="ELO53" s="708">
        <f t="shared" si="92"/>
        <v>1.7187514896862687E+51</v>
      </c>
      <c r="ELP53" s="708">
        <f t="shared" si="92"/>
        <v>1.7703140343768569E+51</v>
      </c>
      <c r="ELQ53" s="708">
        <f t="shared" si="92"/>
        <v>1.8234234554081626E+51</v>
      </c>
      <c r="ELR53" s="708">
        <f t="shared" si="92"/>
        <v>1.8781261590704075E+51</v>
      </c>
      <c r="ELS53" s="708">
        <f t="shared" si="92"/>
        <v>1.9344699438425199E+51</v>
      </c>
      <c r="ELT53" s="708">
        <f t="shared" si="92"/>
        <v>1.9925040421577956E+51</v>
      </c>
      <c r="ELU53" s="708">
        <f t="shared" si="92"/>
        <v>2.0522791634225294E+51</v>
      </c>
      <c r="ELV53" s="708">
        <f t="shared" si="92"/>
        <v>2.1138475383252053E+51</v>
      </c>
      <c r="ELW53" s="708">
        <f t="shared" si="92"/>
        <v>2.1772629644749617E+51</v>
      </c>
      <c r="ELX53" s="708">
        <f t="shared" si="92"/>
        <v>2.2425808534092106E+51</v>
      </c>
      <c r="ELY53" s="708">
        <f t="shared" si="92"/>
        <v>2.309858279011487E+51</v>
      </c>
      <c r="ELZ53" s="708">
        <f t="shared" ref="ELZ53:EOK53" si="93">ELY53*$C$53</f>
        <v>2.3791540273818317E+51</v>
      </c>
      <c r="EMA53" s="708">
        <f t="shared" si="93"/>
        <v>2.4505286482032867E+51</v>
      </c>
      <c r="EMB53" s="708">
        <f t="shared" si="93"/>
        <v>2.5240445076493854E+51</v>
      </c>
      <c r="EMC53" s="708">
        <f t="shared" si="93"/>
        <v>2.5997658428788669E+51</v>
      </c>
      <c r="EMD53" s="708">
        <f t="shared" si="93"/>
        <v>2.6777588181652331E+51</v>
      </c>
      <c r="EME53" s="708">
        <f t="shared" si="93"/>
        <v>2.7580915827101902E+51</v>
      </c>
      <c r="EMF53" s="708">
        <f t="shared" si="93"/>
        <v>2.8408343301914958E+51</v>
      </c>
      <c r="EMG53" s="708">
        <f t="shared" si="93"/>
        <v>2.9260593600972407E+51</v>
      </c>
      <c r="EMH53" s="708">
        <f t="shared" si="93"/>
        <v>3.013841140900158E+51</v>
      </c>
      <c r="EMI53" s="708">
        <f t="shared" si="93"/>
        <v>3.1042563751271627E+51</v>
      </c>
      <c r="EMJ53" s="708">
        <f t="shared" si="93"/>
        <v>3.197384066380978E+51</v>
      </c>
      <c r="EMK53" s="708">
        <f t="shared" si="93"/>
        <v>3.2933055883724072E+51</v>
      </c>
      <c r="EML53" s="708">
        <f t="shared" si="93"/>
        <v>3.3921047560235793E+51</v>
      </c>
      <c r="EMM53" s="708">
        <f t="shared" si="93"/>
        <v>3.4938678987042865E+51</v>
      </c>
      <c r="EMN53" s="708">
        <f t="shared" si="93"/>
        <v>3.598683935665415E+51</v>
      </c>
      <c r="EMO53" s="708">
        <f t="shared" si="93"/>
        <v>3.7066444537353774E+51</v>
      </c>
      <c r="EMP53" s="708">
        <f t="shared" si="93"/>
        <v>3.817843787347439E+51</v>
      </c>
      <c r="EMQ53" s="708">
        <f t="shared" si="93"/>
        <v>3.9323791009678621E+51</v>
      </c>
      <c r="EMR53" s="708">
        <f t="shared" si="93"/>
        <v>4.050350473996898E+51</v>
      </c>
      <c r="EMS53" s="708">
        <f t="shared" si="93"/>
        <v>4.1718609882168048E+51</v>
      </c>
      <c r="EMT53" s="708">
        <f t="shared" si="93"/>
        <v>4.297016817863309E+51</v>
      </c>
      <c r="EMU53" s="708">
        <f t="shared" si="93"/>
        <v>4.4259273223992085E+51</v>
      </c>
      <c r="EMV53" s="708">
        <f t="shared" si="93"/>
        <v>4.5587051420711849E+51</v>
      </c>
      <c r="EMW53" s="708">
        <f t="shared" si="93"/>
        <v>4.6954662963333205E+51</v>
      </c>
      <c r="EMX53" s="708">
        <f t="shared" si="93"/>
        <v>4.8363302852233203E+51</v>
      </c>
      <c r="EMY53" s="708">
        <f t="shared" si="93"/>
        <v>4.9814201937800199E+51</v>
      </c>
      <c r="EMZ53" s="708">
        <f t="shared" si="93"/>
        <v>5.1308627995934209E+51</v>
      </c>
      <c r="ENA53" s="708">
        <f t="shared" si="93"/>
        <v>5.2847886835812238E+51</v>
      </c>
      <c r="ENB53" s="708">
        <f t="shared" si="93"/>
        <v>5.4433323440886609E+51</v>
      </c>
      <c r="ENC53" s="708">
        <f t="shared" si="93"/>
        <v>5.6066323144113212E+51</v>
      </c>
      <c r="END53" s="708">
        <f t="shared" si="93"/>
        <v>5.774831283843661E+51</v>
      </c>
      <c r="ENE53" s="708">
        <f t="shared" si="93"/>
        <v>5.9480762223589711E+51</v>
      </c>
      <c r="ENF53" s="708">
        <f t="shared" si="93"/>
        <v>6.1265185090297406E+51</v>
      </c>
      <c r="ENG53" s="708">
        <f t="shared" si="93"/>
        <v>6.3103140643006332E+51</v>
      </c>
      <c r="ENH53" s="708">
        <f t="shared" si="93"/>
        <v>6.4996234862296527E+51</v>
      </c>
      <c r="ENI53" s="708">
        <f t="shared" si="93"/>
        <v>6.6946121908165429E+51</v>
      </c>
      <c r="ENJ53" s="708">
        <f t="shared" si="93"/>
        <v>6.8954505565410398E+51</v>
      </c>
      <c r="ENK53" s="708">
        <f t="shared" si="93"/>
        <v>7.1023140732372708E+51</v>
      </c>
      <c r="ENL53" s="708">
        <f t="shared" si="93"/>
        <v>7.3153834954343889E+51</v>
      </c>
      <c r="ENM53" s="708">
        <f t="shared" si="93"/>
        <v>7.5348450002974205E+51</v>
      </c>
      <c r="ENN53" s="708">
        <f t="shared" si="93"/>
        <v>7.7608903503063437E+51</v>
      </c>
      <c r="ENO53" s="708">
        <f t="shared" si="93"/>
        <v>7.9937170608155338E+51</v>
      </c>
      <c r="ENP53" s="708">
        <f t="shared" si="93"/>
        <v>8.2335285726400002E+51</v>
      </c>
      <c r="ENQ53" s="708">
        <f t="shared" si="93"/>
        <v>8.4805344298192009E+51</v>
      </c>
      <c r="ENR53" s="708">
        <f t="shared" si="93"/>
        <v>8.7349504627137776E+51</v>
      </c>
      <c r="ENS53" s="708">
        <f t="shared" si="93"/>
        <v>8.9969989765951917E+51</v>
      </c>
      <c r="ENT53" s="708">
        <f t="shared" si="93"/>
        <v>9.2669089458930478E+51</v>
      </c>
      <c r="ENU53" s="708">
        <f t="shared" si="93"/>
        <v>9.5449162142698399E+51</v>
      </c>
      <c r="ENV53" s="708">
        <f t="shared" si="93"/>
        <v>9.8312637006979351E+51</v>
      </c>
      <c r="ENW53" s="708">
        <f t="shared" si="93"/>
        <v>1.0126201611718873E+52</v>
      </c>
      <c r="ENX53" s="708">
        <f t="shared" si="93"/>
        <v>1.0429987660070439E+52</v>
      </c>
      <c r="ENY53" s="708">
        <f t="shared" si="93"/>
        <v>1.0742887289872552E+52</v>
      </c>
      <c r="ENZ53" s="708">
        <f t="shared" si="93"/>
        <v>1.1065173908568728E+52</v>
      </c>
      <c r="EOA53" s="708">
        <f t="shared" si="93"/>
        <v>1.139712912582579E+52</v>
      </c>
      <c r="EOB53" s="708">
        <f t="shared" si="93"/>
        <v>1.1739042999600563E+52</v>
      </c>
      <c r="EOC53" s="708">
        <f t="shared" si="93"/>
        <v>1.209121428958858E+52</v>
      </c>
      <c r="EOD53" s="708">
        <f t="shared" si="93"/>
        <v>1.2453950718276238E+52</v>
      </c>
      <c r="EOE53" s="708">
        <f t="shared" si="93"/>
        <v>1.2827569239824526E+52</v>
      </c>
      <c r="EOF53" s="708">
        <f t="shared" si="93"/>
        <v>1.3212396317019263E+52</v>
      </c>
      <c r="EOG53" s="708">
        <f t="shared" si="93"/>
        <v>1.3608768206529841E+52</v>
      </c>
      <c r="EOH53" s="708">
        <f t="shared" si="93"/>
        <v>1.4017031252725738E+52</v>
      </c>
      <c r="EOI53" s="708">
        <f t="shared" si="93"/>
        <v>1.4437542190307509E+52</v>
      </c>
      <c r="EOJ53" s="708">
        <f t="shared" si="93"/>
        <v>1.4870668456016734E+52</v>
      </c>
      <c r="EOK53" s="708">
        <f t="shared" si="93"/>
        <v>1.5316788509697236E+52</v>
      </c>
      <c r="EOL53" s="708">
        <f t="shared" ref="EOL53:EQW53" si="94">EOK53*$C$53</f>
        <v>1.5776292164988154E+52</v>
      </c>
      <c r="EOM53" s="708">
        <f t="shared" si="94"/>
        <v>1.6249580929937799E+52</v>
      </c>
      <c r="EON53" s="708">
        <f t="shared" si="94"/>
        <v>1.6737068357835933E+52</v>
      </c>
      <c r="EOO53" s="708">
        <f t="shared" si="94"/>
        <v>1.7239180408571011E+52</v>
      </c>
      <c r="EOP53" s="708">
        <f t="shared" si="94"/>
        <v>1.7756355820828141E+52</v>
      </c>
      <c r="EOQ53" s="708">
        <f t="shared" si="94"/>
        <v>1.8289046495452986E+52</v>
      </c>
      <c r="EOR53" s="708">
        <f t="shared" si="94"/>
        <v>1.8837717890316576E+52</v>
      </c>
      <c r="EOS53" s="708">
        <f t="shared" si="94"/>
        <v>1.9402849427026075E+52</v>
      </c>
      <c r="EOT53" s="708">
        <f t="shared" si="94"/>
        <v>1.9984934909836857E+52</v>
      </c>
      <c r="EOU53" s="708">
        <f t="shared" si="94"/>
        <v>2.0584482957131963E+52</v>
      </c>
      <c r="EOV53" s="708">
        <f t="shared" si="94"/>
        <v>2.1202017445845921E+52</v>
      </c>
      <c r="EOW53" s="708">
        <f t="shared" si="94"/>
        <v>2.18380779692213E+52</v>
      </c>
      <c r="EOX53" s="708">
        <f t="shared" si="94"/>
        <v>2.2493220308297941E+52</v>
      </c>
      <c r="EOY53" s="708">
        <f t="shared" si="94"/>
        <v>2.316801691754688E+52</v>
      </c>
      <c r="EOZ53" s="708">
        <f t="shared" si="94"/>
        <v>2.3863057425073286E+52</v>
      </c>
      <c r="EPA53" s="708">
        <f t="shared" si="94"/>
        <v>2.4578949147825487E+52</v>
      </c>
      <c r="EPB53" s="708">
        <f t="shared" si="94"/>
        <v>2.531631762226025E+52</v>
      </c>
      <c r="EPC53" s="708">
        <f t="shared" si="94"/>
        <v>2.6075807150928056E+52</v>
      </c>
      <c r="EPD53" s="708">
        <f t="shared" si="94"/>
        <v>2.6858081365455896E+52</v>
      </c>
      <c r="EPE53" s="708">
        <f t="shared" si="94"/>
        <v>2.7663823806419573E+52</v>
      </c>
      <c r="EPF53" s="708">
        <f t="shared" si="94"/>
        <v>2.8493738520612162E+52</v>
      </c>
      <c r="EPG53" s="708">
        <f t="shared" si="94"/>
        <v>2.9348550676230529E+52</v>
      </c>
      <c r="EPH53" s="708">
        <f t="shared" si="94"/>
        <v>3.0229007196517445E+52</v>
      </c>
      <c r="EPI53" s="708">
        <f t="shared" si="94"/>
        <v>3.1135877412412968E+52</v>
      </c>
      <c r="EPJ53" s="708">
        <f t="shared" si="94"/>
        <v>3.2069953734785356E+52</v>
      </c>
      <c r="EPK53" s="708">
        <f t="shared" si="94"/>
        <v>3.3032052346828916E+52</v>
      </c>
      <c r="EPL53" s="708">
        <f t="shared" si="94"/>
        <v>3.4023013917233785E+52</v>
      </c>
      <c r="EPM53" s="708">
        <f t="shared" si="94"/>
        <v>3.5043704334750801E+52</v>
      </c>
      <c r="EPN53" s="708">
        <f t="shared" si="94"/>
        <v>3.6095015464793324E+52</v>
      </c>
      <c r="EPO53" s="708">
        <f t="shared" si="94"/>
        <v>3.7177865928737125E+52</v>
      </c>
      <c r="EPP53" s="708">
        <f t="shared" si="94"/>
        <v>3.829320190659924E+52</v>
      </c>
      <c r="EPQ53" s="708">
        <f t="shared" si="94"/>
        <v>3.9441997963797221E+52</v>
      </c>
      <c r="EPR53" s="708">
        <f t="shared" si="94"/>
        <v>4.0625257902711141E+52</v>
      </c>
      <c r="EPS53" s="708">
        <f t="shared" si="94"/>
        <v>4.1844015639792474E+52</v>
      </c>
      <c r="EPT53" s="708">
        <f t="shared" si="94"/>
        <v>4.3099336108986252E+52</v>
      </c>
      <c r="EPU53" s="708">
        <f t="shared" si="94"/>
        <v>4.4392316192255839E+52</v>
      </c>
      <c r="EPV53" s="708">
        <f t="shared" si="94"/>
        <v>4.5724085678023516E+52</v>
      </c>
      <c r="EPW53" s="708">
        <f t="shared" si="94"/>
        <v>4.7095808248364225E+52</v>
      </c>
      <c r="EPX53" s="708">
        <f t="shared" si="94"/>
        <v>4.8508682495815158E+52</v>
      </c>
      <c r="EPY53" s="708">
        <f t="shared" si="94"/>
        <v>4.9963942970689618E+52</v>
      </c>
      <c r="EPZ53" s="708">
        <f t="shared" si="94"/>
        <v>5.1462861259810304E+52</v>
      </c>
      <c r="EQA53" s="708">
        <f t="shared" si="94"/>
        <v>5.3006747097604618E+52</v>
      </c>
      <c r="EQB53" s="708">
        <f t="shared" si="94"/>
        <v>5.4596949510532758E+52</v>
      </c>
      <c r="EQC53" s="708">
        <f t="shared" si="94"/>
        <v>5.6234857995848739E+52</v>
      </c>
      <c r="EQD53" s="708">
        <f t="shared" si="94"/>
        <v>5.7921903735724202E+52</v>
      </c>
      <c r="EQE53" s="708">
        <f t="shared" si="94"/>
        <v>5.965956084779593E+52</v>
      </c>
      <c r="EQF53" s="708">
        <f t="shared" si="94"/>
        <v>6.1449347673229805E+52</v>
      </c>
      <c r="EQG53" s="708">
        <f t="shared" si="94"/>
        <v>6.3292828103426697E+52</v>
      </c>
      <c r="EQH53" s="708">
        <f t="shared" si="94"/>
        <v>6.5191612946529497E+52</v>
      </c>
      <c r="EQI53" s="708">
        <f t="shared" si="94"/>
        <v>6.7147361334925388E+52</v>
      </c>
      <c r="EQJ53" s="708">
        <f t="shared" si="94"/>
        <v>6.9161782174973155E+52</v>
      </c>
      <c r="EQK53" s="708">
        <f t="shared" si="94"/>
        <v>7.1236635640222349E+52</v>
      </c>
      <c r="EQL53" s="708">
        <f t="shared" si="94"/>
        <v>7.3373734709429022E+52</v>
      </c>
      <c r="EQM53" s="708">
        <f t="shared" si="94"/>
        <v>7.5574946750711894E+52</v>
      </c>
      <c r="EQN53" s="708">
        <f t="shared" si="94"/>
        <v>7.7842195153233253E+52</v>
      </c>
      <c r="EQO53" s="708">
        <f t="shared" si="94"/>
        <v>8.0177461007830249E+52</v>
      </c>
      <c r="EQP53" s="708">
        <f t="shared" si="94"/>
        <v>8.2582784838065158E+52</v>
      </c>
      <c r="EQQ53" s="708">
        <f t="shared" si="94"/>
        <v>8.506026838320712E+52</v>
      </c>
      <c r="EQR53" s="708">
        <f t="shared" si="94"/>
        <v>8.7612076434703331E+52</v>
      </c>
      <c r="EQS53" s="708">
        <f t="shared" si="94"/>
        <v>9.0240438727744429E+52</v>
      </c>
      <c r="EQT53" s="708">
        <f t="shared" si="94"/>
        <v>9.2947651889576761E+52</v>
      </c>
      <c r="EQU53" s="708">
        <f t="shared" si="94"/>
        <v>9.5736081446264069E+52</v>
      </c>
      <c r="EQV53" s="708">
        <f t="shared" si="94"/>
        <v>9.8608163889651991E+52</v>
      </c>
      <c r="EQW53" s="708">
        <f t="shared" si="94"/>
        <v>1.0156640880634155E+53</v>
      </c>
      <c r="EQX53" s="708">
        <f t="shared" ref="EQX53:ETI53" si="95">EQW53*$C$53</f>
        <v>1.046134010705318E+53</v>
      </c>
      <c r="EQY53" s="708">
        <f t="shared" si="95"/>
        <v>1.0775180310264776E+53</v>
      </c>
      <c r="EQZ53" s="708">
        <f t="shared" si="95"/>
        <v>1.1098435719572721E+53</v>
      </c>
      <c r="ERA53" s="708">
        <f t="shared" si="95"/>
        <v>1.1431388791159902E+53</v>
      </c>
      <c r="ERB53" s="708">
        <f t="shared" si="95"/>
        <v>1.1774330454894698E+53</v>
      </c>
      <c r="ERC53" s="708">
        <f t="shared" si="95"/>
        <v>1.2127560368541541E+53</v>
      </c>
      <c r="ERD53" s="708">
        <f t="shared" si="95"/>
        <v>1.2491387179597787E+53</v>
      </c>
      <c r="ERE53" s="708">
        <f t="shared" si="95"/>
        <v>1.2866128794985721E+53</v>
      </c>
      <c r="ERF53" s="708">
        <f t="shared" si="95"/>
        <v>1.3252112658835292E+53</v>
      </c>
      <c r="ERG53" s="708">
        <f t="shared" si="95"/>
        <v>1.3649676038600351E+53</v>
      </c>
      <c r="ERH53" s="708">
        <f t="shared" si="95"/>
        <v>1.4059166319758362E+53</v>
      </c>
      <c r="ERI53" s="708">
        <f t="shared" si="95"/>
        <v>1.4480941309351113E+53</v>
      </c>
      <c r="ERJ53" s="708">
        <f t="shared" si="95"/>
        <v>1.4915369548631646E+53</v>
      </c>
      <c r="ERK53" s="708">
        <f t="shared" si="95"/>
        <v>1.5362830635090595E+53</v>
      </c>
      <c r="ERL53" s="708">
        <f t="shared" si="95"/>
        <v>1.5823715554143313E+53</v>
      </c>
      <c r="ERM53" s="708">
        <f t="shared" si="95"/>
        <v>1.6298427020767613E+53</v>
      </c>
      <c r="ERN53" s="708">
        <f t="shared" si="95"/>
        <v>1.6787379831390642E+53</v>
      </c>
      <c r="ERO53" s="708">
        <f t="shared" si="95"/>
        <v>1.7291001226332362E+53</v>
      </c>
      <c r="ERP53" s="708">
        <f t="shared" si="95"/>
        <v>1.7809731263122333E+53</v>
      </c>
      <c r="ERQ53" s="708">
        <f t="shared" si="95"/>
        <v>1.8344023201016004E+53</v>
      </c>
      <c r="ERR53" s="708">
        <f t="shared" si="95"/>
        <v>1.8894343897046485E+53</v>
      </c>
      <c r="ERS53" s="708">
        <f t="shared" si="95"/>
        <v>1.946117421395788E+53</v>
      </c>
      <c r="ERT53" s="708">
        <f t="shared" si="95"/>
        <v>2.0045009440376616E+53</v>
      </c>
      <c r="ERU53" s="708">
        <f t="shared" si="95"/>
        <v>2.0646359723587915E+53</v>
      </c>
      <c r="ERV53" s="708">
        <f t="shared" si="95"/>
        <v>2.1265750515295555E+53</v>
      </c>
      <c r="ERW53" s="708">
        <f t="shared" si="95"/>
        <v>2.1903723030754424E+53</v>
      </c>
      <c r="ERX53" s="708">
        <f t="shared" si="95"/>
        <v>2.2560834721677056E+53</v>
      </c>
      <c r="ERY53" s="708">
        <f t="shared" si="95"/>
        <v>2.3237659763327367E+53</v>
      </c>
      <c r="ERZ53" s="708">
        <f t="shared" si="95"/>
        <v>2.3934789556227188E+53</v>
      </c>
      <c r="ESA53" s="708">
        <f t="shared" si="95"/>
        <v>2.4652833242914003E+53</v>
      </c>
      <c r="ESB53" s="708">
        <f t="shared" si="95"/>
        <v>2.5392418240201424E+53</v>
      </c>
      <c r="ESC53" s="708">
        <f t="shared" si="95"/>
        <v>2.6154190787407469E+53</v>
      </c>
      <c r="ESD53" s="708">
        <f t="shared" si="95"/>
        <v>2.6938816511029694E+53</v>
      </c>
      <c r="ESE53" s="708">
        <f t="shared" si="95"/>
        <v>2.7746981006360587E+53</v>
      </c>
      <c r="ESF53" s="708">
        <f t="shared" si="95"/>
        <v>2.8579390436551404E+53</v>
      </c>
      <c r="ESG53" s="708">
        <f t="shared" si="95"/>
        <v>2.9436772149647946E+53</v>
      </c>
      <c r="ESH53" s="708">
        <f t="shared" si="95"/>
        <v>3.0319875314137384E+53</v>
      </c>
      <c r="ESI53" s="708">
        <f t="shared" si="95"/>
        <v>3.1229471573561507E+53</v>
      </c>
      <c r="ESJ53" s="708">
        <f t="shared" si="95"/>
        <v>3.2166355720768354E+53</v>
      </c>
      <c r="ESK53" s="708">
        <f t="shared" si="95"/>
        <v>3.3131346392391403E+53</v>
      </c>
      <c r="ESL53" s="708">
        <f t="shared" si="95"/>
        <v>3.4125286784163146E+53</v>
      </c>
      <c r="ESM53" s="708">
        <f t="shared" si="95"/>
        <v>3.5149045387688043E+53</v>
      </c>
      <c r="ESN53" s="708">
        <f t="shared" si="95"/>
        <v>3.6203516749318685E+53</v>
      </c>
      <c r="ESO53" s="708">
        <f t="shared" si="95"/>
        <v>3.7289622251798245E+53</v>
      </c>
      <c r="ESP53" s="708">
        <f t="shared" si="95"/>
        <v>3.8408310919352191E+53</v>
      </c>
      <c r="ESQ53" s="708">
        <f t="shared" si="95"/>
        <v>3.9560560246932761E+53</v>
      </c>
      <c r="ESR53" s="708">
        <f t="shared" si="95"/>
        <v>4.0747377054340747E+53</v>
      </c>
      <c r="ESS53" s="708">
        <f t="shared" si="95"/>
        <v>4.1969798365970971E+53</v>
      </c>
      <c r="EST53" s="708">
        <f t="shared" si="95"/>
        <v>4.32288923169501E+53</v>
      </c>
      <c r="ESU53" s="708">
        <f t="shared" si="95"/>
        <v>4.4525759086458607E+53</v>
      </c>
      <c r="ESV53" s="708">
        <f t="shared" si="95"/>
        <v>4.5861531859052368E+53</v>
      </c>
      <c r="ESW53" s="708">
        <f t="shared" si="95"/>
        <v>4.7237377814823937E+53</v>
      </c>
      <c r="ESX53" s="708">
        <f t="shared" si="95"/>
        <v>4.8654499149268657E+53</v>
      </c>
      <c r="ESY53" s="708">
        <f t="shared" si="95"/>
        <v>5.0114134123746714E+53</v>
      </c>
      <c r="ESZ53" s="708">
        <f t="shared" si="95"/>
        <v>5.1617558147459115E+53</v>
      </c>
      <c r="ETA53" s="708">
        <f t="shared" si="95"/>
        <v>5.3166084891882894E+53</v>
      </c>
      <c r="ETB53" s="708">
        <f t="shared" si="95"/>
        <v>5.4761067438639385E+53</v>
      </c>
      <c r="ETC53" s="708">
        <f t="shared" si="95"/>
        <v>5.6403899461798568E+53</v>
      </c>
      <c r="ETD53" s="708">
        <f t="shared" si="95"/>
        <v>5.809601644565253E+53</v>
      </c>
      <c r="ETE53" s="708">
        <f t="shared" si="95"/>
        <v>5.9838896939022108E+53</v>
      </c>
      <c r="ETF53" s="708">
        <f t="shared" si="95"/>
        <v>6.1634063847192774E+53</v>
      </c>
      <c r="ETG53" s="708">
        <f t="shared" si="95"/>
        <v>6.3483085762608558E+53</v>
      </c>
      <c r="ETH53" s="708">
        <f t="shared" si="95"/>
        <v>6.538757833548682E+53</v>
      </c>
      <c r="ETI53" s="708">
        <f t="shared" si="95"/>
        <v>6.7349205685551427E+53</v>
      </c>
      <c r="ETJ53" s="708">
        <f t="shared" ref="ETJ53:EVU53" si="96">ETI53*$C$53</f>
        <v>6.936968185611797E+53</v>
      </c>
      <c r="ETK53" s="708">
        <f t="shared" si="96"/>
        <v>7.1450772311801509E+53</v>
      </c>
      <c r="ETL53" s="708">
        <f t="shared" si="96"/>
        <v>7.3594295481155558E+53</v>
      </c>
      <c r="ETM53" s="708">
        <f t="shared" si="96"/>
        <v>7.5802124345590228E+53</v>
      </c>
      <c r="ETN53" s="708">
        <f t="shared" si="96"/>
        <v>7.8076188075957937E+53</v>
      </c>
      <c r="ETO53" s="708">
        <f t="shared" si="96"/>
        <v>8.0418473718236684E+53</v>
      </c>
      <c r="ETP53" s="708">
        <f t="shared" si="96"/>
        <v>8.2831027929783789E+53</v>
      </c>
      <c r="ETQ53" s="708">
        <f t="shared" si="96"/>
        <v>8.5315958767677303E+53</v>
      </c>
      <c r="ETR53" s="708">
        <f t="shared" si="96"/>
        <v>8.7875437530707626E+53</v>
      </c>
      <c r="ETS53" s="708">
        <f t="shared" si="96"/>
        <v>9.0511700656628864E+53</v>
      </c>
      <c r="ETT53" s="708">
        <f t="shared" si="96"/>
        <v>9.3227051676327734E+53</v>
      </c>
      <c r="ETU53" s="708">
        <f t="shared" si="96"/>
        <v>9.6023863226617565E+53</v>
      </c>
      <c r="ETV53" s="708">
        <f t="shared" si="96"/>
        <v>9.8904579123416102E+53</v>
      </c>
      <c r="ETW53" s="708">
        <f t="shared" si="96"/>
        <v>1.018717164971186E+54</v>
      </c>
      <c r="ETX53" s="708">
        <f t="shared" si="96"/>
        <v>1.0492786799203216E+54</v>
      </c>
      <c r="ETY53" s="708">
        <f t="shared" si="96"/>
        <v>1.0807570403179312E+54</v>
      </c>
      <c r="ETZ53" s="708">
        <f t="shared" si="96"/>
        <v>1.1131797515274693E+54</v>
      </c>
      <c r="EUA53" s="708">
        <f t="shared" si="96"/>
        <v>1.1465751440732934E+54</v>
      </c>
      <c r="EUB53" s="708">
        <f t="shared" si="96"/>
        <v>1.1809723983954922E+54</v>
      </c>
      <c r="EUC53" s="708">
        <f t="shared" si="96"/>
        <v>1.2164015703473571E+54</v>
      </c>
      <c r="EUD53" s="708">
        <f t="shared" si="96"/>
        <v>1.2528936174577779E+54</v>
      </c>
      <c r="EUE53" s="708">
        <f t="shared" si="96"/>
        <v>1.2904804259815112E+54</v>
      </c>
      <c r="EUF53" s="708">
        <f t="shared" si="96"/>
        <v>1.3291948387609566E+54</v>
      </c>
      <c r="EUG53" s="708">
        <f t="shared" si="96"/>
        <v>1.3690706839237853E+54</v>
      </c>
      <c r="EUH53" s="708">
        <f t="shared" si="96"/>
        <v>1.4101428044414988E+54</v>
      </c>
      <c r="EUI53" s="708">
        <f t="shared" si="96"/>
        <v>1.4524470885747438E+54</v>
      </c>
      <c r="EUJ53" s="708">
        <f t="shared" si="96"/>
        <v>1.4960205012319862E+54</v>
      </c>
      <c r="EUK53" s="708">
        <f t="shared" si="96"/>
        <v>1.540901116268946E+54</v>
      </c>
      <c r="EUL53" s="708">
        <f t="shared" si="96"/>
        <v>1.5871281497570144E+54</v>
      </c>
      <c r="EUM53" s="708">
        <f t="shared" si="96"/>
        <v>1.6347419942497249E+54</v>
      </c>
      <c r="EUN53" s="708">
        <f t="shared" si="96"/>
        <v>1.6837842540772168E+54</v>
      </c>
      <c r="EUO53" s="708">
        <f t="shared" si="96"/>
        <v>1.7342977816995335E+54</v>
      </c>
      <c r="EUP53" s="708">
        <f t="shared" si="96"/>
        <v>1.7863267151505195E+54</v>
      </c>
      <c r="EUQ53" s="708">
        <f t="shared" si="96"/>
        <v>1.8399165166050352E+54</v>
      </c>
      <c r="EUR53" s="708">
        <f t="shared" si="96"/>
        <v>1.8951140121031862E+54</v>
      </c>
      <c r="EUS53" s="708">
        <f t="shared" si="96"/>
        <v>1.9519674324662818E+54</v>
      </c>
      <c r="EUT53" s="708">
        <f t="shared" si="96"/>
        <v>2.0105264554402702E+54</v>
      </c>
      <c r="EUU53" s="708">
        <f t="shared" si="96"/>
        <v>2.0708422491034785E+54</v>
      </c>
      <c r="EUV53" s="708">
        <f t="shared" si="96"/>
        <v>2.132967516576583E+54</v>
      </c>
      <c r="EUW53" s="708">
        <f t="shared" si="96"/>
        <v>2.1969565420738804E+54</v>
      </c>
      <c r="EUX53" s="708">
        <f t="shared" si="96"/>
        <v>2.262865238336097E+54</v>
      </c>
      <c r="EUY53" s="708">
        <f t="shared" si="96"/>
        <v>2.3307511954861799E+54</v>
      </c>
      <c r="EUZ53" s="708">
        <f t="shared" si="96"/>
        <v>2.4006737313507656E+54</v>
      </c>
      <c r="EVA53" s="708">
        <f t="shared" si="96"/>
        <v>2.4726939432912887E+54</v>
      </c>
      <c r="EVB53" s="708">
        <f t="shared" si="96"/>
        <v>2.5468747615900275E+54</v>
      </c>
      <c r="EVC53" s="708">
        <f t="shared" si="96"/>
        <v>2.6232810044377285E+54</v>
      </c>
      <c r="EVD53" s="708">
        <f t="shared" si="96"/>
        <v>2.7019794345708606E+54</v>
      </c>
      <c r="EVE53" s="708">
        <f t="shared" si="96"/>
        <v>2.7830388176079866E+54</v>
      </c>
      <c r="EVF53" s="708">
        <f t="shared" si="96"/>
        <v>2.8665299821362263E+54</v>
      </c>
      <c r="EVG53" s="708">
        <f t="shared" si="96"/>
        <v>2.9525258816003133E+54</v>
      </c>
      <c r="EVH53" s="708">
        <f t="shared" si="96"/>
        <v>3.0411016580483226E+54</v>
      </c>
      <c r="EVI53" s="708">
        <f t="shared" si="96"/>
        <v>3.1323347077897726E+54</v>
      </c>
      <c r="EVJ53" s="708">
        <f t="shared" si="96"/>
        <v>3.226304749023466E+54</v>
      </c>
      <c r="EVK53" s="708">
        <f t="shared" si="96"/>
        <v>3.3230938914941703E+54</v>
      </c>
      <c r="EVL53" s="708">
        <f t="shared" si="96"/>
        <v>3.4227867082389951E+54</v>
      </c>
      <c r="EVM53" s="708">
        <f t="shared" si="96"/>
        <v>3.5254703094861652E+54</v>
      </c>
      <c r="EVN53" s="708">
        <f t="shared" si="96"/>
        <v>3.6312344187707503E+54</v>
      </c>
      <c r="EVO53" s="708">
        <f t="shared" si="96"/>
        <v>3.7401714513338731E+54</v>
      </c>
      <c r="EVP53" s="708">
        <f t="shared" si="96"/>
        <v>3.8523765948738891E+54</v>
      </c>
      <c r="EVQ53" s="708">
        <f t="shared" si="96"/>
        <v>3.9679478927201061E+54</v>
      </c>
      <c r="EVR53" s="708">
        <f t="shared" si="96"/>
        <v>4.0869863295017091E+54</v>
      </c>
      <c r="EVS53" s="708">
        <f t="shared" si="96"/>
        <v>4.2095959193867604E+54</v>
      </c>
      <c r="EVT53" s="708">
        <f t="shared" si="96"/>
        <v>4.3358837969683636E+54</v>
      </c>
      <c r="EVU53" s="708">
        <f t="shared" si="96"/>
        <v>4.4659603108774148E+54</v>
      </c>
      <c r="EVV53" s="708">
        <f t="shared" ref="EVV53:EYG53" si="97">EVU53*$C$53</f>
        <v>4.5999391202037375E+54</v>
      </c>
      <c r="EVW53" s="708">
        <f t="shared" si="97"/>
        <v>4.7379372938098499E+54</v>
      </c>
      <c r="EVX53" s="708">
        <f t="shared" si="97"/>
        <v>4.8800754126241459E+54</v>
      </c>
      <c r="EVY53" s="708">
        <f t="shared" si="97"/>
        <v>5.0264776750028702E+54</v>
      </c>
      <c r="EVZ53" s="708">
        <f t="shared" si="97"/>
        <v>5.1772720052529562E+54</v>
      </c>
      <c r="EWA53" s="708">
        <f t="shared" si="97"/>
        <v>5.3325901654105449E+54</v>
      </c>
      <c r="EWB53" s="708">
        <f t="shared" si="97"/>
        <v>5.4925678703728613E+54</v>
      </c>
      <c r="EWC53" s="708">
        <f t="shared" si="97"/>
        <v>5.6573449064840473E+54</v>
      </c>
      <c r="EWD53" s="708">
        <f t="shared" si="97"/>
        <v>5.827065253678569E+54</v>
      </c>
      <c r="EWE53" s="708">
        <f t="shared" si="97"/>
        <v>6.0018772112889262E+54</v>
      </c>
      <c r="EWF53" s="708">
        <f t="shared" si="97"/>
        <v>6.1819335276275944E+54</v>
      </c>
      <c r="EWG53" s="708">
        <f t="shared" si="97"/>
        <v>6.3673915334564219E+54</v>
      </c>
      <c r="EWH53" s="708">
        <f t="shared" si="97"/>
        <v>6.5584132794601144E+54</v>
      </c>
      <c r="EWI53" s="708">
        <f t="shared" si="97"/>
        <v>6.7551656778439182E+54</v>
      </c>
      <c r="EWJ53" s="708">
        <f t="shared" si="97"/>
        <v>6.9578206481792357E+54</v>
      </c>
      <c r="EWK53" s="708">
        <f t="shared" si="97"/>
        <v>7.1665552676246135E+54</v>
      </c>
      <c r="EWL53" s="708">
        <f t="shared" si="97"/>
        <v>7.3815519256533516E+54</v>
      </c>
      <c r="EWM53" s="708">
        <f t="shared" si="97"/>
        <v>7.6029984834229518E+54</v>
      </c>
      <c r="EWN53" s="708">
        <f t="shared" si="97"/>
        <v>7.8310884379256412E+54</v>
      </c>
      <c r="EWO53" s="708">
        <f t="shared" si="97"/>
        <v>8.0660210910634101E+54</v>
      </c>
      <c r="EWP53" s="708">
        <f t="shared" si="97"/>
        <v>8.3080017237953121E+54</v>
      </c>
      <c r="EWQ53" s="708">
        <f t="shared" si="97"/>
        <v>8.5572417755091711E+54</v>
      </c>
      <c r="EWR53" s="708">
        <f t="shared" si="97"/>
        <v>8.8139590287744464E+54</v>
      </c>
      <c r="EWS53" s="708">
        <f t="shared" si="97"/>
        <v>9.07837779963768E+54</v>
      </c>
      <c r="EWT53" s="708">
        <f t="shared" si="97"/>
        <v>9.3507291336268111E+54</v>
      </c>
      <c r="EWU53" s="708">
        <f t="shared" si="97"/>
        <v>9.6312510076356163E+54</v>
      </c>
      <c r="EWV53" s="708">
        <f t="shared" si="97"/>
        <v>9.9201885378646852E+54</v>
      </c>
      <c r="EWW53" s="708">
        <f t="shared" si="97"/>
        <v>1.0217794194000626E+55</v>
      </c>
      <c r="EWX53" s="708">
        <f t="shared" si="97"/>
        <v>1.0524328019820645E+55</v>
      </c>
      <c r="EWY53" s="708">
        <f t="shared" si="97"/>
        <v>1.0840057860415265E+55</v>
      </c>
      <c r="EWZ53" s="708">
        <f t="shared" si="97"/>
        <v>1.1165259596227724E+55</v>
      </c>
      <c r="EXA53" s="708">
        <f t="shared" si="97"/>
        <v>1.1500217384114555E+55</v>
      </c>
      <c r="EXB53" s="708">
        <f t="shared" si="97"/>
        <v>1.1845223905637992E+55</v>
      </c>
      <c r="EXC53" s="708">
        <f t="shared" si="97"/>
        <v>1.2200580622807132E+55</v>
      </c>
      <c r="EXD53" s="708">
        <f t="shared" si="97"/>
        <v>1.2566598041491347E+55</v>
      </c>
      <c r="EXE53" s="708">
        <f t="shared" si="97"/>
        <v>1.2943595982736088E+55</v>
      </c>
      <c r="EXF53" s="708">
        <f t="shared" si="97"/>
        <v>1.3331903862218171E+55</v>
      </c>
      <c r="EXG53" s="708">
        <f t="shared" si="97"/>
        <v>1.3731860978084717E+55</v>
      </c>
      <c r="EXH53" s="708">
        <f t="shared" si="97"/>
        <v>1.4143816807427258E+55</v>
      </c>
      <c r="EXI53" s="708">
        <f t="shared" si="97"/>
        <v>1.4568131311650076E+55</v>
      </c>
      <c r="EXJ53" s="708">
        <f t="shared" si="97"/>
        <v>1.5005175250999577E+55</v>
      </c>
      <c r="EXK53" s="708">
        <f t="shared" si="97"/>
        <v>1.5455330508529565E+55</v>
      </c>
      <c r="EXL53" s="708">
        <f t="shared" si="97"/>
        <v>1.5918990423785452E+55</v>
      </c>
      <c r="EXM53" s="708">
        <f t="shared" si="97"/>
        <v>1.6396560136499016E+55</v>
      </c>
      <c r="EXN53" s="708">
        <f t="shared" si="97"/>
        <v>1.6888456940593986E+55</v>
      </c>
      <c r="EXO53" s="708">
        <f t="shared" si="97"/>
        <v>1.7395110648811805E+55</v>
      </c>
      <c r="EXP53" s="708">
        <f t="shared" si="97"/>
        <v>1.791696396827616E+55</v>
      </c>
      <c r="EXQ53" s="708">
        <f t="shared" si="97"/>
        <v>1.8454472887324444E+55</v>
      </c>
      <c r="EXR53" s="708">
        <f t="shared" si="97"/>
        <v>1.9008107073944179E+55</v>
      </c>
      <c r="EXS53" s="708">
        <f t="shared" si="97"/>
        <v>1.9578350286162506E+55</v>
      </c>
      <c r="EXT53" s="708">
        <f t="shared" si="97"/>
        <v>2.0165700794747382E+55</v>
      </c>
      <c r="EXU53" s="708">
        <f t="shared" si="97"/>
        <v>2.0770671818589804E+55</v>
      </c>
      <c r="EXV53" s="708">
        <f t="shared" si="97"/>
        <v>2.1393791973147498E+55</v>
      </c>
      <c r="EXW53" s="708">
        <f t="shared" si="97"/>
        <v>2.2035605732341923E+55</v>
      </c>
      <c r="EXX53" s="708">
        <f t="shared" si="97"/>
        <v>2.2696673904312182E+55</v>
      </c>
      <c r="EXY53" s="708">
        <f t="shared" si="97"/>
        <v>2.3377574121441547E+55</v>
      </c>
      <c r="EXZ53" s="708">
        <f t="shared" si="97"/>
        <v>2.4078901345084794E+55</v>
      </c>
      <c r="EYA53" s="708">
        <f t="shared" si="97"/>
        <v>2.4801268385437337E+55</v>
      </c>
      <c r="EYB53" s="708">
        <f t="shared" si="97"/>
        <v>2.5545306437000456E+55</v>
      </c>
      <c r="EYC53" s="708">
        <f t="shared" si="97"/>
        <v>2.631166563011047E+55</v>
      </c>
      <c r="EYD53" s="708">
        <f t="shared" si="97"/>
        <v>2.7101015599013787E+55</v>
      </c>
      <c r="EYE53" s="708">
        <f t="shared" si="97"/>
        <v>2.7914046066984203E+55</v>
      </c>
      <c r="EYF53" s="708">
        <f t="shared" si="97"/>
        <v>2.8751467448993729E+55</v>
      </c>
      <c r="EYG53" s="708">
        <f t="shared" si="97"/>
        <v>2.9614011472463544E+55</v>
      </c>
      <c r="EYH53" s="708">
        <f t="shared" ref="EYH53:FAS53" si="98">EYG53*$C$53</f>
        <v>3.0502431816637451E+55</v>
      </c>
      <c r="EYI53" s="708">
        <f t="shared" si="98"/>
        <v>3.1417504771136575E+55</v>
      </c>
      <c r="EYJ53" s="708">
        <f t="shared" si="98"/>
        <v>3.2360029914270672E+55</v>
      </c>
      <c r="EYK53" s="708">
        <f t="shared" si="98"/>
        <v>3.3330830811698792E+55</v>
      </c>
      <c r="EYL53" s="708">
        <f t="shared" si="98"/>
        <v>3.4330755736049755E+55</v>
      </c>
      <c r="EYM53" s="708">
        <f t="shared" si="98"/>
        <v>3.5360678408131248E+55</v>
      </c>
      <c r="EYN53" s="708">
        <f t="shared" si="98"/>
        <v>3.6421498760375185E+55</v>
      </c>
      <c r="EYO53" s="708">
        <f t="shared" si="98"/>
        <v>3.7514143723186441E+55</v>
      </c>
      <c r="EYP53" s="708">
        <f t="shared" si="98"/>
        <v>3.8639568034882033E+55</v>
      </c>
      <c r="EYQ53" s="708">
        <f t="shared" si="98"/>
        <v>3.9798755075928495E+55</v>
      </c>
      <c r="EYR53" s="708">
        <f t="shared" si="98"/>
        <v>4.099271772820635E+55</v>
      </c>
      <c r="EYS53" s="708">
        <f t="shared" si="98"/>
        <v>4.2222499260052542E+55</v>
      </c>
      <c r="EYT53" s="708">
        <f t="shared" si="98"/>
        <v>4.3489174237854121E+55</v>
      </c>
      <c r="EYU53" s="708">
        <f t="shared" si="98"/>
        <v>4.4793849464989746E+55</v>
      </c>
      <c r="EYV53" s="708">
        <f t="shared" si="98"/>
        <v>4.6137664948939437E+55</v>
      </c>
      <c r="EYW53" s="708">
        <f t="shared" si="98"/>
        <v>4.7521794897407622E+55</v>
      </c>
      <c r="EYX53" s="708">
        <f t="shared" si="98"/>
        <v>4.8947448744329853E+55</v>
      </c>
      <c r="EYY53" s="708">
        <f t="shared" si="98"/>
        <v>5.0415872206659746E+55</v>
      </c>
      <c r="EYZ53" s="708">
        <f t="shared" si="98"/>
        <v>5.1928348372859535E+55</v>
      </c>
      <c r="EZA53" s="708">
        <f t="shared" si="98"/>
        <v>5.348619882404532E+55</v>
      </c>
      <c r="EZB53" s="708">
        <f t="shared" si="98"/>
        <v>5.5090784788766679E+55</v>
      </c>
      <c r="EZC53" s="708">
        <f t="shared" si="98"/>
        <v>5.6743508332429678E+55</v>
      </c>
      <c r="EZD53" s="708">
        <f t="shared" si="98"/>
        <v>5.8445813582402572E+55</v>
      </c>
      <c r="EZE53" s="708">
        <f t="shared" si="98"/>
        <v>6.0199187989874649E+55</v>
      </c>
      <c r="EZF53" s="708">
        <f t="shared" si="98"/>
        <v>6.2005163629570891E+55</v>
      </c>
      <c r="EZG53" s="708">
        <f t="shared" si="98"/>
        <v>6.3865318538458016E+55</v>
      </c>
      <c r="EZH53" s="708">
        <f t="shared" si="98"/>
        <v>6.5781278094611763E+55</v>
      </c>
      <c r="EZI53" s="708">
        <f t="shared" si="98"/>
        <v>6.7754716437450115E+55</v>
      </c>
      <c r="EZJ53" s="708">
        <f t="shared" si="98"/>
        <v>6.9787357930573618E+55</v>
      </c>
      <c r="EZK53" s="708">
        <f t="shared" si="98"/>
        <v>7.1880978668490832E+55</v>
      </c>
      <c r="EZL53" s="708">
        <f t="shared" si="98"/>
        <v>7.4037408028545555E+55</v>
      </c>
      <c r="EZM53" s="708">
        <f t="shared" si="98"/>
        <v>7.6258530269401925E+55</v>
      </c>
      <c r="EZN53" s="708">
        <f t="shared" si="98"/>
        <v>7.8546286177483988E+55</v>
      </c>
      <c r="EZO53" s="708">
        <f t="shared" si="98"/>
        <v>8.0902674762808505E+55</v>
      </c>
      <c r="EZP53" s="708">
        <f t="shared" si="98"/>
        <v>8.3329755005692767E+55</v>
      </c>
      <c r="EZQ53" s="708">
        <f t="shared" si="98"/>
        <v>8.5829647655863556E+55</v>
      </c>
      <c r="EZR53" s="708">
        <f t="shared" si="98"/>
        <v>8.8404537085539464E+55</v>
      </c>
      <c r="EZS53" s="708">
        <f t="shared" si="98"/>
        <v>9.1056673198105653E+55</v>
      </c>
      <c r="EZT53" s="708">
        <f t="shared" si="98"/>
        <v>9.3788373394048825E+55</v>
      </c>
      <c r="EZU53" s="708">
        <f t="shared" si="98"/>
        <v>9.6602024595870295E+55</v>
      </c>
      <c r="EZV53" s="708">
        <f t="shared" si="98"/>
        <v>9.9500085333746409E+55</v>
      </c>
      <c r="EZW53" s="708">
        <f t="shared" si="98"/>
        <v>1.024850878937588E+56</v>
      </c>
      <c r="EZX53" s="708">
        <f t="shared" si="98"/>
        <v>1.0555964053057156E+56</v>
      </c>
      <c r="EZY53" s="708">
        <f t="shared" si="98"/>
        <v>1.0872642974648872E+56</v>
      </c>
      <c r="EZZ53" s="708">
        <f t="shared" si="98"/>
        <v>1.1198822263888339E+56</v>
      </c>
      <c r="FAA53" s="708">
        <f t="shared" si="98"/>
        <v>1.153478693180499E+56</v>
      </c>
      <c r="FAB53" s="708">
        <f t="shared" si="98"/>
        <v>1.1880830539759141E+56</v>
      </c>
      <c r="FAC53" s="708">
        <f t="shared" si="98"/>
        <v>1.2237255455951914E+56</v>
      </c>
      <c r="FAD53" s="708">
        <f t="shared" si="98"/>
        <v>1.2604373119630471E+56</v>
      </c>
      <c r="FAE53" s="708">
        <f t="shared" si="98"/>
        <v>1.2982504313219385E+56</v>
      </c>
      <c r="FAF53" s="708">
        <f t="shared" si="98"/>
        <v>1.3371979442615968E+56</v>
      </c>
      <c r="FAG53" s="708">
        <f t="shared" si="98"/>
        <v>1.3773138825894448E+56</v>
      </c>
      <c r="FAH53" s="708">
        <f t="shared" si="98"/>
        <v>1.4186332990671283E+56</v>
      </c>
      <c r="FAI53" s="708">
        <f t="shared" si="98"/>
        <v>1.4611922980391423E+56</v>
      </c>
      <c r="FAJ53" s="708">
        <f t="shared" si="98"/>
        <v>1.5050280669803165E+56</v>
      </c>
      <c r="FAK53" s="708">
        <f t="shared" si="98"/>
        <v>1.5501789089897261E+56</v>
      </c>
      <c r="FAL53" s="708">
        <f t="shared" si="98"/>
        <v>1.596684276259418E+56</v>
      </c>
      <c r="FAM53" s="708">
        <f t="shared" si="98"/>
        <v>1.6445848045472005E+56</v>
      </c>
      <c r="FAN53" s="708">
        <f t="shared" si="98"/>
        <v>1.6939223486836166E+56</v>
      </c>
      <c r="FAO53" s="708">
        <f t="shared" si="98"/>
        <v>1.7447400191441252E+56</v>
      </c>
      <c r="FAP53" s="708">
        <f t="shared" si="98"/>
        <v>1.797082219718449E+56</v>
      </c>
      <c r="FAQ53" s="708">
        <f t="shared" si="98"/>
        <v>1.8509946863100025E+56</v>
      </c>
      <c r="FAR53" s="708">
        <f t="shared" si="98"/>
        <v>1.9065245268993026E+56</v>
      </c>
      <c r="FAS53" s="708">
        <f t="shared" si="98"/>
        <v>1.9637202627062819E+56</v>
      </c>
      <c r="FAT53" s="708">
        <f t="shared" ref="FAT53:FDE53" si="99">FAS53*$C$53</f>
        <v>2.0226318705874702E+56</v>
      </c>
      <c r="FAU53" s="708">
        <f t="shared" si="99"/>
        <v>2.0833108267050945E+56</v>
      </c>
      <c r="FAV53" s="708">
        <f t="shared" si="99"/>
        <v>2.1458101515062474E+56</v>
      </c>
      <c r="FAW53" s="708">
        <f t="shared" si="99"/>
        <v>2.2101844560514348E+56</v>
      </c>
      <c r="FAX53" s="708">
        <f t="shared" si="99"/>
        <v>2.2764899897329781E+56</v>
      </c>
      <c r="FAY53" s="708">
        <f t="shared" si="99"/>
        <v>2.3447846894249673E+56</v>
      </c>
      <c r="FAZ53" s="708">
        <f t="shared" si="99"/>
        <v>2.4151282301077166E+56</v>
      </c>
      <c r="FBA53" s="708">
        <f t="shared" si="99"/>
        <v>2.4875820770109481E+56</v>
      </c>
      <c r="FBB53" s="708">
        <f t="shared" si="99"/>
        <v>2.5622095393212765E+56</v>
      </c>
      <c r="FBC53" s="708">
        <f t="shared" si="99"/>
        <v>2.639075825500915E+56</v>
      </c>
      <c r="FBD53" s="708">
        <f t="shared" si="99"/>
        <v>2.7182481002659426E+56</v>
      </c>
      <c r="FBE53" s="708">
        <f t="shared" si="99"/>
        <v>2.7997955432739209E+56</v>
      </c>
      <c r="FBF53" s="708">
        <f t="shared" si="99"/>
        <v>2.8837894095721386E+56</v>
      </c>
      <c r="FBG53" s="708">
        <f t="shared" si="99"/>
        <v>2.970303091859303E+56</v>
      </c>
      <c r="FBH53" s="708">
        <f t="shared" si="99"/>
        <v>3.0594121846150822E+56</v>
      </c>
      <c r="FBI53" s="708">
        <f t="shared" si="99"/>
        <v>3.1511945501535349E+56</v>
      </c>
      <c r="FBJ53" s="708">
        <f t="shared" si="99"/>
        <v>3.245730386658141E+56</v>
      </c>
      <c r="FBK53" s="708">
        <f t="shared" si="99"/>
        <v>3.3431022982578851E+56</v>
      </c>
      <c r="FBL53" s="708">
        <f t="shared" si="99"/>
        <v>3.4433953672056216E+56</v>
      </c>
      <c r="FBM53" s="708">
        <f t="shared" si="99"/>
        <v>3.5466972282217905E+56</v>
      </c>
      <c r="FBN53" s="708">
        <f t="shared" si="99"/>
        <v>3.6530981450684441E+56</v>
      </c>
      <c r="FBO53" s="708">
        <f t="shared" si="99"/>
        <v>3.7626910894204977E+56</v>
      </c>
      <c r="FBP53" s="708">
        <f t="shared" si="99"/>
        <v>3.8755718221031126E+56</v>
      </c>
      <c r="FBQ53" s="708">
        <f t="shared" si="99"/>
        <v>3.991838976766206E+56</v>
      </c>
      <c r="FBR53" s="708">
        <f t="shared" si="99"/>
        <v>4.1115941460691925E+56</v>
      </c>
      <c r="FBS53" s="708">
        <f t="shared" si="99"/>
        <v>4.2349419704512685E+56</v>
      </c>
      <c r="FBT53" s="708">
        <f t="shared" si="99"/>
        <v>4.3619902295648066E+56</v>
      </c>
      <c r="FBU53" s="708">
        <f t="shared" si="99"/>
        <v>4.492849936451751E+56</v>
      </c>
      <c r="FBV53" s="708">
        <f t="shared" si="99"/>
        <v>4.6276354345453034E+56</v>
      </c>
      <c r="FBW53" s="708">
        <f t="shared" si="99"/>
        <v>4.766464497581663E+56</v>
      </c>
      <c r="FBX53" s="708">
        <f t="shared" si="99"/>
        <v>4.9094584325091134E+56</v>
      </c>
      <c r="FBY53" s="708">
        <f t="shared" si="99"/>
        <v>5.0567421854843872E+56</v>
      </c>
      <c r="FBZ53" s="708">
        <f t="shared" si="99"/>
        <v>5.2084444510489185E+56</v>
      </c>
      <c r="FCA53" s="708">
        <f t="shared" si="99"/>
        <v>5.364697784580386E+56</v>
      </c>
      <c r="FCB53" s="708">
        <f t="shared" si="99"/>
        <v>5.5256387181177975E+56</v>
      </c>
      <c r="FCC53" s="708">
        <f t="shared" si="99"/>
        <v>5.6914078796613315E+56</v>
      </c>
      <c r="FCD53" s="708">
        <f t="shared" si="99"/>
        <v>5.8621501160511718E+56</v>
      </c>
      <c r="FCE53" s="708">
        <f t="shared" si="99"/>
        <v>6.0380146195327074E+56</v>
      </c>
      <c r="FCF53" s="708">
        <f t="shared" si="99"/>
        <v>6.2191550581186891E+56</v>
      </c>
      <c r="FCG53" s="708">
        <f t="shared" si="99"/>
        <v>6.4057297098622498E+56</v>
      </c>
      <c r="FCH53" s="708">
        <f t="shared" si="99"/>
        <v>6.597901601158117E+56</v>
      </c>
      <c r="FCI53" s="708">
        <f t="shared" si="99"/>
        <v>6.7958386491928604E+56</v>
      </c>
      <c r="FCJ53" s="708">
        <f t="shared" si="99"/>
        <v>6.9997138086686465E+56</v>
      </c>
      <c r="FCK53" s="708">
        <f t="shared" si="99"/>
        <v>7.2097052229287065E+56</v>
      </c>
      <c r="FCL53" s="708">
        <f t="shared" si="99"/>
        <v>7.4259963796165682E+56</v>
      </c>
      <c r="FCM53" s="708">
        <f t="shared" si="99"/>
        <v>7.6487762710050651E+56</v>
      </c>
      <c r="FCN53" s="708">
        <f t="shared" si="99"/>
        <v>7.8782395591352175E+56</v>
      </c>
      <c r="FCO53" s="708">
        <f t="shared" si="99"/>
        <v>8.1145867459092747E+56</v>
      </c>
      <c r="FCP53" s="708">
        <f t="shared" si="99"/>
        <v>8.3580243482865528E+56</v>
      </c>
      <c r="FCQ53" s="708">
        <f t="shared" si="99"/>
        <v>8.6087650787351494E+56</v>
      </c>
      <c r="FCR53" s="708">
        <f t="shared" si="99"/>
        <v>8.8670280310972043E+56</v>
      </c>
      <c r="FCS53" s="708">
        <f t="shared" si="99"/>
        <v>9.1330388720301209E+56</v>
      </c>
      <c r="FCT53" s="708">
        <f t="shared" si="99"/>
        <v>9.4070300381910255E+56</v>
      </c>
      <c r="FCU53" s="708">
        <f t="shared" si="99"/>
        <v>9.6892409393367563E+56</v>
      </c>
      <c r="FCV53" s="708">
        <f t="shared" si="99"/>
        <v>9.9799181675168599E+56</v>
      </c>
      <c r="FCW53" s="708">
        <f t="shared" si="99"/>
        <v>1.0279315712542367E+57</v>
      </c>
      <c r="FCX53" s="708">
        <f t="shared" si="99"/>
        <v>1.0587695183918637E+57</v>
      </c>
      <c r="FCY53" s="708">
        <f t="shared" si="99"/>
        <v>1.0905326039436196E+57</v>
      </c>
      <c r="FCZ53" s="708">
        <f t="shared" si="99"/>
        <v>1.1232485820619282E+57</v>
      </c>
      <c r="FDA53" s="708">
        <f t="shared" si="99"/>
        <v>1.1569460395237861E+57</v>
      </c>
      <c r="FDB53" s="708">
        <f t="shared" si="99"/>
        <v>1.1916544207094998E+57</v>
      </c>
      <c r="FDC53" s="708">
        <f t="shared" si="99"/>
        <v>1.2274040533307848E+57</v>
      </c>
      <c r="FDD53" s="708">
        <f t="shared" si="99"/>
        <v>1.2642261749307083E+57</v>
      </c>
      <c r="FDE53" s="708">
        <f t="shared" si="99"/>
        <v>1.3021529601786296E+57</v>
      </c>
      <c r="FDF53" s="708">
        <f t="shared" ref="FDF53:FFQ53" si="100">FDE53*$C$53</f>
        <v>1.3412175489839886E+57</v>
      </c>
      <c r="FDG53" s="708">
        <f t="shared" si="100"/>
        <v>1.3814540754535082E+57</v>
      </c>
      <c r="FDH53" s="708">
        <f t="shared" si="100"/>
        <v>1.4228976977171134E+57</v>
      </c>
      <c r="FDI53" s="708">
        <f t="shared" si="100"/>
        <v>1.4655846286486269E+57</v>
      </c>
      <c r="FDJ53" s="708">
        <f t="shared" si="100"/>
        <v>1.5095521675080857E+57</v>
      </c>
      <c r="FDK53" s="708">
        <f t="shared" si="100"/>
        <v>1.5548387325333283E+57</v>
      </c>
      <c r="FDL53" s="708">
        <f t="shared" si="100"/>
        <v>1.6014838945093283E+57</v>
      </c>
      <c r="FDM53" s="708">
        <f t="shared" si="100"/>
        <v>1.6495284113446081E+57</v>
      </c>
      <c r="FDN53" s="708">
        <f t="shared" si="100"/>
        <v>1.6990142636849465E+57</v>
      </c>
      <c r="FDO53" s="708">
        <f t="shared" si="100"/>
        <v>1.7499846915954949E+57</v>
      </c>
      <c r="FDP53" s="708">
        <f t="shared" si="100"/>
        <v>1.8024842323433597E+57</v>
      </c>
      <c r="FDQ53" s="708">
        <f t="shared" si="100"/>
        <v>1.8565587593136604E+57</v>
      </c>
      <c r="FDR53" s="708">
        <f t="shared" si="100"/>
        <v>1.9122555220930704E+57</v>
      </c>
      <c r="FDS53" s="708">
        <f t="shared" si="100"/>
        <v>1.9696231877558627E+57</v>
      </c>
      <c r="FDT53" s="708">
        <f t="shared" si="100"/>
        <v>2.0287118833885387E+57</v>
      </c>
      <c r="FDU53" s="708">
        <f t="shared" si="100"/>
        <v>2.089573239890195E+57</v>
      </c>
      <c r="FDV53" s="708">
        <f t="shared" si="100"/>
        <v>2.1522604370869008E+57</v>
      </c>
      <c r="FDW53" s="708">
        <f t="shared" si="100"/>
        <v>2.216828250199508E+57</v>
      </c>
      <c r="FDX53" s="708">
        <f t="shared" si="100"/>
        <v>2.2833330977054934E+57</v>
      </c>
      <c r="FDY53" s="708">
        <f t="shared" si="100"/>
        <v>2.3518330906366582E+57</v>
      </c>
      <c r="FDZ53" s="708">
        <f t="shared" si="100"/>
        <v>2.422388083355758E+57</v>
      </c>
      <c r="FEA53" s="708">
        <f t="shared" si="100"/>
        <v>2.4950597258564307E+57</v>
      </c>
      <c r="FEB53" s="708">
        <f t="shared" si="100"/>
        <v>2.5699115176321238E+57</v>
      </c>
      <c r="FEC53" s="708">
        <f t="shared" si="100"/>
        <v>2.6470088631610877E+57</v>
      </c>
      <c r="FED53" s="708">
        <f t="shared" si="100"/>
        <v>2.7264191290559205E+57</v>
      </c>
      <c r="FEE53" s="708">
        <f t="shared" si="100"/>
        <v>2.8082117029275983E+57</v>
      </c>
      <c r="FEF53" s="708">
        <f t="shared" si="100"/>
        <v>2.8924580540154263E+57</v>
      </c>
      <c r="FEG53" s="708">
        <f t="shared" si="100"/>
        <v>2.9792317956358892E+57</v>
      </c>
      <c r="FEH53" s="708">
        <f t="shared" si="100"/>
        <v>3.0686087495049658E+57</v>
      </c>
      <c r="FEI53" s="708">
        <f t="shared" si="100"/>
        <v>3.1606670119901151E+57</v>
      </c>
      <c r="FEJ53" s="708">
        <f t="shared" si="100"/>
        <v>3.2554870223498183E+57</v>
      </c>
      <c r="FEK53" s="708">
        <f t="shared" si="100"/>
        <v>3.353151633020313E+57</v>
      </c>
      <c r="FEL53" s="708">
        <f t="shared" si="100"/>
        <v>3.4537461820109222E+57</v>
      </c>
      <c r="FEM53" s="708">
        <f t="shared" si="100"/>
        <v>3.5573585674712497E+57</v>
      </c>
      <c r="FEN53" s="708">
        <f t="shared" si="100"/>
        <v>3.6640793244953872E+57</v>
      </c>
      <c r="FEO53" s="708">
        <f t="shared" si="100"/>
        <v>3.7740017042302486E+57</v>
      </c>
      <c r="FEP53" s="708">
        <f t="shared" si="100"/>
        <v>3.8872217553571563E+57</v>
      </c>
      <c r="FEQ53" s="708">
        <f t="shared" si="100"/>
        <v>4.0038384080178711E+57</v>
      </c>
      <c r="FER53" s="708">
        <f t="shared" si="100"/>
        <v>4.1239535602584071E+57</v>
      </c>
      <c r="FES53" s="708">
        <f t="shared" si="100"/>
        <v>4.2476721670661595E+57</v>
      </c>
      <c r="FET53" s="708">
        <f t="shared" si="100"/>
        <v>4.3751023320781442E+57</v>
      </c>
      <c r="FEU53" s="708">
        <f t="shared" si="100"/>
        <v>4.5063554020404889E+57</v>
      </c>
      <c r="FEV53" s="708">
        <f t="shared" si="100"/>
        <v>4.6415460641017036E+57</v>
      </c>
      <c r="FEW53" s="708">
        <f t="shared" si="100"/>
        <v>4.7807924460247548E+57</v>
      </c>
      <c r="FEX53" s="708">
        <f t="shared" si="100"/>
        <v>4.9242162194054976E+57</v>
      </c>
      <c r="FEY53" s="708">
        <f t="shared" si="100"/>
        <v>5.0719427059876626E+57</v>
      </c>
      <c r="FEZ53" s="708">
        <f t="shared" si="100"/>
        <v>5.2241009871672927E+57</v>
      </c>
      <c r="FFA53" s="708">
        <f t="shared" si="100"/>
        <v>5.3808240167823113E+57</v>
      </c>
      <c r="FFB53" s="708">
        <f t="shared" si="100"/>
        <v>5.5422487372857805E+57</v>
      </c>
      <c r="FFC53" s="708">
        <f t="shared" si="100"/>
        <v>5.7085161994043537E+57</v>
      </c>
      <c r="FFD53" s="708">
        <f t="shared" si="100"/>
        <v>5.8797716853864844E+57</v>
      </c>
      <c r="FFE53" s="708">
        <f t="shared" si="100"/>
        <v>6.0561648359480791E+57</v>
      </c>
      <c r="FFF53" s="708">
        <f t="shared" si="100"/>
        <v>6.2378497810265217E+57</v>
      </c>
      <c r="FFG53" s="708">
        <f t="shared" si="100"/>
        <v>6.4249852744573169E+57</v>
      </c>
      <c r="FFH53" s="708">
        <f t="shared" si="100"/>
        <v>6.6177348326910373E+57</v>
      </c>
      <c r="FFI53" s="708">
        <f t="shared" si="100"/>
        <v>6.8162668776717682E+57</v>
      </c>
      <c r="FFJ53" s="708">
        <f t="shared" si="100"/>
        <v>7.0207548840019213E+57</v>
      </c>
      <c r="FFK53" s="708">
        <f t="shared" si="100"/>
        <v>7.2313775305219792E+57</v>
      </c>
      <c r="FFL53" s="708">
        <f t="shared" si="100"/>
        <v>7.4483188564376386E+57</v>
      </c>
      <c r="FFM53" s="708">
        <f t="shared" si="100"/>
        <v>7.6717684221307684E+57</v>
      </c>
      <c r="FFN53" s="708">
        <f t="shared" si="100"/>
        <v>7.9019214747946921E+57</v>
      </c>
      <c r="FFO53" s="708">
        <f t="shared" si="100"/>
        <v>8.1389791190385333E+57</v>
      </c>
      <c r="FFP53" s="708">
        <f t="shared" si="100"/>
        <v>8.3831484926096897E+57</v>
      </c>
      <c r="FFQ53" s="708">
        <f t="shared" si="100"/>
        <v>8.63464294738798E+57</v>
      </c>
      <c r="FFR53" s="708">
        <f t="shared" ref="FFR53:FIC53" si="101">FFQ53*$C$53</f>
        <v>8.8936822358096198E+57</v>
      </c>
      <c r="FFS53" s="708">
        <f t="shared" si="101"/>
        <v>9.1604927028839087E+57</v>
      </c>
      <c r="FFT53" s="708">
        <f t="shared" si="101"/>
        <v>9.4353074839704256E+57</v>
      </c>
      <c r="FFU53" s="708">
        <f t="shared" si="101"/>
        <v>9.7183667084895391E+57</v>
      </c>
      <c r="FFV53" s="708">
        <f t="shared" si="101"/>
        <v>1.0009917709744225E+58</v>
      </c>
      <c r="FFW53" s="708">
        <f t="shared" si="101"/>
        <v>1.0310215241036552E+58</v>
      </c>
      <c r="FFX53" s="708">
        <f t="shared" si="101"/>
        <v>1.0619521698267649E+58</v>
      </c>
      <c r="FFY53" s="708">
        <f t="shared" si="101"/>
        <v>1.0938107349215678E+58</v>
      </c>
      <c r="FFZ53" s="708">
        <f t="shared" si="101"/>
        <v>1.1266250569692148E+58</v>
      </c>
      <c r="FGA53" s="708">
        <f t="shared" si="101"/>
        <v>1.1604238086782913E+58</v>
      </c>
      <c r="FGB53" s="708">
        <f t="shared" si="101"/>
        <v>1.1952365229386401E+58</v>
      </c>
      <c r="FGC53" s="708">
        <f t="shared" si="101"/>
        <v>1.2310936186267994E+58</v>
      </c>
      <c r="FGD53" s="708">
        <f t="shared" si="101"/>
        <v>1.2680264271856035E+58</v>
      </c>
      <c r="FGE53" s="708">
        <f t="shared" si="101"/>
        <v>1.3060672200011718E+58</v>
      </c>
      <c r="FGF53" s="708">
        <f t="shared" si="101"/>
        <v>1.345249236601207E+58</v>
      </c>
      <c r="FGG53" s="708">
        <f t="shared" si="101"/>
        <v>1.3856067136992434E+58</v>
      </c>
      <c r="FGH53" s="708">
        <f t="shared" si="101"/>
        <v>1.4271749151102208E+58</v>
      </c>
      <c r="FGI53" s="708">
        <f t="shared" si="101"/>
        <v>1.4699901625635273E+58</v>
      </c>
      <c r="FGJ53" s="708">
        <f t="shared" si="101"/>
        <v>1.5140898674404332E+58</v>
      </c>
      <c r="FGK53" s="708">
        <f t="shared" si="101"/>
        <v>1.5595125634636463E+58</v>
      </c>
      <c r="FGL53" s="708">
        <f t="shared" si="101"/>
        <v>1.6062979403675556E+58</v>
      </c>
      <c r="FGM53" s="708">
        <f t="shared" si="101"/>
        <v>1.6544868785785822E+58</v>
      </c>
      <c r="FGN53" s="708">
        <f t="shared" si="101"/>
        <v>1.7041214849359398E+58</v>
      </c>
      <c r="FGO53" s="708">
        <f t="shared" si="101"/>
        <v>1.755245129484018E+58</v>
      </c>
      <c r="FGP53" s="708">
        <f t="shared" si="101"/>
        <v>1.8079024833685386E+58</v>
      </c>
      <c r="FGQ53" s="708">
        <f t="shared" si="101"/>
        <v>1.8621395578695948E+58</v>
      </c>
      <c r="FGR53" s="708">
        <f t="shared" si="101"/>
        <v>1.9180037446056827E+58</v>
      </c>
      <c r="FGS53" s="708">
        <f t="shared" si="101"/>
        <v>1.9755438569438532E+58</v>
      </c>
      <c r="FGT53" s="708">
        <f t="shared" si="101"/>
        <v>2.0348101726521688E+58</v>
      </c>
      <c r="FGU53" s="708">
        <f t="shared" si="101"/>
        <v>2.0958544778317338E+58</v>
      </c>
      <c r="FGV53" s="708">
        <f t="shared" si="101"/>
        <v>2.158730112166686E+58</v>
      </c>
      <c r="FGW53" s="708">
        <f t="shared" si="101"/>
        <v>2.2234920155316867E+58</v>
      </c>
      <c r="FGX53" s="708">
        <f t="shared" si="101"/>
        <v>2.2901967759976374E+58</v>
      </c>
      <c r="FGY53" s="708">
        <f t="shared" si="101"/>
        <v>2.3589026792775665E+58</v>
      </c>
      <c r="FGZ53" s="708">
        <f t="shared" si="101"/>
        <v>2.4296697596558937E+58</v>
      </c>
      <c r="FHA53" s="708">
        <f t="shared" si="101"/>
        <v>2.5025598524455705E+58</v>
      </c>
      <c r="FHB53" s="708">
        <f t="shared" si="101"/>
        <v>2.5776366480189376E+58</v>
      </c>
      <c r="FHC53" s="708">
        <f t="shared" si="101"/>
        <v>2.6549657474595056E+58</v>
      </c>
      <c r="FHD53" s="708">
        <f t="shared" si="101"/>
        <v>2.7346147198832909E+58</v>
      </c>
      <c r="FHE53" s="708">
        <f t="shared" si="101"/>
        <v>2.8166531614797897E+58</v>
      </c>
      <c r="FHF53" s="708">
        <f t="shared" si="101"/>
        <v>2.9011527563241833E+58</v>
      </c>
      <c r="FHG53" s="708">
        <f t="shared" si="101"/>
        <v>2.9881873390139091E+58</v>
      </c>
      <c r="FHH53" s="708">
        <f t="shared" si="101"/>
        <v>3.0778329591843264E+58</v>
      </c>
      <c r="FHI53" s="708">
        <f t="shared" si="101"/>
        <v>3.1701679479598562E+58</v>
      </c>
      <c r="FHJ53" s="708">
        <f t="shared" si="101"/>
        <v>3.2652729863986522E+58</v>
      </c>
      <c r="FHK53" s="708">
        <f t="shared" si="101"/>
        <v>3.3632311759906119E+58</v>
      </c>
      <c r="FHL53" s="708">
        <f t="shared" si="101"/>
        <v>3.4641281112703304E+58</v>
      </c>
      <c r="FHM53" s="708">
        <f t="shared" si="101"/>
        <v>3.5680519546084405E+58</v>
      </c>
      <c r="FHN53" s="708">
        <f t="shared" si="101"/>
        <v>3.675093513246694E+58</v>
      </c>
      <c r="FHO53" s="708">
        <f t="shared" si="101"/>
        <v>3.7853463186440947E+58</v>
      </c>
      <c r="FHP53" s="708">
        <f t="shared" si="101"/>
        <v>3.8989067082034175E+58</v>
      </c>
      <c r="FHQ53" s="708">
        <f t="shared" si="101"/>
        <v>4.0158739094495199E+58</v>
      </c>
      <c r="FHR53" s="708">
        <f t="shared" si="101"/>
        <v>4.1363501267330058E+58</v>
      </c>
      <c r="FHS53" s="708">
        <f t="shared" si="101"/>
        <v>4.2604406305349961E+58</v>
      </c>
      <c r="FHT53" s="708">
        <f t="shared" si="101"/>
        <v>4.3882538494510461E+58</v>
      </c>
      <c r="FHU53" s="708">
        <f t="shared" si="101"/>
        <v>4.5199014649345778E+58</v>
      </c>
      <c r="FHV53" s="708">
        <f t="shared" si="101"/>
        <v>4.6554985088826152E+58</v>
      </c>
      <c r="FHW53" s="708">
        <f t="shared" si="101"/>
        <v>4.7951634641490939E+58</v>
      </c>
      <c r="FHX53" s="708">
        <f t="shared" si="101"/>
        <v>4.9390183680735667E+58</v>
      </c>
      <c r="FHY53" s="708">
        <f t="shared" si="101"/>
        <v>5.0871889191157734E+58</v>
      </c>
      <c r="FHZ53" s="708">
        <f t="shared" si="101"/>
        <v>5.2398045866892473E+58</v>
      </c>
      <c r="FIA53" s="708">
        <f t="shared" si="101"/>
        <v>5.396998724289925E+58</v>
      </c>
      <c r="FIB53" s="708">
        <f t="shared" si="101"/>
        <v>5.5589086860186228E+58</v>
      </c>
      <c r="FIC53" s="708">
        <f t="shared" si="101"/>
        <v>5.7256759465991817E+58</v>
      </c>
      <c r="FID53" s="708">
        <f t="shared" ref="FID53:FKO53" si="102">FIC53*$C$53</f>
        <v>5.8974462249971574E+58</v>
      </c>
      <c r="FIE53" s="708">
        <f t="shared" si="102"/>
        <v>6.0743696117470724E+58</v>
      </c>
      <c r="FIF53" s="708">
        <f t="shared" si="102"/>
        <v>6.2566007000994844E+58</v>
      </c>
      <c r="FIG53" s="708">
        <f t="shared" si="102"/>
        <v>6.4442987211024686E+58</v>
      </c>
      <c r="FIH53" s="708">
        <f t="shared" si="102"/>
        <v>6.6376276827355433E+58</v>
      </c>
      <c r="FII53" s="708">
        <f t="shared" si="102"/>
        <v>6.8367565132176102E+58</v>
      </c>
      <c r="FIJ53" s="708">
        <f t="shared" si="102"/>
        <v>7.0418592086141386E+58</v>
      </c>
      <c r="FIK53" s="708">
        <f t="shared" si="102"/>
        <v>7.2531149848725625E+58</v>
      </c>
      <c r="FIL53" s="708">
        <f t="shared" si="102"/>
        <v>7.4707084344187391E+58</v>
      </c>
      <c r="FIM53" s="708">
        <f t="shared" si="102"/>
        <v>7.6948296874513011E+58</v>
      </c>
      <c r="FIN53" s="708">
        <f t="shared" si="102"/>
        <v>7.9256745780748399E+58</v>
      </c>
      <c r="FIO53" s="708">
        <f t="shared" si="102"/>
        <v>8.1634448154170854E+58</v>
      </c>
      <c r="FIP53" s="708">
        <f t="shared" si="102"/>
        <v>8.4083481598795985E+58</v>
      </c>
      <c r="FIQ53" s="708">
        <f t="shared" si="102"/>
        <v>8.660598604675987E+58</v>
      </c>
      <c r="FIR53" s="708">
        <f t="shared" si="102"/>
        <v>8.9204165628162673E+58</v>
      </c>
      <c r="FIS53" s="708">
        <f t="shared" si="102"/>
        <v>9.1880290597007561E+58</v>
      </c>
      <c r="FIT53" s="708">
        <f t="shared" si="102"/>
        <v>9.4636699314917789E+58</v>
      </c>
      <c r="FIU53" s="708">
        <f t="shared" si="102"/>
        <v>9.7475800294365329E+58</v>
      </c>
      <c r="FIV53" s="708">
        <f t="shared" si="102"/>
        <v>1.0040007430319629E+59</v>
      </c>
      <c r="FIW53" s="708">
        <f t="shared" si="102"/>
        <v>1.0341207653229217E+59</v>
      </c>
      <c r="FIX53" s="708">
        <f t="shared" si="102"/>
        <v>1.0651443882826094E+59</v>
      </c>
      <c r="FIY53" s="708">
        <f t="shared" si="102"/>
        <v>1.0970987199310876E+59</v>
      </c>
      <c r="FIZ53" s="708">
        <f t="shared" si="102"/>
        <v>1.1300116815290202E+59</v>
      </c>
      <c r="FJA53" s="708">
        <f t="shared" si="102"/>
        <v>1.1639120319748908E+59</v>
      </c>
      <c r="FJB53" s="708">
        <f t="shared" si="102"/>
        <v>1.1988293929341376E+59</v>
      </c>
      <c r="FJC53" s="708">
        <f t="shared" si="102"/>
        <v>1.2347942747221618E+59</v>
      </c>
      <c r="FJD53" s="708">
        <f t="shared" si="102"/>
        <v>1.2718381029638266E+59</v>
      </c>
      <c r="FJE53" s="708">
        <f t="shared" si="102"/>
        <v>1.3099932460527414E+59</v>
      </c>
      <c r="FJF53" s="708">
        <f t="shared" si="102"/>
        <v>1.3492930434343237E+59</v>
      </c>
      <c r="FJG53" s="708">
        <f t="shared" si="102"/>
        <v>1.3897718347373535E+59</v>
      </c>
      <c r="FJH53" s="708">
        <f t="shared" si="102"/>
        <v>1.4314649897794742E+59</v>
      </c>
      <c r="FJI53" s="708">
        <f t="shared" si="102"/>
        <v>1.4744089394728585E+59</v>
      </c>
      <c r="FJJ53" s="708">
        <f t="shared" si="102"/>
        <v>1.5186412076570443E+59</v>
      </c>
      <c r="FJK53" s="708">
        <f t="shared" si="102"/>
        <v>1.5642004438867558E+59</v>
      </c>
      <c r="FJL53" s="708">
        <f t="shared" si="102"/>
        <v>1.6111264572033585E+59</v>
      </c>
      <c r="FJM53" s="708">
        <f t="shared" si="102"/>
        <v>1.6594602509194594E+59</v>
      </c>
      <c r="FJN53" s="708">
        <f t="shared" si="102"/>
        <v>1.7092440584470433E+59</v>
      </c>
      <c r="FJO53" s="708">
        <f t="shared" si="102"/>
        <v>1.7605213802004548E+59</v>
      </c>
      <c r="FJP53" s="708">
        <f t="shared" si="102"/>
        <v>1.8133370216064685E+59</v>
      </c>
      <c r="FJQ53" s="708">
        <f t="shared" si="102"/>
        <v>1.8677371322546624E+59</v>
      </c>
      <c r="FJR53" s="708">
        <f t="shared" si="102"/>
        <v>1.9237692462223023E+59</v>
      </c>
      <c r="FJS53" s="708">
        <f t="shared" si="102"/>
        <v>1.9814823236089714E+59</v>
      </c>
      <c r="FJT53" s="708">
        <f t="shared" si="102"/>
        <v>2.0409267933172405E+59</v>
      </c>
      <c r="FJU53" s="708">
        <f t="shared" si="102"/>
        <v>2.102154597116758E+59</v>
      </c>
      <c r="FJV53" s="708">
        <f t="shared" si="102"/>
        <v>2.1652192350302606E+59</v>
      </c>
      <c r="FJW53" s="708">
        <f t="shared" si="102"/>
        <v>2.2301758120811684E+59</v>
      </c>
      <c r="FJX53" s="708">
        <f t="shared" si="102"/>
        <v>2.2970810864436034E+59</v>
      </c>
      <c r="FJY53" s="708">
        <f t="shared" si="102"/>
        <v>2.3659935190369114E+59</v>
      </c>
      <c r="FJZ53" s="708">
        <f t="shared" si="102"/>
        <v>2.4369733246080188E+59</v>
      </c>
      <c r="FKA53" s="708">
        <f t="shared" si="102"/>
        <v>2.5100825243462595E+59</v>
      </c>
      <c r="FKB53" s="708">
        <f t="shared" si="102"/>
        <v>2.5853850000766474E+59</v>
      </c>
      <c r="FKC53" s="708">
        <f t="shared" si="102"/>
        <v>2.6629465500789471E+59</v>
      </c>
      <c r="FKD53" s="708">
        <f t="shared" si="102"/>
        <v>2.7428349465813157E+59</v>
      </c>
      <c r="FKE53" s="708">
        <f t="shared" si="102"/>
        <v>2.8251199949787551E+59</v>
      </c>
      <c r="FKF53" s="708">
        <f t="shared" si="102"/>
        <v>2.9098735948281177E+59</v>
      </c>
      <c r="FKG53" s="708">
        <f t="shared" si="102"/>
        <v>2.9971698026729613E+59</v>
      </c>
      <c r="FKH53" s="708">
        <f t="shared" si="102"/>
        <v>3.08708489675315E+59</v>
      </c>
      <c r="FKI53" s="708">
        <f t="shared" si="102"/>
        <v>3.1796974436557444E+59</v>
      </c>
      <c r="FKJ53" s="708">
        <f t="shared" si="102"/>
        <v>3.2750883669654171E+59</v>
      </c>
      <c r="FKK53" s="708">
        <f t="shared" si="102"/>
        <v>3.3733410179743795E+59</v>
      </c>
      <c r="FKL53" s="708">
        <f t="shared" si="102"/>
        <v>3.474541248513611E+59</v>
      </c>
      <c r="FKM53" s="708">
        <f t="shared" si="102"/>
        <v>3.5787774859690193E+59</v>
      </c>
      <c r="FKN53" s="708">
        <f t="shared" si="102"/>
        <v>3.68614081054809E+59</v>
      </c>
      <c r="FKO53" s="708">
        <f t="shared" si="102"/>
        <v>3.7967250348645329E+59</v>
      </c>
      <c r="FKP53" s="708">
        <f t="shared" ref="FKP53:FNA53" si="103">FKO53*$C$53</f>
        <v>3.9106267859104692E+59</v>
      </c>
      <c r="FKQ53" s="708">
        <f t="shared" si="103"/>
        <v>4.0279455894877836E+59</v>
      </c>
      <c r="FKR53" s="708">
        <f t="shared" si="103"/>
        <v>4.1487839571724175E+59</v>
      </c>
      <c r="FKS53" s="708">
        <f t="shared" si="103"/>
        <v>4.2732474758875904E+59</v>
      </c>
      <c r="FKT53" s="708">
        <f t="shared" si="103"/>
        <v>4.4014449001642178E+59</v>
      </c>
      <c r="FKU53" s="708">
        <f t="shared" si="103"/>
        <v>4.5334882471691444E+59</v>
      </c>
      <c r="FKV53" s="708">
        <f t="shared" si="103"/>
        <v>4.6694928945842192E+59</v>
      </c>
      <c r="FKW53" s="708">
        <f t="shared" si="103"/>
        <v>4.8095776814217455E+59</v>
      </c>
      <c r="FKX53" s="708">
        <f t="shared" si="103"/>
        <v>4.9538650118643979E+59</v>
      </c>
      <c r="FKY53" s="708">
        <f t="shared" si="103"/>
        <v>5.1024809622203303E+59</v>
      </c>
      <c r="FKZ53" s="708">
        <f t="shared" si="103"/>
        <v>5.2555553910869401E+59</v>
      </c>
      <c r="FLA53" s="708">
        <f t="shared" si="103"/>
        <v>5.4132220528195488E+59</v>
      </c>
      <c r="FLB53" s="708">
        <f t="shared" si="103"/>
        <v>5.5756187144041358E+59</v>
      </c>
      <c r="FLC53" s="708">
        <f t="shared" si="103"/>
        <v>5.7428872758362603E+59</v>
      </c>
      <c r="FLD53" s="708">
        <f t="shared" si="103"/>
        <v>5.915173894111348E+59</v>
      </c>
      <c r="FLE53" s="708">
        <f t="shared" si="103"/>
        <v>6.0926291109346888E+59</v>
      </c>
      <c r="FLF53" s="708">
        <f t="shared" si="103"/>
        <v>6.2754079842627296E+59</v>
      </c>
      <c r="FLG53" s="708">
        <f t="shared" si="103"/>
        <v>6.463670223790612E+59</v>
      </c>
      <c r="FLH53" s="708">
        <f t="shared" si="103"/>
        <v>6.6575803305043304E+59</v>
      </c>
      <c r="FLI53" s="708">
        <f t="shared" si="103"/>
        <v>6.8573077404194604E+59</v>
      </c>
      <c r="FLJ53" s="708">
        <f t="shared" si="103"/>
        <v>7.0630269726320449E+59</v>
      </c>
      <c r="FLK53" s="708">
        <f t="shared" si="103"/>
        <v>7.2749177818110061E+59</v>
      </c>
      <c r="FLL53" s="708">
        <f t="shared" si="103"/>
        <v>7.4931653152653366E+59</v>
      </c>
      <c r="FLM53" s="708">
        <f t="shared" si="103"/>
        <v>7.7179602747232966E+59</v>
      </c>
      <c r="FLN53" s="708">
        <f t="shared" si="103"/>
        <v>7.9494990829649957E+59</v>
      </c>
      <c r="FLO53" s="708">
        <f t="shared" si="103"/>
        <v>8.1879840554539461E+59</v>
      </c>
      <c r="FLP53" s="708">
        <f t="shared" si="103"/>
        <v>8.4336235771175655E+59</v>
      </c>
      <c r="FLQ53" s="708">
        <f t="shared" si="103"/>
        <v>8.6866322844310925E+59</v>
      </c>
      <c r="FLR53" s="708">
        <f t="shared" si="103"/>
        <v>8.9472312529640253E+59</v>
      </c>
      <c r="FLS53" s="708">
        <f t="shared" si="103"/>
        <v>9.2156481905529461E+59</v>
      </c>
      <c r="FLT53" s="708">
        <f t="shared" si="103"/>
        <v>9.4921176362695354E+59</v>
      </c>
      <c r="FLU53" s="708">
        <f t="shared" si="103"/>
        <v>9.7768811653576212E+59</v>
      </c>
      <c r="FLV53" s="708">
        <f t="shared" si="103"/>
        <v>1.0070187600318349E+60</v>
      </c>
      <c r="FLW53" s="708">
        <f t="shared" si="103"/>
        <v>1.03722932283279E+60</v>
      </c>
      <c r="FLX53" s="708">
        <f t="shared" si="103"/>
        <v>1.0683462025177737E+60</v>
      </c>
      <c r="FLY53" s="708">
        <f t="shared" si="103"/>
        <v>1.1003965885933069E+60</v>
      </c>
      <c r="FLZ53" s="708">
        <f t="shared" si="103"/>
        <v>1.1334084862511061E+60</v>
      </c>
      <c r="FMA53" s="708">
        <f t="shared" si="103"/>
        <v>1.1674107408386393E+60</v>
      </c>
      <c r="FMB53" s="708">
        <f t="shared" si="103"/>
        <v>1.2024330630637985E+60</v>
      </c>
      <c r="FMC53" s="708">
        <f t="shared" si="103"/>
        <v>1.2385060549557126E+60</v>
      </c>
      <c r="FMD53" s="708">
        <f t="shared" si="103"/>
        <v>1.2756612366043839E+60</v>
      </c>
      <c r="FME53" s="708">
        <f t="shared" si="103"/>
        <v>1.3139310737025155E+60</v>
      </c>
      <c r="FMF53" s="708">
        <f t="shared" si="103"/>
        <v>1.3533490059135909E+60</v>
      </c>
      <c r="FMG53" s="708">
        <f t="shared" si="103"/>
        <v>1.3939494760909987E+60</v>
      </c>
      <c r="FMH53" s="708">
        <f t="shared" si="103"/>
        <v>1.4357679603737286E+60</v>
      </c>
      <c r="FMI53" s="708">
        <f t="shared" si="103"/>
        <v>1.4788409991849406E+60</v>
      </c>
      <c r="FMJ53" s="708">
        <f t="shared" si="103"/>
        <v>1.5232062291604887E+60</v>
      </c>
      <c r="FMK53" s="708">
        <f t="shared" si="103"/>
        <v>1.5689024160353035E+60</v>
      </c>
      <c r="FML53" s="708">
        <f t="shared" si="103"/>
        <v>1.6159694885163626E+60</v>
      </c>
      <c r="FMM53" s="708">
        <f t="shared" si="103"/>
        <v>1.6644485731718533E+60</v>
      </c>
      <c r="FMN53" s="708">
        <f t="shared" si="103"/>
        <v>1.7143820303670089E+60</v>
      </c>
      <c r="FMO53" s="708">
        <f t="shared" si="103"/>
        <v>1.7658134912780192E+60</v>
      </c>
      <c r="FMP53" s="708">
        <f t="shared" si="103"/>
        <v>1.8187878960163598E+60</v>
      </c>
      <c r="FMQ53" s="708">
        <f t="shared" si="103"/>
        <v>1.8733515328968508E+60</v>
      </c>
      <c r="FMR53" s="708">
        <f t="shared" si="103"/>
        <v>1.9295520788837563E+60</v>
      </c>
      <c r="FMS53" s="708">
        <f t="shared" si="103"/>
        <v>1.987438641250269E+60</v>
      </c>
      <c r="FMT53" s="708">
        <f t="shared" si="103"/>
        <v>2.047061800487777E+60</v>
      </c>
      <c r="FMU53" s="708">
        <f t="shared" si="103"/>
        <v>2.1084736545024103E+60</v>
      </c>
      <c r="FMV53" s="708">
        <f t="shared" si="103"/>
        <v>2.1717278641374827E+60</v>
      </c>
      <c r="FMW53" s="708">
        <f t="shared" si="103"/>
        <v>2.2368797000616071E+60</v>
      </c>
      <c r="FMX53" s="708">
        <f t="shared" si="103"/>
        <v>2.3039860910634553E+60</v>
      </c>
      <c r="FMY53" s="708">
        <f t="shared" si="103"/>
        <v>2.3731056737953591E+60</v>
      </c>
      <c r="FMZ53" s="708">
        <f t="shared" si="103"/>
        <v>2.4442988440092199E+60</v>
      </c>
      <c r="FNA53" s="708">
        <f t="shared" si="103"/>
        <v>2.5176278093294966E+60</v>
      </c>
      <c r="FNB53" s="708">
        <f t="shared" ref="FNB53:FPM53" si="104">FNA53*$C$53</f>
        <v>2.5931566436093817E+60</v>
      </c>
      <c r="FNC53" s="708">
        <f t="shared" si="104"/>
        <v>2.6709513429176633E+60</v>
      </c>
      <c r="FND53" s="708">
        <f t="shared" si="104"/>
        <v>2.7510798832051933E+60</v>
      </c>
      <c r="FNE53" s="708">
        <f t="shared" si="104"/>
        <v>2.8336122797013491E+60</v>
      </c>
      <c r="FNF53" s="708">
        <f t="shared" si="104"/>
        <v>2.9186206480923897E+60</v>
      </c>
      <c r="FNG53" s="708">
        <f t="shared" si="104"/>
        <v>3.0061792675351613E+60</v>
      </c>
      <c r="FNH53" s="708">
        <f t="shared" si="104"/>
        <v>3.0963646455612164E+60</v>
      </c>
      <c r="FNI53" s="708">
        <f t="shared" si="104"/>
        <v>3.1892555849280531E+60</v>
      </c>
      <c r="FNJ53" s="708">
        <f t="shared" si="104"/>
        <v>3.2849332524758948E+60</v>
      </c>
      <c r="FNK53" s="708">
        <f t="shared" si="104"/>
        <v>3.3834812500501717E+60</v>
      </c>
      <c r="FNL53" s="708">
        <f t="shared" si="104"/>
        <v>3.4849856875516772E+60</v>
      </c>
      <c r="FNM53" s="708">
        <f t="shared" si="104"/>
        <v>3.5895352581782275E+60</v>
      </c>
      <c r="FNN53" s="708">
        <f t="shared" si="104"/>
        <v>3.6972213159235743E+60</v>
      </c>
      <c r="FNO53" s="708">
        <f t="shared" si="104"/>
        <v>3.8081379554012819E+60</v>
      </c>
      <c r="FNP53" s="708">
        <f t="shared" si="104"/>
        <v>3.9223820940633204E+60</v>
      </c>
      <c r="FNQ53" s="708">
        <f t="shared" si="104"/>
        <v>4.0400535568852202E+60</v>
      </c>
      <c r="FNR53" s="708">
        <f t="shared" si="104"/>
        <v>4.1612551635917766E+60</v>
      </c>
      <c r="FNS53" s="708">
        <f t="shared" si="104"/>
        <v>4.2860928184995298E+60</v>
      </c>
      <c r="FNT53" s="708">
        <f t="shared" si="104"/>
        <v>4.414675603054516E+60</v>
      </c>
      <c r="FNU53" s="708">
        <f t="shared" si="104"/>
        <v>4.5471158711461516E+60</v>
      </c>
      <c r="FNV53" s="708">
        <f t="shared" si="104"/>
        <v>4.683529347280536E+60</v>
      </c>
      <c r="FNW53" s="708">
        <f t="shared" si="104"/>
        <v>4.8240352276989522E+60</v>
      </c>
      <c r="FNX53" s="708">
        <f t="shared" si="104"/>
        <v>4.9687562845299209E+60</v>
      </c>
      <c r="FNY53" s="708">
        <f t="shared" si="104"/>
        <v>5.1178189730658186E+60</v>
      </c>
      <c r="FNZ53" s="708">
        <f t="shared" si="104"/>
        <v>5.2713535422577937E+60</v>
      </c>
      <c r="FOA53" s="708">
        <f t="shared" si="104"/>
        <v>5.4294941485255275E+60</v>
      </c>
      <c r="FOB53" s="708">
        <f t="shared" si="104"/>
        <v>5.5923789729812933E+60</v>
      </c>
      <c r="FOC53" s="708">
        <f t="shared" si="104"/>
        <v>5.7601503421707325E+60</v>
      </c>
      <c r="FOD53" s="708">
        <f t="shared" si="104"/>
        <v>5.9329548524358548E+60</v>
      </c>
      <c r="FOE53" s="708">
        <f t="shared" si="104"/>
        <v>6.1109434980089304E+60</v>
      </c>
      <c r="FOF53" s="708">
        <f t="shared" si="104"/>
        <v>6.2942718029491982E+60</v>
      </c>
      <c r="FOG53" s="708">
        <f t="shared" si="104"/>
        <v>6.4830999570376739E+60</v>
      </c>
      <c r="FOH53" s="708">
        <f t="shared" si="104"/>
        <v>6.6775929557488046E+60</v>
      </c>
      <c r="FOI53" s="708">
        <f t="shared" si="104"/>
        <v>6.8779207444212684E+60</v>
      </c>
      <c r="FOJ53" s="708">
        <f t="shared" si="104"/>
        <v>7.0842583667539066E+60</v>
      </c>
      <c r="FOK53" s="708">
        <f t="shared" si="104"/>
        <v>7.2967861177565234E+60</v>
      </c>
      <c r="FOL53" s="708">
        <f t="shared" si="104"/>
        <v>7.5156897012892192E+60</v>
      </c>
      <c r="FOM53" s="708">
        <f t="shared" si="104"/>
        <v>7.7411603923278966E+60</v>
      </c>
      <c r="FON53" s="708">
        <f t="shared" si="104"/>
        <v>7.973395204097734E+60</v>
      </c>
      <c r="FOO53" s="708">
        <f t="shared" si="104"/>
        <v>8.2125970602206657E+60</v>
      </c>
      <c r="FOP53" s="708">
        <f t="shared" si="104"/>
        <v>8.4589749720272858E+60</v>
      </c>
      <c r="FOQ53" s="708">
        <f t="shared" si="104"/>
        <v>8.7127442211881051E+60</v>
      </c>
      <c r="FOR53" s="708">
        <f t="shared" si="104"/>
        <v>8.9741265478237479E+60</v>
      </c>
      <c r="FOS53" s="708">
        <f t="shared" si="104"/>
        <v>9.2433503442584606E+60</v>
      </c>
      <c r="FOT53" s="708">
        <f t="shared" si="104"/>
        <v>9.5206508545862147E+60</v>
      </c>
      <c r="FOU53" s="708">
        <f t="shared" si="104"/>
        <v>9.8062703802238008E+60</v>
      </c>
      <c r="FOV53" s="708">
        <f t="shared" si="104"/>
        <v>1.0100458491630514E+61</v>
      </c>
      <c r="FOW53" s="708">
        <f t="shared" si="104"/>
        <v>1.040347224637943E+61</v>
      </c>
      <c r="FOX53" s="708">
        <f t="shared" si="104"/>
        <v>1.0715576413770812E+61</v>
      </c>
      <c r="FOY53" s="708">
        <f t="shared" si="104"/>
        <v>1.1037043706183937E+61</v>
      </c>
      <c r="FOZ53" s="708">
        <f t="shared" si="104"/>
        <v>1.1368155017369455E+61</v>
      </c>
      <c r="FPA53" s="708">
        <f t="shared" si="104"/>
        <v>1.1709199667890539E+61</v>
      </c>
      <c r="FPB53" s="708">
        <f t="shared" si="104"/>
        <v>1.2060475657927255E+61</v>
      </c>
      <c r="FPC53" s="708">
        <f t="shared" si="104"/>
        <v>1.2422289927665073E+61</v>
      </c>
      <c r="FPD53" s="708">
        <f t="shared" si="104"/>
        <v>1.2794958625495026E+61</v>
      </c>
      <c r="FPE53" s="708">
        <f t="shared" si="104"/>
        <v>1.3178807384259876E+61</v>
      </c>
      <c r="FPF53" s="708">
        <f t="shared" si="104"/>
        <v>1.3574171605787674E+61</v>
      </c>
      <c r="FPG53" s="708">
        <f t="shared" si="104"/>
        <v>1.3981396753961306E+61</v>
      </c>
      <c r="FPH53" s="708">
        <f t="shared" si="104"/>
        <v>1.4400838656580146E+61</v>
      </c>
      <c r="FPI53" s="708">
        <f t="shared" si="104"/>
        <v>1.483286381627755E+61</v>
      </c>
      <c r="FPJ53" s="708">
        <f t="shared" si="104"/>
        <v>1.5277849730765877E+61</v>
      </c>
      <c r="FPK53" s="708">
        <f t="shared" si="104"/>
        <v>1.5736185222688855E+61</v>
      </c>
      <c r="FPL53" s="708">
        <f t="shared" si="104"/>
        <v>1.6208270779369521E+61</v>
      </c>
      <c r="FPM53" s="708">
        <f t="shared" si="104"/>
        <v>1.6694518902750607E+61</v>
      </c>
      <c r="FPN53" s="708">
        <f t="shared" ref="FPN53:FRY53" si="105">FPM53*$C$53</f>
        <v>1.7195354469833127E+61</v>
      </c>
      <c r="FPO53" s="708">
        <f t="shared" si="105"/>
        <v>1.771121510392812E+61</v>
      </c>
      <c r="FPP53" s="708">
        <f t="shared" si="105"/>
        <v>1.8242551557045966E+61</v>
      </c>
      <c r="FPQ53" s="708">
        <f t="shared" si="105"/>
        <v>1.8789828103757344E+61</v>
      </c>
      <c r="FPR53" s="708">
        <f t="shared" si="105"/>
        <v>1.9353522946870066E+61</v>
      </c>
      <c r="FPS53" s="708">
        <f t="shared" si="105"/>
        <v>1.9934128635276168E+61</v>
      </c>
      <c r="FPT53" s="708">
        <f t="shared" si="105"/>
        <v>2.0532152494334453E+61</v>
      </c>
      <c r="FPU53" s="708">
        <f t="shared" si="105"/>
        <v>2.1148117069164488E+61</v>
      </c>
      <c r="FPV53" s="708">
        <f t="shared" si="105"/>
        <v>2.1782560581239424E+61</v>
      </c>
      <c r="FPW53" s="708">
        <f t="shared" si="105"/>
        <v>2.2436037398676606E+61</v>
      </c>
      <c r="FPX53" s="708">
        <f t="shared" si="105"/>
        <v>2.3109118520636905E+61</v>
      </c>
      <c r="FPY53" s="708">
        <f t="shared" si="105"/>
        <v>2.3802392076256012E+61</v>
      </c>
      <c r="FPZ53" s="708">
        <f t="shared" si="105"/>
        <v>2.4516463838543694E+61</v>
      </c>
      <c r="FQA53" s="708">
        <f t="shared" si="105"/>
        <v>2.5251957753700006E+61</v>
      </c>
      <c r="FQB53" s="708">
        <f t="shared" si="105"/>
        <v>2.6009516486311006E+61</v>
      </c>
      <c r="FQC53" s="708">
        <f t="shared" si="105"/>
        <v>2.6789801980900337E+61</v>
      </c>
      <c r="FQD53" s="708">
        <f t="shared" si="105"/>
        <v>2.7593496040327347E+61</v>
      </c>
      <c r="FQE53" s="708">
        <f t="shared" si="105"/>
        <v>2.842130092153717E+61</v>
      </c>
      <c r="FQF53" s="708">
        <f t="shared" si="105"/>
        <v>2.9273939949183283E+61</v>
      </c>
      <c r="FQG53" s="708">
        <f t="shared" si="105"/>
        <v>3.0152158147658782E+61</v>
      </c>
      <c r="FQH53" s="708">
        <f t="shared" si="105"/>
        <v>3.1056722892088547E+61</v>
      </c>
      <c r="FQI53" s="708">
        <f t="shared" si="105"/>
        <v>3.1988424578851203E+61</v>
      </c>
      <c r="FQJ53" s="708">
        <f t="shared" si="105"/>
        <v>3.2948077316216739E+61</v>
      </c>
      <c r="FQK53" s="708">
        <f t="shared" si="105"/>
        <v>3.3936519635703241E+61</v>
      </c>
      <c r="FQL53" s="708">
        <f t="shared" si="105"/>
        <v>3.4954615224774339E+61</v>
      </c>
      <c r="FQM53" s="708">
        <f t="shared" si="105"/>
        <v>3.6003253681517568E+61</v>
      </c>
      <c r="FQN53" s="708">
        <f t="shared" si="105"/>
        <v>3.7083351291963096E+61</v>
      </c>
      <c r="FQO53" s="708">
        <f t="shared" si="105"/>
        <v>3.8195851830721989E+61</v>
      </c>
      <c r="FQP53" s="708">
        <f t="shared" si="105"/>
        <v>3.9341727385643651E+61</v>
      </c>
      <c r="FQQ53" s="708">
        <f t="shared" si="105"/>
        <v>4.0521979207212959E+61</v>
      </c>
      <c r="FQR53" s="708">
        <f t="shared" si="105"/>
        <v>4.1737638583429352E+61</v>
      </c>
      <c r="FQS53" s="708">
        <f t="shared" si="105"/>
        <v>4.2989767740932231E+61</v>
      </c>
      <c r="FQT53" s="708">
        <f t="shared" si="105"/>
        <v>4.4279460773160202E+61</v>
      </c>
      <c r="FQU53" s="708">
        <f t="shared" si="105"/>
        <v>4.5607844596355011E+61</v>
      </c>
      <c r="FQV53" s="708">
        <f t="shared" si="105"/>
        <v>4.6976079934245665E+61</v>
      </c>
      <c r="FQW53" s="708">
        <f t="shared" si="105"/>
        <v>4.8385362332273037E+61</v>
      </c>
      <c r="FQX53" s="708">
        <f t="shared" si="105"/>
        <v>4.983692320224123E+61</v>
      </c>
      <c r="FQY53" s="708">
        <f t="shared" si="105"/>
        <v>5.1332030898308471E+61</v>
      </c>
      <c r="FQZ53" s="708">
        <f t="shared" si="105"/>
        <v>5.2871991825257728E+61</v>
      </c>
      <c r="FRA53" s="708">
        <f t="shared" si="105"/>
        <v>5.4458151580015461E+61</v>
      </c>
      <c r="FRB53" s="708">
        <f t="shared" si="105"/>
        <v>5.6091896127415924E+61</v>
      </c>
      <c r="FRC53" s="708">
        <f t="shared" si="105"/>
        <v>5.7774653011238398E+61</v>
      </c>
      <c r="FRD53" s="708">
        <f t="shared" si="105"/>
        <v>5.9507892601575555E+61</v>
      </c>
      <c r="FRE53" s="708">
        <f t="shared" si="105"/>
        <v>6.1293129379622825E+61</v>
      </c>
      <c r="FRF53" s="708">
        <f t="shared" si="105"/>
        <v>6.3131923261011514E+61</v>
      </c>
      <c r="FRG53" s="708">
        <f t="shared" si="105"/>
        <v>6.5025880958841856E+61</v>
      </c>
      <c r="FRH53" s="708">
        <f t="shared" si="105"/>
        <v>6.6976657387607115E+61</v>
      </c>
      <c r="FRI53" s="708">
        <f t="shared" si="105"/>
        <v>6.8985957109235332E+61</v>
      </c>
      <c r="FRJ53" s="708">
        <f t="shared" si="105"/>
        <v>7.1055535822512396E+61</v>
      </c>
      <c r="FRK53" s="708">
        <f t="shared" si="105"/>
        <v>7.3187201897187775E+61</v>
      </c>
      <c r="FRL53" s="708">
        <f t="shared" si="105"/>
        <v>7.5382817954103406E+61</v>
      </c>
      <c r="FRM53" s="708">
        <f t="shared" si="105"/>
        <v>7.7644302492726515E+61</v>
      </c>
      <c r="FRN53" s="708">
        <f t="shared" si="105"/>
        <v>7.9973631567508313E+61</v>
      </c>
      <c r="FRO53" s="708">
        <f t="shared" si="105"/>
        <v>8.2372840514533566E+61</v>
      </c>
      <c r="FRP53" s="708">
        <f t="shared" si="105"/>
        <v>8.4844025729969575E+61</v>
      </c>
      <c r="FRQ53" s="708">
        <f t="shared" si="105"/>
        <v>8.7389346501868667E+61</v>
      </c>
      <c r="FRR53" s="708">
        <f t="shared" si="105"/>
        <v>9.0011026896924732E+61</v>
      </c>
      <c r="FRS53" s="708">
        <f t="shared" si="105"/>
        <v>9.2711357703832477E+61</v>
      </c>
      <c r="FRT53" s="708">
        <f t="shared" si="105"/>
        <v>9.5492698434947458E+61</v>
      </c>
      <c r="FRU53" s="708">
        <f t="shared" si="105"/>
        <v>9.8357479387995884E+61</v>
      </c>
      <c r="FRV53" s="708">
        <f t="shared" si="105"/>
        <v>1.0130820376963576E+62</v>
      </c>
      <c r="FRW53" s="708">
        <f t="shared" si="105"/>
        <v>1.0434744988272483E+62</v>
      </c>
      <c r="FRX53" s="708">
        <f t="shared" si="105"/>
        <v>1.0747787337920659E+62</v>
      </c>
      <c r="FRY53" s="708">
        <f t="shared" si="105"/>
        <v>1.1070220958058279E+62</v>
      </c>
      <c r="FRZ53" s="708">
        <f t="shared" ref="FRZ53:FUK53" si="106">FRY53*$C$53</f>
        <v>1.1402327586800028E+62</v>
      </c>
      <c r="FSA53" s="708">
        <f t="shared" si="106"/>
        <v>1.1744397414404028E+62</v>
      </c>
      <c r="FSB53" s="708">
        <f t="shared" si="106"/>
        <v>1.209672933683615E+62</v>
      </c>
      <c r="FSC53" s="708">
        <f t="shared" si="106"/>
        <v>1.2459631216941234E+62</v>
      </c>
      <c r="FSD53" s="708">
        <f t="shared" si="106"/>
        <v>1.283342015344947E+62</v>
      </c>
      <c r="FSE53" s="708">
        <f t="shared" si="106"/>
        <v>1.3218422758052954E+62</v>
      </c>
      <c r="FSF53" s="708">
        <f t="shared" si="106"/>
        <v>1.3614975440794542E+62</v>
      </c>
      <c r="FSG53" s="708">
        <f t="shared" si="106"/>
        <v>1.402342470401838E+62</v>
      </c>
      <c r="FSH53" s="708">
        <f t="shared" si="106"/>
        <v>1.444412744513893E+62</v>
      </c>
      <c r="FSI53" s="708">
        <f t="shared" si="106"/>
        <v>1.4877451268493099E+62</v>
      </c>
      <c r="FSJ53" s="708">
        <f t="shared" si="106"/>
        <v>1.5323774806547893E+62</v>
      </c>
      <c r="FSK53" s="708">
        <f t="shared" si="106"/>
        <v>1.578348805074433E+62</v>
      </c>
      <c r="FSL53" s="708">
        <f t="shared" si="106"/>
        <v>1.6256992692266659E+62</v>
      </c>
      <c r="FSM53" s="708">
        <f t="shared" si="106"/>
        <v>1.6744702473034659E+62</v>
      </c>
      <c r="FSN53" s="708">
        <f t="shared" si="106"/>
        <v>1.7247043547225699E+62</v>
      </c>
      <c r="FSO53" s="708">
        <f t="shared" si="106"/>
        <v>1.776445485364247E+62</v>
      </c>
      <c r="FSP53" s="708">
        <f t="shared" si="106"/>
        <v>1.8297388499251744E+62</v>
      </c>
      <c r="FSQ53" s="708">
        <f t="shared" si="106"/>
        <v>1.8846310154229297E+62</v>
      </c>
      <c r="FSR53" s="708">
        <f t="shared" si="106"/>
        <v>1.9411699458856176E+62</v>
      </c>
      <c r="FSS53" s="708">
        <f t="shared" si="106"/>
        <v>1.9994050442621862E+62</v>
      </c>
      <c r="FST53" s="708">
        <f t="shared" si="106"/>
        <v>2.0593871955900517E+62</v>
      </c>
      <c r="FSU53" s="708">
        <f t="shared" si="106"/>
        <v>2.1211688114577532E+62</v>
      </c>
      <c r="FSV53" s="708">
        <f t="shared" si="106"/>
        <v>2.1848038758014857E+62</v>
      </c>
      <c r="FSW53" s="708">
        <f t="shared" si="106"/>
        <v>2.2503479920755305E+62</v>
      </c>
      <c r="FSX53" s="708">
        <f t="shared" si="106"/>
        <v>2.3178584318377965E+62</v>
      </c>
      <c r="FSY53" s="708">
        <f t="shared" si="106"/>
        <v>2.3873941847929306E+62</v>
      </c>
      <c r="FSZ53" s="708">
        <f t="shared" si="106"/>
        <v>2.4590160103367187E+62</v>
      </c>
      <c r="FTA53" s="708">
        <f t="shared" si="106"/>
        <v>2.5327864906468203E+62</v>
      </c>
      <c r="FTB53" s="708">
        <f t="shared" si="106"/>
        <v>2.6087700853662251E+62</v>
      </c>
      <c r="FTC53" s="708">
        <f t="shared" si="106"/>
        <v>2.6870331879272118E+62</v>
      </c>
      <c r="FTD53" s="708">
        <f t="shared" si="106"/>
        <v>2.767644183565028E+62</v>
      </c>
      <c r="FTE53" s="708">
        <f t="shared" si="106"/>
        <v>2.8506735090719792E+62</v>
      </c>
      <c r="FTF53" s="708">
        <f t="shared" si="106"/>
        <v>2.9361937143441386E+62</v>
      </c>
      <c r="FTG53" s="708">
        <f t="shared" si="106"/>
        <v>3.0242795257744631E+62</v>
      </c>
      <c r="FTH53" s="708">
        <f t="shared" si="106"/>
        <v>3.1150079115476968E+62</v>
      </c>
      <c r="FTI53" s="708">
        <f t="shared" si="106"/>
        <v>3.208458148894128E+62</v>
      </c>
      <c r="FTJ53" s="708">
        <f t="shared" si="106"/>
        <v>3.3047118933609519E+62</v>
      </c>
      <c r="FTK53" s="708">
        <f t="shared" si="106"/>
        <v>3.4038532501617806E+62</v>
      </c>
      <c r="FTL53" s="708">
        <f t="shared" si="106"/>
        <v>3.505968847666634E+62</v>
      </c>
      <c r="FTM53" s="708">
        <f t="shared" si="106"/>
        <v>3.6111479130966331E+62</v>
      </c>
      <c r="FTN53" s="708">
        <f t="shared" si="106"/>
        <v>3.7194823504895323E+62</v>
      </c>
      <c r="FTO53" s="708">
        <f t="shared" si="106"/>
        <v>3.8310668210042185E+62</v>
      </c>
      <c r="FTP53" s="708">
        <f t="shared" si="106"/>
        <v>3.9459988256343452E+62</v>
      </c>
      <c r="FTQ53" s="708">
        <f t="shared" si="106"/>
        <v>4.0643787904033758E+62</v>
      </c>
      <c r="FTR53" s="708">
        <f t="shared" si="106"/>
        <v>4.1863101541154774E+62</v>
      </c>
      <c r="FTS53" s="708">
        <f t="shared" si="106"/>
        <v>4.3118994587389419E+62</v>
      </c>
      <c r="FTT53" s="708">
        <f t="shared" si="106"/>
        <v>4.4412564425011106E+62</v>
      </c>
      <c r="FTU53" s="708">
        <f t="shared" si="106"/>
        <v>4.5744941357761439E+62</v>
      </c>
      <c r="FTV53" s="708">
        <f t="shared" si="106"/>
        <v>4.7117289598494287E+62</v>
      </c>
      <c r="FTW53" s="708">
        <f t="shared" si="106"/>
        <v>4.8530808286449115E+62</v>
      </c>
      <c r="FTX53" s="708">
        <f t="shared" si="106"/>
        <v>4.9986732535042587E+62</v>
      </c>
      <c r="FTY53" s="708">
        <f t="shared" si="106"/>
        <v>5.1486334511093869E+62</v>
      </c>
      <c r="FTZ53" s="708">
        <f t="shared" si="106"/>
        <v>5.3030924546426685E+62</v>
      </c>
      <c r="FUA53" s="708">
        <f t="shared" si="106"/>
        <v>5.462185228281949E+62</v>
      </c>
      <c r="FUB53" s="708">
        <f t="shared" si="106"/>
        <v>5.6260507851304079E+62</v>
      </c>
      <c r="FUC53" s="708">
        <f t="shared" si="106"/>
        <v>5.7948323086843199E+62</v>
      </c>
      <c r="FUD53" s="708">
        <f t="shared" si="106"/>
        <v>5.9686772779448497E+62</v>
      </c>
      <c r="FUE53" s="708">
        <f t="shared" si="106"/>
        <v>6.1477375962831954E+62</v>
      </c>
      <c r="FUF53" s="708">
        <f t="shared" si="106"/>
        <v>6.3321697241716915E+62</v>
      </c>
      <c r="FUG53" s="708">
        <f t="shared" si="106"/>
        <v>6.5221348158968422E+62</v>
      </c>
      <c r="FUH53" s="708">
        <f t="shared" si="106"/>
        <v>6.7177988603737475E+62</v>
      </c>
      <c r="FUI53" s="708">
        <f t="shared" si="106"/>
        <v>6.9193328261849603E+62</v>
      </c>
      <c r="FUJ53" s="708">
        <f t="shared" si="106"/>
        <v>7.1269128109705089E+62</v>
      </c>
      <c r="FUK53" s="708">
        <f t="shared" si="106"/>
        <v>7.3407201952996247E+62</v>
      </c>
      <c r="FUL53" s="708">
        <f t="shared" ref="FUL53:FWW53" si="107">FUK53*$C$53</f>
        <v>7.5609418011586138E+62</v>
      </c>
      <c r="FUM53" s="708">
        <f t="shared" si="107"/>
        <v>7.7877700551933723E+62</v>
      </c>
      <c r="FUN53" s="708">
        <f t="shared" si="107"/>
        <v>8.0214031568491733E+62</v>
      </c>
      <c r="FUO53" s="708">
        <f t="shared" si="107"/>
        <v>8.2620452515546491E+62</v>
      </c>
      <c r="FUP53" s="708">
        <f t="shared" si="107"/>
        <v>8.5099066091012883E+62</v>
      </c>
      <c r="FUQ53" s="708">
        <f t="shared" si="107"/>
        <v>8.7652038073743277E+62</v>
      </c>
      <c r="FUR53" s="708">
        <f t="shared" si="107"/>
        <v>9.0281599215955579E+62</v>
      </c>
      <c r="FUS53" s="708">
        <f t="shared" si="107"/>
        <v>9.299004719243424E+62</v>
      </c>
      <c r="FUT53" s="708">
        <f t="shared" si="107"/>
        <v>9.5779748608207278E+62</v>
      </c>
      <c r="FUU53" s="708">
        <f t="shared" si="107"/>
        <v>9.8653141066453497E+62</v>
      </c>
      <c r="FUV53" s="708">
        <f t="shared" si="107"/>
        <v>1.0161273529844711E+63</v>
      </c>
      <c r="FUW53" s="708">
        <f t="shared" si="107"/>
        <v>1.0466111735740053E+63</v>
      </c>
      <c r="FUX53" s="708">
        <f t="shared" si="107"/>
        <v>1.0780095087812254E+63</v>
      </c>
      <c r="FUY53" s="708">
        <f t="shared" si="107"/>
        <v>1.1103497940446623E+63</v>
      </c>
      <c r="FUZ53" s="708">
        <f t="shared" si="107"/>
        <v>1.1436602878660022E+63</v>
      </c>
      <c r="FVA53" s="708">
        <f t="shared" si="107"/>
        <v>1.1779700965019823E+63</v>
      </c>
      <c r="FVB53" s="708">
        <f t="shared" si="107"/>
        <v>1.2133091993970418E+63</v>
      </c>
      <c r="FVC53" s="708">
        <f t="shared" si="107"/>
        <v>1.2497084753789531E+63</v>
      </c>
      <c r="FVD53" s="708">
        <f t="shared" si="107"/>
        <v>1.2871997296403218E+63</v>
      </c>
      <c r="FVE53" s="708">
        <f t="shared" si="107"/>
        <v>1.3258157215295314E+63</v>
      </c>
      <c r="FVF53" s="708">
        <f t="shared" si="107"/>
        <v>1.3655901931754173E+63</v>
      </c>
      <c r="FVG53" s="708">
        <f t="shared" si="107"/>
        <v>1.4065578989706798E+63</v>
      </c>
      <c r="FVH53" s="708">
        <f t="shared" si="107"/>
        <v>1.4487546359398003E+63</v>
      </c>
      <c r="FVI53" s="708">
        <f t="shared" si="107"/>
        <v>1.4922172750179943E+63</v>
      </c>
      <c r="FVJ53" s="708">
        <f t="shared" si="107"/>
        <v>1.5369837932685342E+63</v>
      </c>
      <c r="FVK53" s="708">
        <f t="shared" si="107"/>
        <v>1.5830933070665903E+63</v>
      </c>
      <c r="FVL53" s="708">
        <f t="shared" si="107"/>
        <v>1.6305861062785881E+63</v>
      </c>
      <c r="FVM53" s="708">
        <f t="shared" si="107"/>
        <v>1.6795036894669459E+63</v>
      </c>
      <c r="FVN53" s="708">
        <f t="shared" si="107"/>
        <v>1.7298888001509542E+63</v>
      </c>
      <c r="FVO53" s="708">
        <f t="shared" si="107"/>
        <v>1.7817854641554829E+63</v>
      </c>
      <c r="FVP53" s="708">
        <f t="shared" si="107"/>
        <v>1.8352390280801476E+63</v>
      </c>
      <c r="FVQ53" s="708">
        <f t="shared" si="107"/>
        <v>1.8902961989225521E+63</v>
      </c>
      <c r="FVR53" s="708">
        <f t="shared" si="107"/>
        <v>1.9470050848902288E+63</v>
      </c>
      <c r="FVS53" s="708">
        <f t="shared" si="107"/>
        <v>2.0054152374369358E+63</v>
      </c>
      <c r="FVT53" s="708">
        <f t="shared" si="107"/>
        <v>2.0655776945600439E+63</v>
      </c>
      <c r="FVU53" s="708">
        <f t="shared" si="107"/>
        <v>2.1275450253968454E+63</v>
      </c>
      <c r="FVV53" s="708">
        <f t="shared" si="107"/>
        <v>2.1913713761587508E+63</v>
      </c>
      <c r="FVW53" s="708">
        <f t="shared" si="107"/>
        <v>2.2571125174435134E+63</v>
      </c>
      <c r="FVX53" s="708">
        <f t="shared" si="107"/>
        <v>2.3248258929668187E+63</v>
      </c>
      <c r="FVY53" s="708">
        <f t="shared" si="107"/>
        <v>2.3945706697558235E+63</v>
      </c>
      <c r="FVZ53" s="708">
        <f t="shared" si="107"/>
        <v>2.4664077898484983E+63</v>
      </c>
      <c r="FWA53" s="708">
        <f t="shared" si="107"/>
        <v>2.5404000235439532E+63</v>
      </c>
      <c r="FWB53" s="708">
        <f t="shared" si="107"/>
        <v>2.6166120242502719E+63</v>
      </c>
      <c r="FWC53" s="708">
        <f t="shared" si="107"/>
        <v>2.6951103849777802E+63</v>
      </c>
      <c r="FWD53" s="708">
        <f t="shared" si="107"/>
        <v>2.7759636965271138E+63</v>
      </c>
      <c r="FWE53" s="708">
        <f t="shared" si="107"/>
        <v>2.8592426074229274E+63</v>
      </c>
      <c r="FWF53" s="708">
        <f t="shared" si="107"/>
        <v>2.9450198856456154E+63</v>
      </c>
      <c r="FWG53" s="708">
        <f t="shared" si="107"/>
        <v>3.0333704822149841E+63</v>
      </c>
      <c r="FWH53" s="708">
        <f t="shared" si="107"/>
        <v>3.1243715966814339E+63</v>
      </c>
      <c r="FWI53" s="708">
        <f t="shared" si="107"/>
        <v>3.2181027445818769E+63</v>
      </c>
      <c r="FWJ53" s="708">
        <f t="shared" si="107"/>
        <v>3.3146458269193331E+63</v>
      </c>
      <c r="FWK53" s="708">
        <f t="shared" si="107"/>
        <v>3.4140852017269128E+63</v>
      </c>
      <c r="FWL53" s="708">
        <f t="shared" si="107"/>
        <v>3.5165077577787203E+63</v>
      </c>
      <c r="FWM53" s="708">
        <f t="shared" si="107"/>
        <v>3.6220029905120818E+63</v>
      </c>
      <c r="FWN53" s="708">
        <f t="shared" si="107"/>
        <v>3.7306630802274446E+63</v>
      </c>
      <c r="FWO53" s="708">
        <f t="shared" si="107"/>
        <v>3.8425829726342682E+63</v>
      </c>
      <c r="FWP53" s="708">
        <f t="shared" si="107"/>
        <v>3.9578604618132966E+63</v>
      </c>
      <c r="FWQ53" s="708">
        <f t="shared" si="107"/>
        <v>4.0765962756676955E+63</v>
      </c>
      <c r="FWR53" s="708">
        <f t="shared" si="107"/>
        <v>4.1988941639377266E+63</v>
      </c>
      <c r="FWS53" s="708">
        <f t="shared" si="107"/>
        <v>4.3248609888558584E+63</v>
      </c>
      <c r="FWT53" s="708">
        <f t="shared" si="107"/>
        <v>4.454606818521534E+63</v>
      </c>
      <c r="FWU53" s="708">
        <f t="shared" si="107"/>
        <v>4.5882450230771805E+63</v>
      </c>
      <c r="FWV53" s="708">
        <f t="shared" si="107"/>
        <v>4.725892373769496E+63</v>
      </c>
      <c r="FWW53" s="708">
        <f t="shared" si="107"/>
        <v>4.8676691449825809E+63</v>
      </c>
      <c r="FWX53" s="708">
        <f t="shared" ref="FWX53:FZI53" si="108">FWW53*$C$53</f>
        <v>5.0136992193320587E+63</v>
      </c>
      <c r="FWY53" s="708">
        <f t="shared" si="108"/>
        <v>5.1641101959120206E+63</v>
      </c>
      <c r="FWZ53" s="708">
        <f t="shared" si="108"/>
        <v>5.3190335017893811E+63</v>
      </c>
      <c r="FXA53" s="708">
        <f t="shared" si="108"/>
        <v>5.4786045068430628E+63</v>
      </c>
      <c r="FXB53" s="708">
        <f t="shared" si="108"/>
        <v>5.6429626420483546E+63</v>
      </c>
      <c r="FXC53" s="708">
        <f t="shared" si="108"/>
        <v>5.8122515213098055E+63</v>
      </c>
      <c r="FXD53" s="708">
        <f t="shared" si="108"/>
        <v>5.9866190669490996E+63</v>
      </c>
      <c r="FXE53" s="708">
        <f t="shared" si="108"/>
        <v>6.1662176389575728E+63</v>
      </c>
      <c r="FXF53" s="708">
        <f t="shared" si="108"/>
        <v>6.3512041681263003E+63</v>
      </c>
      <c r="FXG53" s="708">
        <f t="shared" si="108"/>
        <v>6.5417402931700896E+63</v>
      </c>
      <c r="FXH53" s="708">
        <f t="shared" si="108"/>
        <v>6.7379925019651929E+63</v>
      </c>
      <c r="FXI53" s="708">
        <f t="shared" si="108"/>
        <v>6.9401322770241483E+63</v>
      </c>
      <c r="FXJ53" s="708">
        <f t="shared" si="108"/>
        <v>7.148336245334873E+63</v>
      </c>
      <c r="FXK53" s="708">
        <f t="shared" si="108"/>
        <v>7.3627863326949196E+63</v>
      </c>
      <c r="FXL53" s="708">
        <f t="shared" si="108"/>
        <v>7.5836699226757678E+63</v>
      </c>
      <c r="FXM53" s="708">
        <f t="shared" si="108"/>
        <v>7.8111800203560404E+63</v>
      </c>
      <c r="FXN53" s="708">
        <f t="shared" si="108"/>
        <v>8.045515420966722E+63</v>
      </c>
      <c r="FXO53" s="708">
        <f t="shared" si="108"/>
        <v>8.2868808835957232E+63</v>
      </c>
      <c r="FXP53" s="708">
        <f t="shared" si="108"/>
        <v>8.5354873101035944E+63</v>
      </c>
      <c r="FXQ53" s="708">
        <f t="shared" si="108"/>
        <v>8.7915519294067021E+63</v>
      </c>
      <c r="FXR53" s="708">
        <f t="shared" si="108"/>
        <v>9.0552984872889033E+63</v>
      </c>
      <c r="FXS53" s="708">
        <f t="shared" si="108"/>
        <v>9.3269574419075711E+63</v>
      </c>
      <c r="FXT53" s="708">
        <f t="shared" si="108"/>
        <v>9.6067661651647986E+63</v>
      </c>
      <c r="FXU53" s="708">
        <f t="shared" si="108"/>
        <v>9.8949691501197434E+63</v>
      </c>
      <c r="FXV53" s="708">
        <f t="shared" si="108"/>
        <v>1.0191818224623336E+64</v>
      </c>
      <c r="FXW53" s="708">
        <f t="shared" si="108"/>
        <v>1.0497572771362036E+64</v>
      </c>
      <c r="FXX53" s="708">
        <f t="shared" si="108"/>
        <v>1.0812499954502898E+64</v>
      </c>
      <c r="FXY53" s="708">
        <f t="shared" si="108"/>
        <v>1.1136874953137986E+64</v>
      </c>
      <c r="FXZ53" s="708">
        <f t="shared" si="108"/>
        <v>1.1470981201732125E+64</v>
      </c>
      <c r="FYA53" s="708">
        <f t="shared" si="108"/>
        <v>1.1815110637784089E+64</v>
      </c>
      <c r="FYB53" s="708">
        <f t="shared" si="108"/>
        <v>1.2169563956917613E+64</v>
      </c>
      <c r="FYC53" s="708">
        <f t="shared" si="108"/>
        <v>1.2534650875625141E+64</v>
      </c>
      <c r="FYD53" s="708">
        <f t="shared" si="108"/>
        <v>1.2910690401893896E+64</v>
      </c>
      <c r="FYE53" s="708">
        <f t="shared" si="108"/>
        <v>1.3298011113950713E+64</v>
      </c>
      <c r="FYF53" s="708">
        <f t="shared" si="108"/>
        <v>1.3696951447369234E+64</v>
      </c>
      <c r="FYG53" s="708">
        <f t="shared" si="108"/>
        <v>1.4107859990790312E+64</v>
      </c>
      <c r="FYH53" s="708">
        <f t="shared" si="108"/>
        <v>1.4531095790514021E+64</v>
      </c>
      <c r="FYI53" s="708">
        <f t="shared" si="108"/>
        <v>1.4967028664229443E+64</v>
      </c>
      <c r="FYJ53" s="708">
        <f t="shared" si="108"/>
        <v>1.5416039524156327E+64</v>
      </c>
      <c r="FYK53" s="708">
        <f t="shared" si="108"/>
        <v>1.5878520709881018E+64</v>
      </c>
      <c r="FYL53" s="708">
        <f t="shared" si="108"/>
        <v>1.6354876331177448E+64</v>
      </c>
      <c r="FYM53" s="708">
        <f t="shared" si="108"/>
        <v>1.6845522621112771E+64</v>
      </c>
      <c r="FYN53" s="708">
        <f t="shared" si="108"/>
        <v>1.7350888299746155E+64</v>
      </c>
      <c r="FYO53" s="708">
        <f t="shared" si="108"/>
        <v>1.7871414948738539E+64</v>
      </c>
      <c r="FYP53" s="708">
        <f t="shared" si="108"/>
        <v>1.8407557397200696E+64</v>
      </c>
      <c r="FYQ53" s="708">
        <f t="shared" si="108"/>
        <v>1.8959784119116718E+64</v>
      </c>
      <c r="FYR53" s="708">
        <f t="shared" si="108"/>
        <v>1.952857764269022E+64</v>
      </c>
      <c r="FYS53" s="708">
        <f t="shared" si="108"/>
        <v>2.0114434971970927E+64</v>
      </c>
      <c r="FYT53" s="708">
        <f t="shared" si="108"/>
        <v>2.0717868021130054E+64</v>
      </c>
      <c r="FYU53" s="708">
        <f t="shared" si="108"/>
        <v>2.1339404061763954E+64</v>
      </c>
      <c r="FYV53" s="708">
        <f t="shared" si="108"/>
        <v>2.1979586183616873E+64</v>
      </c>
      <c r="FYW53" s="708">
        <f t="shared" si="108"/>
        <v>2.263897376912538E+64</v>
      </c>
      <c r="FYX53" s="708">
        <f t="shared" si="108"/>
        <v>2.3318142982199143E+64</v>
      </c>
      <c r="FYY53" s="708">
        <f t="shared" si="108"/>
        <v>2.4017687271665119E+64</v>
      </c>
      <c r="FYZ53" s="708">
        <f t="shared" si="108"/>
        <v>2.4738217889815072E+64</v>
      </c>
      <c r="FZA53" s="708">
        <f t="shared" si="108"/>
        <v>2.5480364426509525E+64</v>
      </c>
      <c r="FZB53" s="708">
        <f t="shared" si="108"/>
        <v>2.6244775359304812E+64</v>
      </c>
      <c r="FZC53" s="708">
        <f t="shared" si="108"/>
        <v>2.7032118620083959E+64</v>
      </c>
      <c r="FZD53" s="708">
        <f t="shared" si="108"/>
        <v>2.7843082178686477E+64</v>
      </c>
      <c r="FZE53" s="708">
        <f t="shared" si="108"/>
        <v>2.8678374644047071E+64</v>
      </c>
      <c r="FZF53" s="708">
        <f t="shared" si="108"/>
        <v>2.9538725883368484E+64</v>
      </c>
      <c r="FZG53" s="708">
        <f t="shared" si="108"/>
        <v>3.0424887659869539E+64</v>
      </c>
      <c r="FZH53" s="708">
        <f t="shared" si="108"/>
        <v>3.1337634289665624E+64</v>
      </c>
      <c r="FZI53" s="708">
        <f t="shared" si="108"/>
        <v>3.2277763318355591E+64</v>
      </c>
      <c r="FZJ53" s="708">
        <f t="shared" ref="FZJ53:GBU53" si="109">FZI53*$C$53</f>
        <v>3.3246096217906261E+64</v>
      </c>
      <c r="FZK53" s="708">
        <f t="shared" si="109"/>
        <v>3.4243479104443449E+64</v>
      </c>
      <c r="FZL53" s="708">
        <f t="shared" si="109"/>
        <v>3.5270783477576752E+64</v>
      </c>
      <c r="FZM53" s="708">
        <f t="shared" si="109"/>
        <v>3.6328906981904058E+64</v>
      </c>
      <c r="FZN53" s="708">
        <f t="shared" si="109"/>
        <v>3.741877419136118E+64</v>
      </c>
      <c r="FZO53" s="708">
        <f t="shared" si="109"/>
        <v>3.8541337417102014E+64</v>
      </c>
      <c r="FZP53" s="708">
        <f t="shared" si="109"/>
        <v>3.9697577539615078E+64</v>
      </c>
      <c r="FZQ53" s="708">
        <f t="shared" si="109"/>
        <v>4.088850486580353E+64</v>
      </c>
      <c r="FZR53" s="708">
        <f t="shared" si="109"/>
        <v>4.2115160011777635E+64</v>
      </c>
      <c r="FZS53" s="708">
        <f t="shared" si="109"/>
        <v>4.3378614812130968E+64</v>
      </c>
      <c r="FZT53" s="708">
        <f t="shared" si="109"/>
        <v>4.4679973256494898E+64</v>
      </c>
      <c r="FZU53" s="708">
        <f t="shared" si="109"/>
        <v>4.6020372454189748E+64</v>
      </c>
      <c r="FZV53" s="708">
        <f t="shared" si="109"/>
        <v>4.740098362781544E+64</v>
      </c>
      <c r="FZW53" s="708">
        <f t="shared" si="109"/>
        <v>4.8823013136649906E+64</v>
      </c>
      <c r="FZX53" s="708">
        <f t="shared" si="109"/>
        <v>5.0287703530749406E+64</v>
      </c>
      <c r="FZY53" s="708">
        <f t="shared" si="109"/>
        <v>5.1796334636671887E+64</v>
      </c>
      <c r="FZZ53" s="708">
        <f t="shared" si="109"/>
        <v>5.3350224675772046E+64</v>
      </c>
      <c r="GAA53" s="708">
        <f t="shared" si="109"/>
        <v>5.4950731416045212E+64</v>
      </c>
      <c r="GAB53" s="708">
        <f t="shared" si="109"/>
        <v>5.6599253358526571E+64</v>
      </c>
      <c r="GAC53" s="708">
        <f t="shared" si="109"/>
        <v>5.8297230959282373E+64</v>
      </c>
      <c r="GAD53" s="708">
        <f t="shared" si="109"/>
        <v>6.004614788806085E+64</v>
      </c>
      <c r="GAE53" s="708">
        <f t="shared" si="109"/>
        <v>6.184753232470268E+64</v>
      </c>
      <c r="GAF53" s="708">
        <f t="shared" si="109"/>
        <v>6.3702958294443765E+64</v>
      </c>
      <c r="GAG53" s="708">
        <f t="shared" si="109"/>
        <v>6.5614047043277082E+64</v>
      </c>
      <c r="GAH53" s="708">
        <f t="shared" si="109"/>
        <v>6.7582468454575392E+64</v>
      </c>
      <c r="GAI53" s="708">
        <f t="shared" si="109"/>
        <v>6.9609942508212656E+64</v>
      </c>
      <c r="GAJ53" s="708">
        <f t="shared" si="109"/>
        <v>7.1698240783459042E+64</v>
      </c>
      <c r="GAK53" s="708">
        <f t="shared" si="109"/>
        <v>7.3849188006962819E+64</v>
      </c>
      <c r="GAL53" s="708">
        <f t="shared" si="109"/>
        <v>7.6064663647171703E+64</v>
      </c>
      <c r="GAM53" s="708">
        <f t="shared" si="109"/>
        <v>7.834660355658686E+64</v>
      </c>
      <c r="GAN53" s="708">
        <f t="shared" si="109"/>
        <v>8.0697001663284467E+64</v>
      </c>
      <c r="GAO53" s="708">
        <f t="shared" si="109"/>
        <v>8.3117911713183003E+64</v>
      </c>
      <c r="GAP53" s="708">
        <f t="shared" si="109"/>
        <v>8.5611449064578492E+64</v>
      </c>
      <c r="GAQ53" s="708">
        <f t="shared" si="109"/>
        <v>8.8179792536515853E+64</v>
      </c>
      <c r="GAR53" s="708">
        <f t="shared" si="109"/>
        <v>9.0825186312611331E+64</v>
      </c>
      <c r="GAS53" s="708">
        <f t="shared" si="109"/>
        <v>9.3549941901989678E+64</v>
      </c>
      <c r="GAT53" s="708">
        <f t="shared" si="109"/>
        <v>9.6356440159049372E+64</v>
      </c>
      <c r="GAU53" s="708">
        <f t="shared" si="109"/>
        <v>9.9247133363820855E+64</v>
      </c>
      <c r="GAV53" s="708">
        <f t="shared" si="109"/>
        <v>1.0222454736473548E+65</v>
      </c>
      <c r="GAW53" s="708">
        <f t="shared" si="109"/>
        <v>1.0529128378567755E+65</v>
      </c>
      <c r="GAX53" s="708">
        <f t="shared" si="109"/>
        <v>1.0845002229924789E+65</v>
      </c>
      <c r="GAY53" s="708">
        <f t="shared" si="109"/>
        <v>1.1170352296822533E+65</v>
      </c>
      <c r="GAZ53" s="708">
        <f t="shared" si="109"/>
        <v>1.1505462865727209E+65</v>
      </c>
      <c r="GBA53" s="708">
        <f t="shared" si="109"/>
        <v>1.1850626751699025E+65</v>
      </c>
      <c r="GBB53" s="708">
        <f t="shared" si="109"/>
        <v>1.2206145554249995E+65</v>
      </c>
      <c r="GBC53" s="708">
        <f t="shared" si="109"/>
        <v>1.2572329920877495E+65</v>
      </c>
      <c r="GBD53" s="708">
        <f t="shared" si="109"/>
        <v>1.2949499818503821E+65</v>
      </c>
      <c r="GBE53" s="708">
        <f t="shared" si="109"/>
        <v>1.3337984813058936E+65</v>
      </c>
      <c r="GBF53" s="708">
        <f t="shared" si="109"/>
        <v>1.3738124357450704E+65</v>
      </c>
      <c r="GBG53" s="708">
        <f t="shared" si="109"/>
        <v>1.4150268088174225E+65</v>
      </c>
      <c r="GBH53" s="708">
        <f t="shared" si="109"/>
        <v>1.4574776130819452E+65</v>
      </c>
      <c r="GBI53" s="708">
        <f t="shared" si="109"/>
        <v>1.5012019414744036E+65</v>
      </c>
      <c r="GBJ53" s="708">
        <f t="shared" si="109"/>
        <v>1.5462379997186359E+65</v>
      </c>
      <c r="GBK53" s="708">
        <f t="shared" si="109"/>
        <v>1.592625139710195E+65</v>
      </c>
      <c r="GBL53" s="708">
        <f t="shared" si="109"/>
        <v>1.6404038939015008E+65</v>
      </c>
      <c r="GBM53" s="708">
        <f t="shared" si="109"/>
        <v>1.6896160107185458E+65</v>
      </c>
      <c r="GBN53" s="708">
        <f t="shared" si="109"/>
        <v>1.7403044910401023E+65</v>
      </c>
      <c r="GBO53" s="708">
        <f t="shared" si="109"/>
        <v>1.7925136257713055E+65</v>
      </c>
      <c r="GBP53" s="708">
        <f t="shared" si="109"/>
        <v>1.8462890345444447E+65</v>
      </c>
      <c r="GBQ53" s="708">
        <f t="shared" si="109"/>
        <v>1.901677705580778E+65</v>
      </c>
      <c r="GBR53" s="708">
        <f t="shared" si="109"/>
        <v>1.9587280367482013E+65</v>
      </c>
      <c r="GBS53" s="708">
        <f t="shared" si="109"/>
        <v>2.0174898778506475E+65</v>
      </c>
      <c r="GBT53" s="708">
        <f t="shared" si="109"/>
        <v>2.078014574186167E+65</v>
      </c>
      <c r="GBU53" s="708">
        <f t="shared" si="109"/>
        <v>2.1403550114117522E+65</v>
      </c>
      <c r="GBV53" s="708">
        <f t="shared" ref="GBV53:GEG53" si="110">GBU53*$C$53</f>
        <v>2.204565661754105E+65</v>
      </c>
      <c r="GBW53" s="708">
        <f t="shared" si="110"/>
        <v>2.2707026316067282E+65</v>
      </c>
      <c r="GBX53" s="708">
        <f t="shared" si="110"/>
        <v>2.3388237105549302E+65</v>
      </c>
      <c r="GBY53" s="708">
        <f t="shared" si="110"/>
        <v>2.4089884218715783E+65</v>
      </c>
      <c r="GBZ53" s="708">
        <f t="shared" si="110"/>
        <v>2.4812580745277257E+65</v>
      </c>
      <c r="GCA53" s="708">
        <f t="shared" si="110"/>
        <v>2.5556958167635577E+65</v>
      </c>
      <c r="GCB53" s="708">
        <f t="shared" si="110"/>
        <v>2.6323666912664643E+65</v>
      </c>
      <c r="GCC53" s="708">
        <f t="shared" si="110"/>
        <v>2.7113376920044583E+65</v>
      </c>
      <c r="GCD53" s="708">
        <f t="shared" si="110"/>
        <v>2.792677822764592E+65</v>
      </c>
      <c r="GCE53" s="708">
        <f t="shared" si="110"/>
        <v>2.87645815744753E+65</v>
      </c>
      <c r="GCF53" s="708">
        <f t="shared" si="110"/>
        <v>2.9627519021709559E+65</v>
      </c>
      <c r="GCG53" s="708">
        <f t="shared" si="110"/>
        <v>3.0516344592360849E+65</v>
      </c>
      <c r="GCH53" s="708">
        <f t="shared" si="110"/>
        <v>3.1431834930131676E+65</v>
      </c>
      <c r="GCI53" s="708">
        <f t="shared" si="110"/>
        <v>3.2374789978035627E+65</v>
      </c>
      <c r="GCJ53" s="708">
        <f t="shared" si="110"/>
        <v>3.3346033677376694E+65</v>
      </c>
      <c r="GCK53" s="708">
        <f t="shared" si="110"/>
        <v>3.4346414687697995E+65</v>
      </c>
      <c r="GCL53" s="708">
        <f t="shared" si="110"/>
        <v>3.5376807128328937E+65</v>
      </c>
      <c r="GCM53" s="708">
        <f t="shared" si="110"/>
        <v>3.6438111342178808E+65</v>
      </c>
      <c r="GCN53" s="708">
        <f t="shared" si="110"/>
        <v>3.7531254682444174E+65</v>
      </c>
      <c r="GCO53" s="708">
        <f t="shared" si="110"/>
        <v>3.8657192322917498E+65</v>
      </c>
      <c r="GCP53" s="708">
        <f t="shared" si="110"/>
        <v>3.9816908092605023E+65</v>
      </c>
      <c r="GCQ53" s="708">
        <f t="shared" si="110"/>
        <v>4.1011415335383175E+65</v>
      </c>
      <c r="GCR53" s="708">
        <f t="shared" si="110"/>
        <v>4.2241757795444672E+65</v>
      </c>
      <c r="GCS53" s="708">
        <f t="shared" si="110"/>
        <v>4.3509010529308015E+65</v>
      </c>
      <c r="GCT53" s="708">
        <f t="shared" si="110"/>
        <v>4.4814280845187255E+65</v>
      </c>
      <c r="GCU53" s="708">
        <f t="shared" si="110"/>
        <v>4.6158709270542877E+65</v>
      </c>
      <c r="GCV53" s="708">
        <f t="shared" si="110"/>
        <v>4.7543470548659163E+65</v>
      </c>
      <c r="GCW53" s="708">
        <f t="shared" si="110"/>
        <v>4.8969774665118942E+65</v>
      </c>
      <c r="GCX53" s="708">
        <f t="shared" si="110"/>
        <v>5.0438867905072509E+65</v>
      </c>
      <c r="GCY53" s="708">
        <f t="shared" si="110"/>
        <v>5.1952033942224688E+65</v>
      </c>
      <c r="GCZ53" s="708">
        <f t="shared" si="110"/>
        <v>5.3510594960491427E+65</v>
      </c>
      <c r="GDA53" s="708">
        <f t="shared" si="110"/>
        <v>5.5115912809306175E+65</v>
      </c>
      <c r="GDB53" s="708">
        <f t="shared" si="110"/>
        <v>5.6769390193585357E+65</v>
      </c>
      <c r="GDC53" s="708">
        <f t="shared" si="110"/>
        <v>5.847247189939292E+65</v>
      </c>
      <c r="GDD53" s="708">
        <f t="shared" si="110"/>
        <v>6.0226646056374708E+65</v>
      </c>
      <c r="GDE53" s="708">
        <f t="shared" si="110"/>
        <v>6.203344543806595E+65</v>
      </c>
      <c r="GDF53" s="708">
        <f t="shared" si="110"/>
        <v>6.389444880120793E+65</v>
      </c>
      <c r="GDG53" s="708">
        <f t="shared" si="110"/>
        <v>6.5811282265244173E+65</v>
      </c>
      <c r="GDH53" s="708">
        <f t="shared" si="110"/>
        <v>6.7785620733201497E+65</v>
      </c>
      <c r="GDI53" s="708">
        <f t="shared" si="110"/>
        <v>6.9819189355197544E+65</v>
      </c>
      <c r="GDJ53" s="708">
        <f t="shared" si="110"/>
        <v>7.191376503585347E+65</v>
      </c>
      <c r="GDK53" s="708">
        <f t="shared" si="110"/>
        <v>7.4071177986929079E+65</v>
      </c>
      <c r="GDL53" s="708">
        <f t="shared" si="110"/>
        <v>7.6293313326536958E+65</v>
      </c>
      <c r="GDM53" s="708">
        <f t="shared" si="110"/>
        <v>7.8582112726333072E+65</v>
      </c>
      <c r="GDN53" s="708">
        <f t="shared" si="110"/>
        <v>8.0939576108123065E+65</v>
      </c>
      <c r="GDO53" s="708">
        <f t="shared" si="110"/>
        <v>8.3367763391366764E+65</v>
      </c>
      <c r="GDP53" s="708">
        <f t="shared" si="110"/>
        <v>8.5868796293107773E+65</v>
      </c>
      <c r="GDQ53" s="708">
        <f t="shared" si="110"/>
        <v>8.8444860181901017E+65</v>
      </c>
      <c r="GDR53" s="708">
        <f t="shared" si="110"/>
        <v>9.1098205987358046E+65</v>
      </c>
      <c r="GDS53" s="708">
        <f t="shared" si="110"/>
        <v>9.3831152166978786E+65</v>
      </c>
      <c r="GDT53" s="708">
        <f t="shared" si="110"/>
        <v>9.6646086731988149E+65</v>
      </c>
      <c r="GDU53" s="708">
        <f t="shared" si="110"/>
        <v>9.9545469333947802E+65</v>
      </c>
      <c r="GDV53" s="708">
        <f t="shared" si="110"/>
        <v>1.0253183341396623E+66</v>
      </c>
      <c r="GDW53" s="708">
        <f t="shared" si="110"/>
        <v>1.0560778841638523E+66</v>
      </c>
      <c r="GDX53" s="708">
        <f t="shared" si="110"/>
        <v>1.0877602206887679E+66</v>
      </c>
      <c r="GDY53" s="708">
        <f t="shared" si="110"/>
        <v>1.1203930273094309E+66</v>
      </c>
      <c r="GDZ53" s="708">
        <f t="shared" si="110"/>
        <v>1.1540048181287139E+66</v>
      </c>
      <c r="GEA53" s="708">
        <f t="shared" si="110"/>
        <v>1.1886249626725755E+66</v>
      </c>
      <c r="GEB53" s="708">
        <f t="shared" si="110"/>
        <v>1.2242837115527528E+66</v>
      </c>
      <c r="GEC53" s="708">
        <f t="shared" si="110"/>
        <v>1.2610122228993354E+66</v>
      </c>
      <c r="GED53" s="708">
        <f t="shared" si="110"/>
        <v>1.2988425895863156E+66</v>
      </c>
      <c r="GEE53" s="708">
        <f t="shared" si="110"/>
        <v>1.3378078672739051E+66</v>
      </c>
      <c r="GEF53" s="708">
        <f t="shared" si="110"/>
        <v>1.3779421032921223E+66</v>
      </c>
      <c r="GEG53" s="708">
        <f t="shared" si="110"/>
        <v>1.4192803663908859E+66</v>
      </c>
      <c r="GEH53" s="708">
        <f t="shared" ref="GEH53:GGS53" si="111">GEG53*$C$53</f>
        <v>1.4618587773826125E+66</v>
      </c>
      <c r="GEI53" s="708">
        <f t="shared" si="111"/>
        <v>1.5057145407040909E+66</v>
      </c>
      <c r="GEJ53" s="708">
        <f t="shared" si="111"/>
        <v>1.5508859769252137E+66</v>
      </c>
      <c r="GEK53" s="708">
        <f t="shared" si="111"/>
        <v>1.5974125562329701E+66</v>
      </c>
      <c r="GEL53" s="708">
        <f t="shared" si="111"/>
        <v>1.6453349329199592E+66</v>
      </c>
      <c r="GEM53" s="708">
        <f t="shared" si="111"/>
        <v>1.6946949809075579E+66</v>
      </c>
      <c r="GEN53" s="708">
        <f t="shared" si="111"/>
        <v>1.7455358303347848E+66</v>
      </c>
      <c r="GEO53" s="708">
        <f t="shared" si="111"/>
        <v>1.7979019052448284E+66</v>
      </c>
      <c r="GEP53" s="708">
        <f t="shared" si="111"/>
        <v>1.8518389624021733E+66</v>
      </c>
      <c r="GEQ53" s="708">
        <f t="shared" si="111"/>
        <v>1.9073941312742383E+66</v>
      </c>
      <c r="GER53" s="708">
        <f t="shared" si="111"/>
        <v>1.9646159552124654E+66</v>
      </c>
      <c r="GES53" s="708">
        <f t="shared" si="111"/>
        <v>2.0235544338688395E+66</v>
      </c>
      <c r="GET53" s="708">
        <f t="shared" si="111"/>
        <v>2.0842610668849048E+66</v>
      </c>
      <c r="GEU53" s="708">
        <f t="shared" si="111"/>
        <v>2.1467888988914521E+66</v>
      </c>
      <c r="GEV53" s="708">
        <f t="shared" si="111"/>
        <v>2.2111925658581958E+66</v>
      </c>
      <c r="GEW53" s="708">
        <f t="shared" si="111"/>
        <v>2.2775283428339417E+66</v>
      </c>
      <c r="GEX53" s="708">
        <f t="shared" si="111"/>
        <v>2.3458541931189601E+66</v>
      </c>
      <c r="GEY53" s="708">
        <f t="shared" si="111"/>
        <v>2.416229818912529E+66</v>
      </c>
      <c r="GEZ53" s="708">
        <f t="shared" si="111"/>
        <v>2.4887167134799049E+66</v>
      </c>
      <c r="GFA53" s="708">
        <f t="shared" si="111"/>
        <v>2.5633782148843022E+66</v>
      </c>
      <c r="GFB53" s="708">
        <f t="shared" si="111"/>
        <v>2.6402795613308314E+66</v>
      </c>
      <c r="GFC53" s="708">
        <f t="shared" si="111"/>
        <v>2.7194879481707565E+66</v>
      </c>
      <c r="GFD53" s="708">
        <f t="shared" si="111"/>
        <v>2.8010725866158792E+66</v>
      </c>
      <c r="GFE53" s="708">
        <f t="shared" si="111"/>
        <v>2.8851047642143557E+66</v>
      </c>
      <c r="GFF53" s="708">
        <f t="shared" si="111"/>
        <v>2.9716579071407865E+66</v>
      </c>
      <c r="GFG53" s="708">
        <f t="shared" si="111"/>
        <v>3.0608076443550102E+66</v>
      </c>
      <c r="GFH53" s="708">
        <f t="shared" si="111"/>
        <v>3.1526318736856605E+66</v>
      </c>
      <c r="GFI53" s="708">
        <f t="shared" si="111"/>
        <v>3.2472108298962303E+66</v>
      </c>
      <c r="GFJ53" s="708">
        <f t="shared" si="111"/>
        <v>3.3446271547931172E+66</v>
      </c>
      <c r="GFK53" s="708">
        <f t="shared" si="111"/>
        <v>3.4449659694369106E+66</v>
      </c>
      <c r="GFL53" s="708">
        <f t="shared" si="111"/>
        <v>3.548314948520018E+66</v>
      </c>
      <c r="GFM53" s="708">
        <f t="shared" si="111"/>
        <v>3.6547643969756188E+66</v>
      </c>
      <c r="GFN53" s="708">
        <f t="shared" si="111"/>
        <v>3.7644073288848872E+66</v>
      </c>
      <c r="GFO53" s="708">
        <f t="shared" si="111"/>
        <v>3.8773395487514336E+66</v>
      </c>
      <c r="GFP53" s="708">
        <f t="shared" si="111"/>
        <v>3.993659735213977E+66</v>
      </c>
      <c r="GFQ53" s="708">
        <f t="shared" si="111"/>
        <v>4.1134695272703964E+66</v>
      </c>
      <c r="GFR53" s="708">
        <f t="shared" si="111"/>
        <v>4.2368736130885082E+66</v>
      </c>
      <c r="GFS53" s="708">
        <f t="shared" si="111"/>
        <v>4.3639798214811636E+66</v>
      </c>
      <c r="GFT53" s="708">
        <f t="shared" si="111"/>
        <v>4.494899216125599E+66</v>
      </c>
      <c r="GFU53" s="708">
        <f t="shared" si="111"/>
        <v>4.6297461926093672E+66</v>
      </c>
      <c r="GFV53" s="708">
        <f t="shared" si="111"/>
        <v>4.768638578387648E+66</v>
      </c>
      <c r="GFW53" s="708">
        <f t="shared" si="111"/>
        <v>4.9116977357392776E+66</v>
      </c>
      <c r="GFX53" s="708">
        <f t="shared" si="111"/>
        <v>5.0590486678114557E+66</v>
      </c>
      <c r="GFY53" s="708">
        <f t="shared" si="111"/>
        <v>5.2108201278457994E+66</v>
      </c>
      <c r="GFZ53" s="708">
        <f t="shared" si="111"/>
        <v>5.3671447316811739E+66</v>
      </c>
      <c r="GGA53" s="708">
        <f t="shared" si="111"/>
        <v>5.5281590736316096E+66</v>
      </c>
      <c r="GGB53" s="708">
        <f t="shared" si="111"/>
        <v>5.694003845840558E+66</v>
      </c>
      <c r="GGC53" s="708">
        <f t="shared" si="111"/>
        <v>5.8648239612157745E+66</v>
      </c>
      <c r="GGD53" s="708">
        <f t="shared" si="111"/>
        <v>6.040768680052248E+66</v>
      </c>
      <c r="GGE53" s="708">
        <f t="shared" si="111"/>
        <v>6.2219917404538155E+66</v>
      </c>
      <c r="GGF53" s="708">
        <f t="shared" si="111"/>
        <v>6.4086514926674298E+66</v>
      </c>
      <c r="GGG53" s="708">
        <f t="shared" si="111"/>
        <v>6.600911037447453E+66</v>
      </c>
      <c r="GGH53" s="708">
        <f t="shared" si="111"/>
        <v>6.7989383685708764E+66</v>
      </c>
      <c r="GGI53" s="708">
        <f t="shared" si="111"/>
        <v>7.0029065196280022E+66</v>
      </c>
      <c r="GGJ53" s="708">
        <f t="shared" si="111"/>
        <v>7.212993715216842E+66</v>
      </c>
      <c r="GGK53" s="708">
        <f t="shared" si="111"/>
        <v>7.4293835266733476E+66</v>
      </c>
      <c r="GGL53" s="708">
        <f t="shared" si="111"/>
        <v>7.6522650324735478E+66</v>
      </c>
      <c r="GGM53" s="708">
        <f t="shared" si="111"/>
        <v>7.8818329834477549E+66</v>
      </c>
      <c r="GGN53" s="708">
        <f t="shared" si="111"/>
        <v>8.1182879729511878E+66</v>
      </c>
      <c r="GGO53" s="708">
        <f t="shared" si="111"/>
        <v>8.3618366121397237E+66</v>
      </c>
      <c r="GGP53" s="708">
        <f t="shared" si="111"/>
        <v>8.6126917105039161E+66</v>
      </c>
      <c r="GGQ53" s="708">
        <f t="shared" si="111"/>
        <v>8.8710724618190345E+66</v>
      </c>
      <c r="GGR53" s="708">
        <f t="shared" si="111"/>
        <v>9.1372046356736061E+66</v>
      </c>
      <c r="GGS53" s="708">
        <f t="shared" si="111"/>
        <v>9.4113207747438139E+66</v>
      </c>
      <c r="GGT53" s="708">
        <f t="shared" ref="GGT53:GJE53" si="112">GGS53*$C$53</f>
        <v>9.6936603979861283E+66</v>
      </c>
      <c r="GGU53" s="708">
        <f t="shared" si="112"/>
        <v>9.9844702099257122E+66</v>
      </c>
      <c r="GGV53" s="708">
        <f t="shared" si="112"/>
        <v>1.0284004316223484E+67</v>
      </c>
      <c r="GGW53" s="708">
        <f t="shared" si="112"/>
        <v>1.0592524445710189E+67</v>
      </c>
      <c r="GGX53" s="708">
        <f t="shared" si="112"/>
        <v>1.0910300179081494E+67</v>
      </c>
      <c r="GGY53" s="708">
        <f t="shared" si="112"/>
        <v>1.1237609184453939E+67</v>
      </c>
      <c r="GGZ53" s="708">
        <f t="shared" si="112"/>
        <v>1.1574737459987557E+67</v>
      </c>
      <c r="GHA53" s="708">
        <f t="shared" si="112"/>
        <v>1.1921979583787184E+67</v>
      </c>
      <c r="GHB53" s="708">
        <f t="shared" si="112"/>
        <v>1.2279638971300799E+67</v>
      </c>
      <c r="GHC53" s="708">
        <f t="shared" si="112"/>
        <v>1.2648028140439823E+67</v>
      </c>
      <c r="GHD53" s="708">
        <f t="shared" si="112"/>
        <v>1.3027468984653019E+67</v>
      </c>
      <c r="GHE53" s="708">
        <f t="shared" si="112"/>
        <v>1.3418293054192609E+67</v>
      </c>
      <c r="GHF53" s="708">
        <f t="shared" si="112"/>
        <v>1.3820841845818389E+67</v>
      </c>
      <c r="GHG53" s="708">
        <f t="shared" si="112"/>
        <v>1.423546710119294E+67</v>
      </c>
      <c r="GHH53" s="708">
        <f t="shared" si="112"/>
        <v>1.4662531114228728E+67</v>
      </c>
      <c r="GHI53" s="708">
        <f t="shared" si="112"/>
        <v>1.5102407047655591E+67</v>
      </c>
      <c r="GHJ53" s="708">
        <f t="shared" si="112"/>
        <v>1.555547925908526E+67</v>
      </c>
      <c r="GHK53" s="708">
        <f t="shared" si="112"/>
        <v>1.6022143636857817E+67</v>
      </c>
      <c r="GHL53" s="708">
        <f t="shared" si="112"/>
        <v>1.6502807945963552E+67</v>
      </c>
      <c r="GHM53" s="708">
        <f t="shared" si="112"/>
        <v>1.699789218434246E+67</v>
      </c>
      <c r="GHN53" s="708">
        <f t="shared" si="112"/>
        <v>1.7507828949872732E+67</v>
      </c>
      <c r="GHO53" s="708">
        <f t="shared" si="112"/>
        <v>1.8033063818368915E+67</v>
      </c>
      <c r="GHP53" s="708">
        <f t="shared" si="112"/>
        <v>1.8574055732919982E+67</v>
      </c>
      <c r="GHQ53" s="708">
        <f t="shared" si="112"/>
        <v>1.9131277404907581E+67</v>
      </c>
      <c r="GHR53" s="708">
        <f t="shared" si="112"/>
        <v>1.970521572705481E+67</v>
      </c>
      <c r="GHS53" s="708">
        <f t="shared" si="112"/>
        <v>2.0296372198866455E+67</v>
      </c>
      <c r="GHT53" s="708">
        <f t="shared" si="112"/>
        <v>2.0905263364832449E+67</v>
      </c>
      <c r="GHU53" s="708">
        <f t="shared" si="112"/>
        <v>2.1532421265777424E+67</v>
      </c>
      <c r="GHV53" s="708">
        <f t="shared" si="112"/>
        <v>2.2178393903750748E+67</v>
      </c>
      <c r="GHW53" s="708">
        <f t="shared" si="112"/>
        <v>2.2843745720863273E+67</v>
      </c>
      <c r="GHX53" s="708">
        <f t="shared" si="112"/>
        <v>2.3529058092489171E+67</v>
      </c>
      <c r="GHY53" s="708">
        <f t="shared" si="112"/>
        <v>2.4234929835263847E+67</v>
      </c>
      <c r="GHZ53" s="708">
        <f t="shared" si="112"/>
        <v>2.4961977730321765E+67</v>
      </c>
      <c r="GIA53" s="708">
        <f t="shared" si="112"/>
        <v>2.571083706223142E+67</v>
      </c>
      <c r="GIB53" s="708">
        <f t="shared" si="112"/>
        <v>2.6482162174098363E+67</v>
      </c>
      <c r="GIC53" s="708">
        <f t="shared" si="112"/>
        <v>2.7276627039321314E+67</v>
      </c>
      <c r="GID53" s="708">
        <f t="shared" si="112"/>
        <v>2.8094925850500956E+67</v>
      </c>
      <c r="GIE53" s="708">
        <f t="shared" si="112"/>
        <v>2.8937773626015982E+67</v>
      </c>
      <c r="GIF53" s="708">
        <f t="shared" si="112"/>
        <v>2.9805906834796463E+67</v>
      </c>
      <c r="GIG53" s="708">
        <f t="shared" si="112"/>
        <v>3.0700084039840356E+67</v>
      </c>
      <c r="GIH53" s="708">
        <f t="shared" si="112"/>
        <v>3.1621086561035566E+67</v>
      </c>
      <c r="GII53" s="708">
        <f t="shared" si="112"/>
        <v>3.2569719157866635E+67</v>
      </c>
      <c r="GIJ53" s="708">
        <f t="shared" si="112"/>
        <v>3.3546810732602632E+67</v>
      </c>
      <c r="GIK53" s="708">
        <f t="shared" si="112"/>
        <v>3.4553215054580714E+67</v>
      </c>
      <c r="GIL53" s="708">
        <f t="shared" si="112"/>
        <v>3.5589811506218137E+67</v>
      </c>
      <c r="GIM53" s="708">
        <f t="shared" si="112"/>
        <v>3.6657505851404685E+67</v>
      </c>
      <c r="GIN53" s="708">
        <f t="shared" si="112"/>
        <v>3.7757231026946825E+67</v>
      </c>
      <c r="GIO53" s="708">
        <f t="shared" si="112"/>
        <v>3.8889947957755232E+67</v>
      </c>
      <c r="GIP53" s="708">
        <f t="shared" si="112"/>
        <v>4.0056646396487888E+67</v>
      </c>
      <c r="GIQ53" s="708">
        <f t="shared" si="112"/>
        <v>4.1258345788382523E+67</v>
      </c>
      <c r="GIR53" s="708">
        <f t="shared" si="112"/>
        <v>4.2496096162034003E+67</v>
      </c>
      <c r="GIS53" s="708">
        <f t="shared" si="112"/>
        <v>4.3770979046895025E+67</v>
      </c>
      <c r="GIT53" s="708">
        <f t="shared" si="112"/>
        <v>4.5084108418301875E+67</v>
      </c>
      <c r="GIU53" s="708">
        <f t="shared" si="112"/>
        <v>4.6436631670850934E+67</v>
      </c>
      <c r="GIV53" s="708">
        <f t="shared" si="112"/>
        <v>4.7829730620976463E+67</v>
      </c>
      <c r="GIW53" s="708">
        <f t="shared" si="112"/>
        <v>4.9264622539605758E+67</v>
      </c>
      <c r="GIX53" s="708">
        <f t="shared" si="112"/>
        <v>5.0742561215793932E+67</v>
      </c>
      <c r="GIY53" s="708">
        <f t="shared" si="112"/>
        <v>5.2264838052267753E+67</v>
      </c>
      <c r="GIZ53" s="708">
        <f t="shared" si="112"/>
        <v>5.3832783193835787E+67</v>
      </c>
      <c r="GJA53" s="708">
        <f t="shared" si="112"/>
        <v>5.544776668965086E+67</v>
      </c>
      <c r="GJB53" s="708">
        <f t="shared" si="112"/>
        <v>5.7111199690340385E+67</v>
      </c>
      <c r="GJC53" s="708">
        <f t="shared" si="112"/>
        <v>5.8824535681050602E+67</v>
      </c>
      <c r="GJD53" s="708">
        <f t="shared" si="112"/>
        <v>6.0589271751482117E+67</v>
      </c>
      <c r="GJE53" s="708">
        <f t="shared" si="112"/>
        <v>6.2406949904026585E+67</v>
      </c>
      <c r="GJF53" s="708">
        <f t="shared" ref="GJF53:GLQ53" si="113">GJE53*$C$53</f>
        <v>6.4279158401147389E+67</v>
      </c>
      <c r="GJG53" s="708">
        <f t="shared" si="113"/>
        <v>6.6207533153181814E+67</v>
      </c>
      <c r="GJH53" s="708">
        <f t="shared" si="113"/>
        <v>6.8193759147777266E+67</v>
      </c>
      <c r="GJI53" s="708">
        <f t="shared" si="113"/>
        <v>7.0239571922210587E+67</v>
      </c>
      <c r="GJJ53" s="708">
        <f t="shared" si="113"/>
        <v>7.2346759079876905E+67</v>
      </c>
      <c r="GJK53" s="708">
        <f t="shared" si="113"/>
        <v>7.4517161852273209E+67</v>
      </c>
      <c r="GJL53" s="708">
        <f t="shared" si="113"/>
        <v>7.6752676707841409E+67</v>
      </c>
      <c r="GJM53" s="708">
        <f t="shared" si="113"/>
        <v>7.9055257009076649E+67</v>
      </c>
      <c r="GJN53" s="708">
        <f t="shared" si="113"/>
        <v>8.1426914719348946E+67</v>
      </c>
      <c r="GJO53" s="708">
        <f t="shared" si="113"/>
        <v>8.3869722160929415E+67</v>
      </c>
      <c r="GJP53" s="708">
        <f t="shared" si="113"/>
        <v>8.6385813825757298E+67</v>
      </c>
      <c r="GJQ53" s="708">
        <f t="shared" si="113"/>
        <v>8.8977388240530021E+67</v>
      </c>
      <c r="GJR53" s="708">
        <f t="shared" si="113"/>
        <v>9.1646709887745926E+67</v>
      </c>
      <c r="GJS53" s="708">
        <f t="shared" si="113"/>
        <v>9.4396111184378301E+67</v>
      </c>
      <c r="GJT53" s="708">
        <f t="shared" si="113"/>
        <v>9.722799451990965E+67</v>
      </c>
      <c r="GJU53" s="708">
        <f t="shared" si="113"/>
        <v>1.0014483435550694E+68</v>
      </c>
      <c r="GJV53" s="708">
        <f t="shared" si="113"/>
        <v>1.0314917938617214E+68</v>
      </c>
      <c r="GJW53" s="708">
        <f t="shared" si="113"/>
        <v>1.0624365476775731E+68</v>
      </c>
      <c r="GJX53" s="708">
        <f t="shared" si="113"/>
        <v>1.0943096441079004E+68</v>
      </c>
      <c r="GJY53" s="708">
        <f t="shared" si="113"/>
        <v>1.1271389334311374E+68</v>
      </c>
      <c r="GJZ53" s="708">
        <f t="shared" si="113"/>
        <v>1.1609531014340714E+68</v>
      </c>
      <c r="GKA53" s="708">
        <f t="shared" si="113"/>
        <v>1.1957816944770935E+68</v>
      </c>
      <c r="GKB53" s="708">
        <f t="shared" si="113"/>
        <v>1.2316551453114064E+68</v>
      </c>
      <c r="GKC53" s="708">
        <f t="shared" si="113"/>
        <v>1.2686047996707487E+68</v>
      </c>
      <c r="GKD53" s="708">
        <f t="shared" si="113"/>
        <v>1.3066629436608713E+68</v>
      </c>
      <c r="GKE53" s="708">
        <f t="shared" si="113"/>
        <v>1.3458628319706974E+68</v>
      </c>
      <c r="GKF53" s="708">
        <f t="shared" si="113"/>
        <v>1.3862387169298184E+68</v>
      </c>
      <c r="GKG53" s="708">
        <f t="shared" si="113"/>
        <v>1.427825878437713E+68</v>
      </c>
      <c r="GKH53" s="708">
        <f t="shared" si="113"/>
        <v>1.4706606547908444E+68</v>
      </c>
      <c r="GKI53" s="708">
        <f t="shared" si="113"/>
        <v>1.5147804744345699E+68</v>
      </c>
      <c r="GKJ53" s="708">
        <f t="shared" si="113"/>
        <v>1.560223888667607E+68</v>
      </c>
      <c r="GKK53" s="708">
        <f t="shared" si="113"/>
        <v>1.6070306053276353E+68</v>
      </c>
      <c r="GKL53" s="708">
        <f t="shared" si="113"/>
        <v>1.6552415234874644E+68</v>
      </c>
      <c r="GKM53" s="708">
        <f t="shared" si="113"/>
        <v>1.7048987691920883E+68</v>
      </c>
      <c r="GKN53" s="708">
        <f t="shared" si="113"/>
        <v>1.7560457322678509E+68</v>
      </c>
      <c r="GKO53" s="708">
        <f t="shared" si="113"/>
        <v>1.8087271042358864E+68</v>
      </c>
      <c r="GKP53" s="708">
        <f t="shared" si="113"/>
        <v>1.862988917362963E+68</v>
      </c>
      <c r="GKQ53" s="708">
        <f t="shared" si="113"/>
        <v>1.9188785848838521E+68</v>
      </c>
      <c r="GKR53" s="708">
        <f t="shared" si="113"/>
        <v>1.9764449424303678E+68</v>
      </c>
      <c r="GKS53" s="708">
        <f t="shared" si="113"/>
        <v>2.0357382907032788E+68</v>
      </c>
      <c r="GKT53" s="708">
        <f t="shared" si="113"/>
        <v>2.0968104394243771E+68</v>
      </c>
      <c r="GKU53" s="708">
        <f t="shared" si="113"/>
        <v>2.1597147526071086E+68</v>
      </c>
      <c r="GKV53" s="708">
        <f t="shared" si="113"/>
        <v>2.2245061951853218E+68</v>
      </c>
      <c r="GKW53" s="708">
        <f t="shared" si="113"/>
        <v>2.2912413810408817E+68</v>
      </c>
      <c r="GKX53" s="708">
        <f t="shared" si="113"/>
        <v>2.3599786224721081E+68</v>
      </c>
      <c r="GKY53" s="708">
        <f t="shared" si="113"/>
        <v>2.4307779811462712E+68</v>
      </c>
      <c r="GKZ53" s="708">
        <f t="shared" si="113"/>
        <v>2.5037013205806596E+68</v>
      </c>
      <c r="GLA53" s="708">
        <f t="shared" si="113"/>
        <v>2.5788123601980792E+68</v>
      </c>
      <c r="GLB53" s="708">
        <f t="shared" si="113"/>
        <v>2.6561767310040215E+68</v>
      </c>
      <c r="GLC53" s="708">
        <f t="shared" si="113"/>
        <v>2.7358620329341422E+68</v>
      </c>
      <c r="GLD53" s="708">
        <f t="shared" si="113"/>
        <v>2.8179378939221665E+68</v>
      </c>
      <c r="GLE53" s="708">
        <f t="shared" si="113"/>
        <v>2.9024760307398317E+68</v>
      </c>
      <c r="GLF53" s="708">
        <f t="shared" si="113"/>
        <v>2.989550311662027E+68</v>
      </c>
      <c r="GLG53" s="708">
        <f t="shared" si="113"/>
        <v>3.0792368210118877E+68</v>
      </c>
      <c r="GLH53" s="708">
        <f t="shared" si="113"/>
        <v>3.1716139256422445E+68</v>
      </c>
      <c r="GLI53" s="708">
        <f t="shared" si="113"/>
        <v>3.2667623434115119E+68</v>
      </c>
      <c r="GLJ53" s="708">
        <f t="shared" si="113"/>
        <v>3.3647652137138574E+68</v>
      </c>
      <c r="GLK53" s="708">
        <f t="shared" si="113"/>
        <v>3.465708170125273E+68</v>
      </c>
      <c r="GLL53" s="708">
        <f t="shared" si="113"/>
        <v>3.5696794152290315E+68</v>
      </c>
      <c r="GLM53" s="708">
        <f t="shared" si="113"/>
        <v>3.6767697976859024E+68</v>
      </c>
      <c r="GLN53" s="708">
        <f t="shared" si="113"/>
        <v>3.7870728916164796E+68</v>
      </c>
      <c r="GLO53" s="708">
        <f t="shared" si="113"/>
        <v>3.9006850783649742E+68</v>
      </c>
      <c r="GLP53" s="708">
        <f t="shared" si="113"/>
        <v>4.0177056307159237E+68</v>
      </c>
      <c r="GLQ53" s="708">
        <f t="shared" si="113"/>
        <v>4.1382367996374014E+68</v>
      </c>
      <c r="GLR53" s="708">
        <f t="shared" ref="GLR53:GOC53" si="114">GLQ53*$C$53</f>
        <v>4.2623839036265236E+68</v>
      </c>
      <c r="GLS53" s="708">
        <f t="shared" si="114"/>
        <v>4.3902554207353199E+68</v>
      </c>
      <c r="GLT53" s="708">
        <f t="shared" si="114"/>
        <v>4.5219630833573796E+68</v>
      </c>
      <c r="GLU53" s="708">
        <f t="shared" si="114"/>
        <v>4.6576219758581008E+68</v>
      </c>
      <c r="GLV53" s="708">
        <f t="shared" si="114"/>
        <v>4.7973506351338439E+68</v>
      </c>
      <c r="GLW53" s="708">
        <f t="shared" si="114"/>
        <v>4.941271154187859E+68</v>
      </c>
      <c r="GLX53" s="708">
        <f t="shared" si="114"/>
        <v>5.0895092888134953E+68</v>
      </c>
      <c r="GLY53" s="708">
        <f t="shared" si="114"/>
        <v>5.2421945674779006E+68</v>
      </c>
      <c r="GLZ53" s="708">
        <f t="shared" si="114"/>
        <v>5.3994604045022381E+68</v>
      </c>
      <c r="GMA53" s="708">
        <f t="shared" si="114"/>
        <v>5.5614442166373053E+68</v>
      </c>
      <c r="GMB53" s="708">
        <f t="shared" si="114"/>
        <v>5.7282875431364243E+68</v>
      </c>
      <c r="GMC53" s="708">
        <f t="shared" si="114"/>
        <v>5.9001361694305167E+68</v>
      </c>
      <c r="GMD53" s="708">
        <f t="shared" si="114"/>
        <v>6.0771402545134319E+68</v>
      </c>
      <c r="GME53" s="708">
        <f t="shared" si="114"/>
        <v>6.2594544621488349E+68</v>
      </c>
      <c r="GMF53" s="708">
        <f t="shared" si="114"/>
        <v>6.4472380960133001E+68</v>
      </c>
      <c r="GMG53" s="708">
        <f t="shared" si="114"/>
        <v>6.6406552388936989E+68</v>
      </c>
      <c r="GMH53" s="708">
        <f t="shared" si="114"/>
        <v>6.8398748960605097E+68</v>
      </c>
      <c r="GMI53" s="708">
        <f t="shared" si="114"/>
        <v>7.045071142942325E+68</v>
      </c>
      <c r="GMJ53" s="708">
        <f t="shared" si="114"/>
        <v>7.2564232772305954E+68</v>
      </c>
      <c r="GMK53" s="708">
        <f t="shared" si="114"/>
        <v>7.474115975547513E+68</v>
      </c>
      <c r="GML53" s="708">
        <f t="shared" si="114"/>
        <v>7.6983394548139386E+68</v>
      </c>
      <c r="GMM53" s="708">
        <f t="shared" si="114"/>
        <v>7.9292896384583565E+68</v>
      </c>
      <c r="GMN53" s="708">
        <f t="shared" si="114"/>
        <v>8.1671683276121069E+68</v>
      </c>
      <c r="GMO53" s="708">
        <f t="shared" si="114"/>
        <v>8.4121833774404702E+68</v>
      </c>
      <c r="GMP53" s="708">
        <f t="shared" si="114"/>
        <v>8.6645488787636843E+68</v>
      </c>
      <c r="GMQ53" s="708">
        <f t="shared" si="114"/>
        <v>8.9244853451265951E+68</v>
      </c>
      <c r="GMR53" s="708">
        <f t="shared" si="114"/>
        <v>9.1922199054803937E+68</v>
      </c>
      <c r="GMS53" s="708">
        <f t="shared" si="114"/>
        <v>9.4679865026448057E+68</v>
      </c>
      <c r="GMT53" s="708">
        <f t="shared" si="114"/>
        <v>9.7520260977241501E+68</v>
      </c>
      <c r="GMU53" s="708">
        <f t="shared" si="114"/>
        <v>1.0044586880655874E+69</v>
      </c>
      <c r="GMV53" s="708">
        <f t="shared" si="114"/>
        <v>1.0345924487075551E+69</v>
      </c>
      <c r="GMW53" s="708">
        <f t="shared" si="114"/>
        <v>1.0656302221687818E+69</v>
      </c>
      <c r="GMX53" s="708">
        <f t="shared" si="114"/>
        <v>1.0975991288338453E+69</v>
      </c>
      <c r="GMY53" s="708">
        <f t="shared" si="114"/>
        <v>1.1305271026988607E+69</v>
      </c>
      <c r="GMZ53" s="708">
        <f t="shared" si="114"/>
        <v>1.1644429157798265E+69</v>
      </c>
      <c r="GNA53" s="708">
        <f t="shared" si="114"/>
        <v>1.1993762032532213E+69</v>
      </c>
      <c r="GNB53" s="708">
        <f t="shared" si="114"/>
        <v>1.235357489350818E+69</v>
      </c>
      <c r="GNC53" s="708">
        <f t="shared" si="114"/>
        <v>1.2724182140313426E+69</v>
      </c>
      <c r="GND53" s="708">
        <f t="shared" si="114"/>
        <v>1.3105907604522828E+69</v>
      </c>
      <c r="GNE53" s="708">
        <f t="shared" si="114"/>
        <v>1.3499084832658513E+69</v>
      </c>
      <c r="GNF53" s="708">
        <f t="shared" si="114"/>
        <v>1.390405737763827E+69</v>
      </c>
      <c r="GNG53" s="708">
        <f t="shared" si="114"/>
        <v>1.4321179098967418E+69</v>
      </c>
      <c r="GNH53" s="708">
        <f t="shared" si="114"/>
        <v>1.475081447193644E+69</v>
      </c>
      <c r="GNI53" s="708">
        <f t="shared" si="114"/>
        <v>1.5193338906094534E+69</v>
      </c>
      <c r="GNJ53" s="708">
        <f t="shared" si="114"/>
        <v>1.564913907327737E+69</v>
      </c>
      <c r="GNK53" s="708">
        <f t="shared" si="114"/>
        <v>1.6118613245475691E+69</v>
      </c>
      <c r="GNL53" s="708">
        <f t="shared" si="114"/>
        <v>1.6602171642839963E+69</v>
      </c>
      <c r="GNM53" s="708">
        <f t="shared" si="114"/>
        <v>1.7100236792125162E+69</v>
      </c>
      <c r="GNN53" s="708">
        <f t="shared" si="114"/>
        <v>1.7613243895888919E+69</v>
      </c>
      <c r="GNO53" s="708">
        <f t="shared" si="114"/>
        <v>1.8141641212765586E+69</v>
      </c>
      <c r="GNP53" s="708">
        <f t="shared" si="114"/>
        <v>1.8685890449148555E+69</v>
      </c>
      <c r="GNQ53" s="708">
        <f t="shared" si="114"/>
        <v>1.9246467162623012E+69</v>
      </c>
      <c r="GNR53" s="708">
        <f t="shared" si="114"/>
        <v>1.9823861177501702E+69</v>
      </c>
      <c r="GNS53" s="708">
        <f t="shared" si="114"/>
        <v>2.0418577012826753E+69</v>
      </c>
      <c r="GNT53" s="708">
        <f t="shared" si="114"/>
        <v>2.1031134323211557E+69</v>
      </c>
      <c r="GNU53" s="708">
        <f t="shared" si="114"/>
        <v>2.1662068352907906E+69</v>
      </c>
      <c r="GNV53" s="708">
        <f t="shared" si="114"/>
        <v>2.2311930403495142E+69</v>
      </c>
      <c r="GNW53" s="708">
        <f t="shared" si="114"/>
        <v>2.2981288315599998E+69</v>
      </c>
      <c r="GNX53" s="708">
        <f t="shared" si="114"/>
        <v>2.3670726965067996E+69</v>
      </c>
      <c r="GNY53" s="708">
        <f t="shared" si="114"/>
        <v>2.4380848774020038E+69</v>
      </c>
      <c r="GNZ53" s="708">
        <f t="shared" si="114"/>
        <v>2.5112274237240638E+69</v>
      </c>
      <c r="GOA53" s="708">
        <f t="shared" si="114"/>
        <v>2.5865642464357858E+69</v>
      </c>
      <c r="GOB53" s="708">
        <f t="shared" si="114"/>
        <v>2.6641611738288594E+69</v>
      </c>
      <c r="GOC53" s="708">
        <f t="shared" si="114"/>
        <v>2.7440860090437253E+69</v>
      </c>
      <c r="GOD53" s="708">
        <f t="shared" ref="GOD53:GQO53" si="115">GOC53*$C$53</f>
        <v>2.826408589315037E+69</v>
      </c>
      <c r="GOE53" s="708">
        <f t="shared" si="115"/>
        <v>2.9112008469944882E+69</v>
      </c>
      <c r="GOF53" s="708">
        <f t="shared" si="115"/>
        <v>2.9985368724043229E+69</v>
      </c>
      <c r="GOG53" s="708">
        <f t="shared" si="115"/>
        <v>3.0884929785764526E+69</v>
      </c>
      <c r="GOH53" s="708">
        <f t="shared" si="115"/>
        <v>3.1811477679337462E+69</v>
      </c>
      <c r="GOI53" s="708">
        <f t="shared" si="115"/>
        <v>3.2765822009717589E+69</v>
      </c>
      <c r="GOJ53" s="708">
        <f t="shared" si="115"/>
        <v>3.3748796670009118E+69</v>
      </c>
      <c r="GOK53" s="708">
        <f t="shared" si="115"/>
        <v>3.4761260570109391E+69</v>
      </c>
      <c r="GOL53" s="708">
        <f t="shared" si="115"/>
        <v>3.5804098387212677E+69</v>
      </c>
      <c r="GOM53" s="708">
        <f t="shared" si="115"/>
        <v>3.6878221338829061E+69</v>
      </c>
      <c r="GON53" s="708">
        <f t="shared" si="115"/>
        <v>3.7984567978993934E+69</v>
      </c>
      <c r="GOO53" s="708">
        <f t="shared" si="115"/>
        <v>3.9124105018363754E+69</v>
      </c>
      <c r="GOP53" s="708">
        <f t="shared" si="115"/>
        <v>4.0297828168914671E+69</v>
      </c>
      <c r="GOQ53" s="708">
        <f t="shared" si="115"/>
        <v>4.1506763013982115E+69</v>
      </c>
      <c r="GOR53" s="708">
        <f t="shared" si="115"/>
        <v>4.2751965904401578E+69</v>
      </c>
      <c r="GOS53" s="708">
        <f t="shared" si="115"/>
        <v>4.4034524881533623E+69</v>
      </c>
      <c r="GOT53" s="708">
        <f t="shared" si="115"/>
        <v>4.5355560627979631E+69</v>
      </c>
      <c r="GOU53" s="708">
        <f t="shared" si="115"/>
        <v>4.6716227446819019E+69</v>
      </c>
      <c r="GOV53" s="708">
        <f t="shared" si="115"/>
        <v>4.8117714270223589E+69</v>
      </c>
      <c r="GOW53" s="708">
        <f t="shared" si="115"/>
        <v>4.9561245698330298E+69</v>
      </c>
      <c r="GOX53" s="708">
        <f t="shared" si="115"/>
        <v>5.1048083069280212E+69</v>
      </c>
      <c r="GOY53" s="708">
        <f t="shared" si="115"/>
        <v>5.2579525561358623E+69</v>
      </c>
      <c r="GOZ53" s="708">
        <f t="shared" si="115"/>
        <v>5.4156911328199384E+69</v>
      </c>
      <c r="GPA53" s="708">
        <f t="shared" si="115"/>
        <v>5.5781618668045369E+69</v>
      </c>
      <c r="GPB53" s="708">
        <f t="shared" si="115"/>
        <v>5.7455067228086731E+69</v>
      </c>
      <c r="GPC53" s="708">
        <f t="shared" si="115"/>
        <v>5.9178719244929334E+69</v>
      </c>
      <c r="GPD53" s="708">
        <f t="shared" si="115"/>
        <v>6.0954080822277217E+69</v>
      </c>
      <c r="GPE53" s="708">
        <f t="shared" si="115"/>
        <v>6.2782703246945532E+69</v>
      </c>
      <c r="GPF53" s="708">
        <f t="shared" si="115"/>
        <v>6.4666184344353901E+69</v>
      </c>
      <c r="GPG53" s="708">
        <f t="shared" si="115"/>
        <v>6.6606169874684517E+69</v>
      </c>
      <c r="GPH53" s="708">
        <f t="shared" si="115"/>
        <v>6.8604354970925055E+69</v>
      </c>
      <c r="GPI53" s="708">
        <f t="shared" si="115"/>
        <v>7.0662485620052811E+69</v>
      </c>
      <c r="GPJ53" s="708">
        <f t="shared" si="115"/>
        <v>7.2782360188654401E+69</v>
      </c>
      <c r="GPK53" s="708">
        <f t="shared" si="115"/>
        <v>7.4965830994314028E+69</v>
      </c>
      <c r="GPL53" s="708">
        <f t="shared" si="115"/>
        <v>7.7214805924143451E+69</v>
      </c>
      <c r="GPM53" s="708">
        <f t="shared" si="115"/>
        <v>7.953125010186776E+69</v>
      </c>
      <c r="GPN53" s="708">
        <f t="shared" si="115"/>
        <v>8.1917187604923796E+69</v>
      </c>
      <c r="GPO53" s="708">
        <f t="shared" si="115"/>
        <v>8.4374703233071514E+69</v>
      </c>
      <c r="GPP53" s="708">
        <f t="shared" si="115"/>
        <v>8.6905944330063654E+69</v>
      </c>
      <c r="GPQ53" s="708">
        <f t="shared" si="115"/>
        <v>8.9513122659965569E+69</v>
      </c>
      <c r="GPR53" s="708">
        <f t="shared" si="115"/>
        <v>9.2198516339764537E+69</v>
      </c>
      <c r="GPS53" s="708">
        <f t="shared" si="115"/>
        <v>9.496447182995747E+69</v>
      </c>
      <c r="GPT53" s="708">
        <f t="shared" si="115"/>
        <v>9.7813405984856203E+69</v>
      </c>
      <c r="GPU53" s="708">
        <f t="shared" si="115"/>
        <v>1.0074780816440189E+70</v>
      </c>
      <c r="GPV53" s="708">
        <f t="shared" si="115"/>
        <v>1.0377024240933395E+70</v>
      </c>
      <c r="GPW53" s="708">
        <f t="shared" si="115"/>
        <v>1.0688334968161397E+70</v>
      </c>
      <c r="GPX53" s="708">
        <f t="shared" si="115"/>
        <v>1.1008985017206238E+70</v>
      </c>
      <c r="GPY53" s="708">
        <f t="shared" si="115"/>
        <v>1.1339254567722425E+70</v>
      </c>
      <c r="GPZ53" s="708">
        <f t="shared" si="115"/>
        <v>1.1679432204754099E+70</v>
      </c>
      <c r="GQA53" s="708">
        <f t="shared" si="115"/>
        <v>1.2029815170896723E+70</v>
      </c>
      <c r="GQB53" s="708">
        <f t="shared" si="115"/>
        <v>1.2390709626023625E+70</v>
      </c>
      <c r="GQC53" s="708">
        <f t="shared" si="115"/>
        <v>1.2762430914804334E+70</v>
      </c>
      <c r="GQD53" s="708">
        <f t="shared" si="115"/>
        <v>1.3145303842248465E+70</v>
      </c>
      <c r="GQE53" s="708">
        <f t="shared" si="115"/>
        <v>1.3539662957515919E+70</v>
      </c>
      <c r="GQF53" s="708">
        <f t="shared" si="115"/>
        <v>1.3945852846241396E+70</v>
      </c>
      <c r="GQG53" s="708">
        <f t="shared" si="115"/>
        <v>1.436422843162864E+70</v>
      </c>
      <c r="GQH53" s="708">
        <f t="shared" si="115"/>
        <v>1.47951552845775E+70</v>
      </c>
      <c r="GQI53" s="708">
        <f t="shared" si="115"/>
        <v>1.5239009943114824E+70</v>
      </c>
      <c r="GQJ53" s="708">
        <f t="shared" si="115"/>
        <v>1.5696180241408269E+70</v>
      </c>
      <c r="GQK53" s="708">
        <f t="shared" si="115"/>
        <v>1.6167065648650517E+70</v>
      </c>
      <c r="GQL53" s="708">
        <f t="shared" si="115"/>
        <v>1.6652077618110032E+70</v>
      </c>
      <c r="GQM53" s="708">
        <f t="shared" si="115"/>
        <v>1.7151639946653335E+70</v>
      </c>
      <c r="GQN53" s="708">
        <f t="shared" si="115"/>
        <v>1.7666189145052936E+70</v>
      </c>
      <c r="GQO53" s="708">
        <f t="shared" si="115"/>
        <v>1.8196174819404526E+70</v>
      </c>
      <c r="GQP53" s="708">
        <f t="shared" ref="GQP53:GTA53" si="116">GQO53*$C$53</f>
        <v>1.8742060063986662E+70</v>
      </c>
      <c r="GQQ53" s="708">
        <f t="shared" si="116"/>
        <v>1.9304321865906261E+70</v>
      </c>
      <c r="GQR53" s="708">
        <f t="shared" si="116"/>
        <v>1.988345152188345E+70</v>
      </c>
      <c r="GQS53" s="708">
        <f t="shared" si="116"/>
        <v>2.0479955067539953E+70</v>
      </c>
      <c r="GQT53" s="708">
        <f t="shared" si="116"/>
        <v>2.1094353719566151E+70</v>
      </c>
      <c r="GQU53" s="708">
        <f t="shared" si="116"/>
        <v>2.1727184331153137E+70</v>
      </c>
      <c r="GQV53" s="708">
        <f t="shared" si="116"/>
        <v>2.2378999861087732E+70</v>
      </c>
      <c r="GQW53" s="708">
        <f t="shared" si="116"/>
        <v>2.3050369856920364E+70</v>
      </c>
      <c r="GQX53" s="708">
        <f t="shared" si="116"/>
        <v>2.3741880952627976E+70</v>
      </c>
      <c r="GQY53" s="708">
        <f t="shared" si="116"/>
        <v>2.4454137381206817E+70</v>
      </c>
      <c r="GQZ53" s="708">
        <f t="shared" si="116"/>
        <v>2.5187761502643022E+70</v>
      </c>
      <c r="GRA53" s="708">
        <f t="shared" si="116"/>
        <v>2.5943394347722314E+70</v>
      </c>
      <c r="GRB53" s="708">
        <f t="shared" si="116"/>
        <v>2.6721696178153983E+70</v>
      </c>
      <c r="GRC53" s="708">
        <f t="shared" si="116"/>
        <v>2.7523347063498602E+70</v>
      </c>
      <c r="GRD53" s="708">
        <f t="shared" si="116"/>
        <v>2.8349047475403563E+70</v>
      </c>
      <c r="GRE53" s="708">
        <f t="shared" si="116"/>
        <v>2.919951889966567E+70</v>
      </c>
      <c r="GRF53" s="708">
        <f t="shared" si="116"/>
        <v>3.0075504466655642E+70</v>
      </c>
      <c r="GRG53" s="708">
        <f t="shared" si="116"/>
        <v>3.097776960065531E+70</v>
      </c>
      <c r="GRH53" s="708">
        <f t="shared" si="116"/>
        <v>3.1907102688674971E+70</v>
      </c>
      <c r="GRI53" s="708">
        <f t="shared" si="116"/>
        <v>3.286431576933522E+70</v>
      </c>
      <c r="GRJ53" s="708">
        <f t="shared" si="116"/>
        <v>3.3850245242415276E+70</v>
      </c>
      <c r="GRK53" s="708">
        <f t="shared" si="116"/>
        <v>3.4865752599687737E+70</v>
      </c>
      <c r="GRL53" s="708">
        <f t="shared" si="116"/>
        <v>3.5911725177678368E+70</v>
      </c>
      <c r="GRM53" s="708">
        <f t="shared" si="116"/>
        <v>3.698907693300872E+70</v>
      </c>
      <c r="GRN53" s="708">
        <f t="shared" si="116"/>
        <v>3.809874924099898E+70</v>
      </c>
      <c r="GRO53" s="708">
        <f t="shared" si="116"/>
        <v>3.9241711718228952E+70</v>
      </c>
      <c r="GRP53" s="708">
        <f t="shared" si="116"/>
        <v>4.041896306977582E+70</v>
      </c>
      <c r="GRQ53" s="708">
        <f t="shared" si="116"/>
        <v>4.1631531961869097E+70</v>
      </c>
      <c r="GRR53" s="708">
        <f t="shared" si="116"/>
        <v>4.2880477920725171E+70</v>
      </c>
      <c r="GRS53" s="708">
        <f t="shared" si="116"/>
        <v>4.4166892258346926E+70</v>
      </c>
      <c r="GRT53" s="708">
        <f t="shared" si="116"/>
        <v>4.5491899026097337E+70</v>
      </c>
      <c r="GRU53" s="708">
        <f t="shared" si="116"/>
        <v>4.6856655996880257E+70</v>
      </c>
      <c r="GRV53" s="708">
        <f t="shared" si="116"/>
        <v>4.8262355676786668E+70</v>
      </c>
      <c r="GRW53" s="708">
        <f t="shared" si="116"/>
        <v>4.9710226347090271E+70</v>
      </c>
      <c r="GRX53" s="708">
        <f t="shared" si="116"/>
        <v>5.1201533137502982E+70</v>
      </c>
      <c r="GRY53" s="708">
        <f t="shared" si="116"/>
        <v>5.2737579131628071E+70</v>
      </c>
      <c r="GRZ53" s="708">
        <f t="shared" si="116"/>
        <v>5.4319706505576915E+70</v>
      </c>
      <c r="GSA53" s="708">
        <f t="shared" si="116"/>
        <v>5.5949297700744221E+70</v>
      </c>
      <c r="GSB53" s="708">
        <f t="shared" si="116"/>
        <v>5.7627776631766545E+70</v>
      </c>
      <c r="GSC53" s="708">
        <f t="shared" si="116"/>
        <v>5.9356609930719545E+70</v>
      </c>
      <c r="GSD53" s="708">
        <f t="shared" si="116"/>
        <v>6.1137308228641135E+70</v>
      </c>
      <c r="GSE53" s="708">
        <f t="shared" si="116"/>
        <v>6.2971427475500368E+70</v>
      </c>
      <c r="GSF53" s="708">
        <f t="shared" si="116"/>
        <v>6.4860570299765381E+70</v>
      </c>
      <c r="GSG53" s="708">
        <f t="shared" si="116"/>
        <v>6.6806387408758345E+70</v>
      </c>
      <c r="GSH53" s="708">
        <f t="shared" si="116"/>
        <v>6.8810579031021093E+70</v>
      </c>
      <c r="GSI53" s="708">
        <f t="shared" si="116"/>
        <v>7.0874896401951728E+70</v>
      </c>
      <c r="GSJ53" s="708">
        <f t="shared" si="116"/>
        <v>7.3001143294010285E+70</v>
      </c>
      <c r="GSK53" s="708">
        <f t="shared" si="116"/>
        <v>7.5191177592830591E+70</v>
      </c>
      <c r="GSL53" s="708">
        <f t="shared" si="116"/>
        <v>7.7446912920615509E+70</v>
      </c>
      <c r="GSM53" s="708">
        <f t="shared" si="116"/>
        <v>7.9770320308233982E+70</v>
      </c>
      <c r="GSN53" s="708">
        <f t="shared" si="116"/>
        <v>8.2163429917480998E+70</v>
      </c>
      <c r="GSO53" s="708">
        <f t="shared" si="116"/>
        <v>8.4628332815005436E+70</v>
      </c>
      <c r="GSP53" s="708">
        <f t="shared" si="116"/>
        <v>8.71671827994556E+70</v>
      </c>
      <c r="GSQ53" s="708">
        <f t="shared" si="116"/>
        <v>8.9782198283439275E+70</v>
      </c>
      <c r="GSR53" s="708">
        <f t="shared" si="116"/>
        <v>9.2475664231942454E+70</v>
      </c>
      <c r="GSS53" s="708">
        <f t="shared" si="116"/>
        <v>9.5249934158900734E+70</v>
      </c>
      <c r="GST53" s="708">
        <f t="shared" si="116"/>
        <v>9.8107432183667754E+70</v>
      </c>
      <c r="GSU53" s="708">
        <f t="shared" si="116"/>
        <v>1.0105065514917779E+71</v>
      </c>
      <c r="GSV53" s="708">
        <f t="shared" si="116"/>
        <v>1.0408217480365313E+71</v>
      </c>
      <c r="GSW53" s="708">
        <f t="shared" si="116"/>
        <v>1.0720464004776273E+71</v>
      </c>
      <c r="GSX53" s="708">
        <f t="shared" si="116"/>
        <v>1.1042077924919561E+71</v>
      </c>
      <c r="GSY53" s="708">
        <f t="shared" si="116"/>
        <v>1.1373340262667148E+71</v>
      </c>
      <c r="GSZ53" s="708">
        <f t="shared" si="116"/>
        <v>1.1714540470547164E+71</v>
      </c>
      <c r="GTA53" s="708">
        <f t="shared" si="116"/>
        <v>1.206597668466358E+71</v>
      </c>
      <c r="GTB53" s="708">
        <f t="shared" ref="GTB53:GVM53" si="117">GTA53*$C$53</f>
        <v>1.2427955985203488E+71</v>
      </c>
      <c r="GTC53" s="708">
        <f t="shared" si="117"/>
        <v>1.2800794664759594E+71</v>
      </c>
      <c r="GTD53" s="708">
        <f t="shared" si="117"/>
        <v>1.3184818504702382E+71</v>
      </c>
      <c r="GTE53" s="708">
        <f t="shared" si="117"/>
        <v>1.3580363059843455E+71</v>
      </c>
      <c r="GTF53" s="708">
        <f t="shared" si="117"/>
        <v>1.398777395163876E+71</v>
      </c>
      <c r="GTG53" s="708">
        <f t="shared" si="117"/>
        <v>1.4407407170187923E+71</v>
      </c>
      <c r="GTH53" s="708">
        <f t="shared" si="117"/>
        <v>1.4839629385293561E+71</v>
      </c>
      <c r="GTI53" s="708">
        <f t="shared" si="117"/>
        <v>1.5284818266852367E+71</v>
      </c>
      <c r="GTJ53" s="708">
        <f t="shared" si="117"/>
        <v>1.5743362814857939E+71</v>
      </c>
      <c r="GTK53" s="708">
        <f t="shared" si="117"/>
        <v>1.6215663699303678E+71</v>
      </c>
      <c r="GTL53" s="708">
        <f t="shared" si="117"/>
        <v>1.6702133610282789E+71</v>
      </c>
      <c r="GTM53" s="708">
        <f t="shared" si="117"/>
        <v>1.7203197618591274E+71</v>
      </c>
      <c r="GTN53" s="708">
        <f t="shared" si="117"/>
        <v>1.7719293547149013E+71</v>
      </c>
      <c r="GTO53" s="708">
        <f t="shared" si="117"/>
        <v>1.8250872353563483E+71</v>
      </c>
      <c r="GTP53" s="708">
        <f t="shared" si="117"/>
        <v>1.8798398524170388E+71</v>
      </c>
      <c r="GTQ53" s="708">
        <f t="shared" si="117"/>
        <v>1.9362350479895501E+71</v>
      </c>
      <c r="GTR53" s="708">
        <f t="shared" si="117"/>
        <v>1.9943220994292366E+71</v>
      </c>
      <c r="GTS53" s="708">
        <f t="shared" si="117"/>
        <v>2.0541517624121138E+71</v>
      </c>
      <c r="GTT53" s="708">
        <f t="shared" si="117"/>
        <v>2.1157763152844773E+71</v>
      </c>
      <c r="GTU53" s="708">
        <f t="shared" si="117"/>
        <v>2.1792496047430116E+71</v>
      </c>
      <c r="GTV53" s="708">
        <f t="shared" si="117"/>
        <v>2.2446270928853022E+71</v>
      </c>
      <c r="GTW53" s="708">
        <f t="shared" si="117"/>
        <v>2.3119659056718612E+71</v>
      </c>
      <c r="GTX53" s="708">
        <f t="shared" si="117"/>
        <v>2.3813248828420173E+71</v>
      </c>
      <c r="GTY53" s="708">
        <f t="shared" si="117"/>
        <v>2.452764629327278E+71</v>
      </c>
      <c r="GTZ53" s="708">
        <f t="shared" si="117"/>
        <v>2.5263475682070963E+71</v>
      </c>
      <c r="GUA53" s="708">
        <f t="shared" si="117"/>
        <v>2.6021379952533093E+71</v>
      </c>
      <c r="GUB53" s="708">
        <f t="shared" si="117"/>
        <v>2.6802021351109086E+71</v>
      </c>
      <c r="GUC53" s="708">
        <f t="shared" si="117"/>
        <v>2.7606081991642361E+71</v>
      </c>
      <c r="GUD53" s="708">
        <f t="shared" si="117"/>
        <v>2.8434264451391633E+71</v>
      </c>
      <c r="GUE53" s="708">
        <f t="shared" si="117"/>
        <v>2.9287292384933382E+71</v>
      </c>
      <c r="GUF53" s="708">
        <f t="shared" si="117"/>
        <v>3.0165911156481386E+71</v>
      </c>
      <c r="GUG53" s="708">
        <f t="shared" si="117"/>
        <v>3.1070888491175828E+71</v>
      </c>
      <c r="GUH53" s="708">
        <f t="shared" si="117"/>
        <v>3.2003015145911103E+71</v>
      </c>
      <c r="GUI53" s="708">
        <f t="shared" si="117"/>
        <v>3.2963105600288435E+71</v>
      </c>
      <c r="GUJ53" s="708">
        <f t="shared" si="117"/>
        <v>3.3951998768297091E+71</v>
      </c>
      <c r="GUK53" s="708">
        <f t="shared" si="117"/>
        <v>3.4970558731346004E+71</v>
      </c>
      <c r="GUL53" s="708">
        <f t="shared" si="117"/>
        <v>3.6019675493286388E+71</v>
      </c>
      <c r="GUM53" s="708">
        <f t="shared" si="117"/>
        <v>3.7100265758084978E+71</v>
      </c>
      <c r="GUN53" s="708">
        <f t="shared" si="117"/>
        <v>3.8213273730827529E+71</v>
      </c>
      <c r="GUO53" s="708">
        <f t="shared" si="117"/>
        <v>3.9359671942752356E+71</v>
      </c>
      <c r="GUP53" s="708">
        <f t="shared" si="117"/>
        <v>4.0540462101034928E+71</v>
      </c>
      <c r="GUQ53" s="708">
        <f t="shared" si="117"/>
        <v>4.1756675964065975E+71</v>
      </c>
      <c r="GUR53" s="708">
        <f t="shared" si="117"/>
        <v>4.3009376242987957E+71</v>
      </c>
      <c r="GUS53" s="708">
        <f t="shared" si="117"/>
        <v>4.4299657530277594E+71</v>
      </c>
      <c r="GUT53" s="708">
        <f t="shared" si="117"/>
        <v>4.5628647256185919E+71</v>
      </c>
      <c r="GUU53" s="708">
        <f t="shared" si="117"/>
        <v>4.6997506673871498E+71</v>
      </c>
      <c r="GUV53" s="708">
        <f t="shared" si="117"/>
        <v>4.8407431874087641E+71</v>
      </c>
      <c r="GUW53" s="708">
        <f t="shared" si="117"/>
        <v>4.9859654830310268E+71</v>
      </c>
      <c r="GUX53" s="708">
        <f t="shared" si="117"/>
        <v>5.1355444475219577E+71</v>
      </c>
      <c r="GUY53" s="708">
        <f t="shared" si="117"/>
        <v>5.289610780947617E+71</v>
      </c>
      <c r="GUZ53" s="708">
        <f t="shared" si="117"/>
        <v>5.4482991043760456E+71</v>
      </c>
      <c r="GVA53" s="708">
        <f t="shared" si="117"/>
        <v>5.611748077507327E+71</v>
      </c>
      <c r="GVB53" s="708">
        <f t="shared" si="117"/>
        <v>5.7801005198325466E+71</v>
      </c>
      <c r="GVC53" s="708">
        <f t="shared" si="117"/>
        <v>5.9535035354275229E+71</v>
      </c>
      <c r="GVD53" s="708">
        <f t="shared" si="117"/>
        <v>6.1321086414903491E+71</v>
      </c>
      <c r="GVE53" s="708">
        <f t="shared" si="117"/>
        <v>6.3160719007350598E+71</v>
      </c>
      <c r="GVF53" s="708">
        <f t="shared" si="117"/>
        <v>6.5055540577571123E+71</v>
      </c>
      <c r="GVG53" s="708">
        <f t="shared" si="117"/>
        <v>6.7007206794898257E+71</v>
      </c>
      <c r="GVH53" s="708">
        <f t="shared" si="117"/>
        <v>6.9017422998745202E+71</v>
      </c>
      <c r="GVI53" s="708">
        <f t="shared" si="117"/>
        <v>7.1087945688707557E+71</v>
      </c>
      <c r="GVJ53" s="708">
        <f t="shared" si="117"/>
        <v>7.3220584059368785E+71</v>
      </c>
      <c r="GVK53" s="708">
        <f t="shared" si="117"/>
        <v>7.5417201581149854E+71</v>
      </c>
      <c r="GVL53" s="708">
        <f t="shared" si="117"/>
        <v>7.7679717628584351E+71</v>
      </c>
      <c r="GVM53" s="708">
        <f t="shared" si="117"/>
        <v>8.0010109157441888E+71</v>
      </c>
      <c r="GVN53" s="708">
        <f t="shared" ref="GVN53:GXY53" si="118">GVM53*$C$53</f>
        <v>8.2410412432165147E+71</v>
      </c>
      <c r="GVO53" s="708">
        <f t="shared" si="118"/>
        <v>8.4882724805130107E+71</v>
      </c>
      <c r="GVP53" s="708">
        <f t="shared" si="118"/>
        <v>8.7429206549284013E+71</v>
      </c>
      <c r="GVQ53" s="708">
        <f t="shared" si="118"/>
        <v>9.0052082745762532E+71</v>
      </c>
      <c r="GVR53" s="708">
        <f t="shared" si="118"/>
        <v>9.275364522813542E+71</v>
      </c>
      <c r="GVS53" s="708">
        <f t="shared" si="118"/>
        <v>9.5536254584979482E+71</v>
      </c>
      <c r="GVT53" s="708">
        <f t="shared" si="118"/>
        <v>9.8402342222528874E+71</v>
      </c>
      <c r="GVU53" s="708">
        <f t="shared" si="118"/>
        <v>1.0135441248920474E+72</v>
      </c>
      <c r="GVV53" s="708">
        <f t="shared" si="118"/>
        <v>1.0439504486388088E+72</v>
      </c>
      <c r="GVW53" s="708">
        <f t="shared" si="118"/>
        <v>1.0752689620979732E+72</v>
      </c>
      <c r="GVX53" s="708">
        <f t="shared" si="118"/>
        <v>1.1075270309609124E+72</v>
      </c>
      <c r="GVY53" s="708">
        <f t="shared" si="118"/>
        <v>1.1407528418897399E+72</v>
      </c>
      <c r="GVZ53" s="708">
        <f t="shared" si="118"/>
        <v>1.1749754271464322E+72</v>
      </c>
      <c r="GWA53" s="708">
        <f t="shared" si="118"/>
        <v>1.2102246899608252E+72</v>
      </c>
      <c r="GWB53" s="708">
        <f t="shared" si="118"/>
        <v>1.2465314306596501E+72</v>
      </c>
      <c r="GWC53" s="708">
        <f t="shared" si="118"/>
        <v>1.2839273735794396E+72</v>
      </c>
      <c r="GWD53" s="708">
        <f t="shared" si="118"/>
        <v>1.3224451947868227E+72</v>
      </c>
      <c r="GWE53" s="708">
        <f t="shared" si="118"/>
        <v>1.3621185506304273E+72</v>
      </c>
      <c r="GWF53" s="708">
        <f t="shared" si="118"/>
        <v>1.4029821071493401E+72</v>
      </c>
      <c r="GWG53" s="708">
        <f t="shared" si="118"/>
        <v>1.4450715703638203E+72</v>
      </c>
      <c r="GWH53" s="708">
        <f t="shared" si="118"/>
        <v>1.4884237174747349E+72</v>
      </c>
      <c r="GWI53" s="708">
        <f t="shared" si="118"/>
        <v>1.533076428998977E+72</v>
      </c>
      <c r="GWJ53" s="708">
        <f t="shared" si="118"/>
        <v>1.5790687218689463E+72</v>
      </c>
      <c r="GWK53" s="708">
        <f t="shared" si="118"/>
        <v>1.6264407835250147E+72</v>
      </c>
      <c r="GWL53" s="708">
        <f t="shared" si="118"/>
        <v>1.6752340070307653E+72</v>
      </c>
      <c r="GWM53" s="708">
        <f t="shared" si="118"/>
        <v>1.7254910272416882E+72</v>
      </c>
      <c r="GWN53" s="708">
        <f t="shared" si="118"/>
        <v>1.7772557580589388E+72</v>
      </c>
      <c r="GWO53" s="708">
        <f t="shared" si="118"/>
        <v>1.830573430800707E+72</v>
      </c>
      <c r="GWP53" s="708">
        <f t="shared" si="118"/>
        <v>1.8854906337247281E+72</v>
      </c>
      <c r="GWQ53" s="708">
        <f t="shared" si="118"/>
        <v>1.9420553527364701E+72</v>
      </c>
      <c r="GWR53" s="708">
        <f t="shared" si="118"/>
        <v>2.0003170133185643E+72</v>
      </c>
      <c r="GWS53" s="708">
        <f t="shared" si="118"/>
        <v>2.0603265237181214E+72</v>
      </c>
      <c r="GWT53" s="708">
        <f t="shared" si="118"/>
        <v>2.1221363194296649E+72</v>
      </c>
      <c r="GWU53" s="708">
        <f t="shared" si="118"/>
        <v>2.1858004090125549E+72</v>
      </c>
      <c r="GWV53" s="708">
        <f t="shared" si="118"/>
        <v>2.2513744212829317E+72</v>
      </c>
      <c r="GWW53" s="708">
        <f t="shared" si="118"/>
        <v>2.3189156539214198E+72</v>
      </c>
      <c r="GWX53" s="708">
        <f t="shared" si="118"/>
        <v>2.3884831235390626E+72</v>
      </c>
      <c r="GWY53" s="708">
        <f t="shared" si="118"/>
        <v>2.4601376172452346E+72</v>
      </c>
      <c r="GWZ53" s="708">
        <f t="shared" si="118"/>
        <v>2.5339417457625915E+72</v>
      </c>
      <c r="GXA53" s="708">
        <f t="shared" si="118"/>
        <v>2.6099599981354692E+72</v>
      </c>
      <c r="GXB53" s="708">
        <f t="shared" si="118"/>
        <v>2.6882587980795335E+72</v>
      </c>
      <c r="GXC53" s="708">
        <f t="shared" si="118"/>
        <v>2.7689065620219197E+72</v>
      </c>
      <c r="GXD53" s="708">
        <f t="shared" si="118"/>
        <v>2.8519737588825773E+72</v>
      </c>
      <c r="GXE53" s="708">
        <f t="shared" si="118"/>
        <v>2.9375329716490547E+72</v>
      </c>
      <c r="GXF53" s="708">
        <f t="shared" si="118"/>
        <v>3.0256589607985263E+72</v>
      </c>
      <c r="GXG53" s="708">
        <f t="shared" si="118"/>
        <v>3.1164287296224822E+72</v>
      </c>
      <c r="GXH53" s="708">
        <f t="shared" si="118"/>
        <v>3.209921591511157E+72</v>
      </c>
      <c r="GXI53" s="708">
        <f t="shared" si="118"/>
        <v>3.3062192392564917E+72</v>
      </c>
      <c r="GXJ53" s="708">
        <f t="shared" si="118"/>
        <v>3.4054058164341867E+72</v>
      </c>
      <c r="GXK53" s="708">
        <f t="shared" si="118"/>
        <v>3.5075679909272123E+72</v>
      </c>
      <c r="GXL53" s="708">
        <f t="shared" si="118"/>
        <v>3.6127950306550287E+72</v>
      </c>
      <c r="GXM53" s="708">
        <f t="shared" si="118"/>
        <v>3.7211788815746795E+72</v>
      </c>
      <c r="GXN53" s="708">
        <f t="shared" si="118"/>
        <v>3.8328142480219202E+72</v>
      </c>
      <c r="GXO53" s="708">
        <f t="shared" si="118"/>
        <v>3.9477986754625782E+72</v>
      </c>
      <c r="GXP53" s="708">
        <f t="shared" si="118"/>
        <v>4.0662326357264554E+72</v>
      </c>
      <c r="GXQ53" s="708">
        <f t="shared" si="118"/>
        <v>4.1882196147982494E+72</v>
      </c>
      <c r="GXR53" s="708">
        <f t="shared" si="118"/>
        <v>4.3138662032421971E+72</v>
      </c>
      <c r="GXS53" s="708">
        <f t="shared" si="118"/>
        <v>4.4432821893394635E+72</v>
      </c>
      <c r="GXT53" s="708">
        <f t="shared" si="118"/>
        <v>4.5765806550196472E+72</v>
      </c>
      <c r="GXU53" s="708">
        <f t="shared" si="118"/>
        <v>4.713878074670237E+72</v>
      </c>
      <c r="GXV53" s="708">
        <f t="shared" si="118"/>
        <v>4.8552944169103445E+72</v>
      </c>
      <c r="GXW53" s="708">
        <f t="shared" si="118"/>
        <v>5.0009532494176547E+72</v>
      </c>
      <c r="GXX53" s="708">
        <f t="shared" si="118"/>
        <v>5.1509818469001846E+72</v>
      </c>
      <c r="GXY53" s="708">
        <f t="shared" si="118"/>
        <v>5.3055113023071903E+72</v>
      </c>
      <c r="GXZ53" s="708">
        <f t="shared" ref="GXZ53:HAK53" si="119">GXY53*$C$53</f>
        <v>5.4646766413764057E+72</v>
      </c>
      <c r="GYA53" s="708">
        <f t="shared" si="119"/>
        <v>5.6286169406176979E+72</v>
      </c>
      <c r="GYB53" s="708">
        <f t="shared" si="119"/>
        <v>5.7974754488362292E+72</v>
      </c>
      <c r="GYC53" s="708">
        <f t="shared" si="119"/>
        <v>5.9713997123013165E+72</v>
      </c>
      <c r="GYD53" s="708">
        <f t="shared" si="119"/>
        <v>6.1505417036703559E+72</v>
      </c>
      <c r="GYE53" s="708">
        <f t="shared" si="119"/>
        <v>6.3350579547804671E+72</v>
      </c>
      <c r="GYF53" s="708">
        <f t="shared" si="119"/>
        <v>6.5251096934238816E+72</v>
      </c>
      <c r="GYG53" s="708">
        <f t="shared" si="119"/>
        <v>6.720862984226598E+72</v>
      </c>
      <c r="GYH53" s="708">
        <f t="shared" si="119"/>
        <v>6.9224888737533961E+72</v>
      </c>
      <c r="GYI53" s="708">
        <f t="shared" si="119"/>
        <v>7.1301635399659977E+72</v>
      </c>
      <c r="GYJ53" s="708">
        <f t="shared" si="119"/>
        <v>7.3440684461649771E+72</v>
      </c>
      <c r="GYK53" s="708">
        <f t="shared" si="119"/>
        <v>7.5643904995499263E+72</v>
      </c>
      <c r="GYL53" s="708">
        <f t="shared" si="119"/>
        <v>7.7913222145364243E+72</v>
      </c>
      <c r="GYM53" s="708">
        <f t="shared" si="119"/>
        <v>8.0250618809725174E+72</v>
      </c>
      <c r="GYN53" s="708">
        <f t="shared" si="119"/>
        <v>8.2658137374016939E+72</v>
      </c>
      <c r="GYO53" s="708">
        <f t="shared" si="119"/>
        <v>8.5137881495237451E+72</v>
      </c>
      <c r="GYP53" s="708">
        <f t="shared" si="119"/>
        <v>8.769201794009457E+72</v>
      </c>
      <c r="GYQ53" s="708">
        <f t="shared" si="119"/>
        <v>9.032277847829741E+72</v>
      </c>
      <c r="GYR53" s="708">
        <f t="shared" si="119"/>
        <v>9.3032461832646336E+72</v>
      </c>
      <c r="GYS53" s="708">
        <f t="shared" si="119"/>
        <v>9.5823435687625727E+72</v>
      </c>
      <c r="GYT53" s="708">
        <f t="shared" si="119"/>
        <v>9.8698138758254502E+72</v>
      </c>
      <c r="GYU53" s="708">
        <f t="shared" si="119"/>
        <v>1.0165908292100215E+73</v>
      </c>
      <c r="GYV53" s="708">
        <f t="shared" si="119"/>
        <v>1.0470885540863221E+73</v>
      </c>
      <c r="GYW53" s="708">
        <f t="shared" si="119"/>
        <v>1.0785012107089119E+73</v>
      </c>
      <c r="GYX53" s="708">
        <f t="shared" si="119"/>
        <v>1.1108562470301792E+73</v>
      </c>
      <c r="GYY53" s="708">
        <f t="shared" si="119"/>
        <v>1.1441819344410846E+73</v>
      </c>
      <c r="GYZ53" s="708">
        <f t="shared" si="119"/>
        <v>1.1785073924743172E+73</v>
      </c>
      <c r="GZA53" s="708">
        <f t="shared" si="119"/>
        <v>1.2138626142485467E+73</v>
      </c>
      <c r="GZB53" s="708">
        <f t="shared" si="119"/>
        <v>1.2502784926760031E+73</v>
      </c>
      <c r="GZC53" s="708">
        <f t="shared" si="119"/>
        <v>1.2877868474562832E+73</v>
      </c>
      <c r="GZD53" s="708">
        <f t="shared" si="119"/>
        <v>1.3264204528799717E+73</v>
      </c>
      <c r="GZE53" s="708">
        <f t="shared" si="119"/>
        <v>1.3662130664663708E+73</v>
      </c>
      <c r="GZF53" s="708">
        <f t="shared" si="119"/>
        <v>1.407199458460362E+73</v>
      </c>
      <c r="GZG53" s="708">
        <f t="shared" si="119"/>
        <v>1.4494154422141728E+73</v>
      </c>
      <c r="GZH53" s="708">
        <f t="shared" si="119"/>
        <v>1.492897905480598E+73</v>
      </c>
      <c r="GZI53" s="708">
        <f t="shared" si="119"/>
        <v>1.5376848426450159E+73</v>
      </c>
      <c r="GZJ53" s="708">
        <f t="shared" si="119"/>
        <v>1.5838153879243663E+73</v>
      </c>
      <c r="GZK53" s="708">
        <f t="shared" si="119"/>
        <v>1.6313298495620973E+73</v>
      </c>
      <c r="GZL53" s="708">
        <f t="shared" si="119"/>
        <v>1.6802697450489603E+73</v>
      </c>
      <c r="GZM53" s="708">
        <f t="shared" si="119"/>
        <v>1.730677837400429E+73</v>
      </c>
      <c r="GZN53" s="708">
        <f t="shared" si="119"/>
        <v>1.782598172522442E+73</v>
      </c>
      <c r="GZO53" s="708">
        <f t="shared" si="119"/>
        <v>1.8360761176981154E+73</v>
      </c>
      <c r="GZP53" s="708">
        <f t="shared" si="119"/>
        <v>1.8911584012290589E+73</v>
      </c>
      <c r="GZQ53" s="708">
        <f t="shared" si="119"/>
        <v>1.9478931532659308E+73</v>
      </c>
      <c r="GZR53" s="708">
        <f t="shared" si="119"/>
        <v>2.0063299478639089E+73</v>
      </c>
      <c r="GZS53" s="708">
        <f t="shared" si="119"/>
        <v>2.0665198462998261E+73</v>
      </c>
      <c r="GZT53" s="708">
        <f t="shared" si="119"/>
        <v>2.1285154416888209E+73</v>
      </c>
      <c r="GZU53" s="708">
        <f t="shared" si="119"/>
        <v>2.1923709049394856E+73</v>
      </c>
      <c r="GZV53" s="708">
        <f t="shared" si="119"/>
        <v>2.2581420320876703E+73</v>
      </c>
      <c r="GZW53" s="708">
        <f t="shared" si="119"/>
        <v>2.3258862930503004E+73</v>
      </c>
      <c r="GZX53" s="708">
        <f t="shared" si="119"/>
        <v>2.3956628818418095E+73</v>
      </c>
      <c r="GZY53" s="708">
        <f t="shared" si="119"/>
        <v>2.4675327682970639E+73</v>
      </c>
      <c r="GZZ53" s="708">
        <f t="shared" si="119"/>
        <v>2.5415587513459757E+73</v>
      </c>
      <c r="HAA53" s="708">
        <f t="shared" si="119"/>
        <v>2.6178055138863549E+73</v>
      </c>
      <c r="HAB53" s="708">
        <f t="shared" si="119"/>
        <v>2.6963396793029455E+73</v>
      </c>
      <c r="HAC53" s="708">
        <f t="shared" si="119"/>
        <v>2.777229869682034E+73</v>
      </c>
      <c r="HAD53" s="708">
        <f t="shared" si="119"/>
        <v>2.8605467657724954E+73</v>
      </c>
      <c r="HAE53" s="708">
        <f t="shared" si="119"/>
        <v>2.9463631687456704E+73</v>
      </c>
      <c r="HAF53" s="708">
        <f t="shared" si="119"/>
        <v>3.0347540638080403E+73</v>
      </c>
      <c r="HAG53" s="708">
        <f t="shared" si="119"/>
        <v>3.1257966857222817E+73</v>
      </c>
      <c r="HAH53" s="708">
        <f t="shared" si="119"/>
        <v>3.2195705862939502E+73</v>
      </c>
      <c r="HAI53" s="708">
        <f t="shared" si="119"/>
        <v>3.3161577038827689E+73</v>
      </c>
      <c r="HAJ53" s="708">
        <f t="shared" si="119"/>
        <v>3.4156424349992518E+73</v>
      </c>
      <c r="HAK53" s="708">
        <f t="shared" si="119"/>
        <v>3.5181117080492295E+73</v>
      </c>
      <c r="HAL53" s="708">
        <f t="shared" ref="HAL53:HCW53" si="120">HAK53*$C$53</f>
        <v>3.6236550592907063E+73</v>
      </c>
      <c r="HAM53" s="708">
        <f t="shared" si="120"/>
        <v>3.7323647110694273E+73</v>
      </c>
      <c r="HAN53" s="708">
        <f t="shared" si="120"/>
        <v>3.8443356524015104E+73</v>
      </c>
      <c r="HAO53" s="708">
        <f t="shared" si="120"/>
        <v>3.9596657219735562E+73</v>
      </c>
      <c r="HAP53" s="708">
        <f t="shared" si="120"/>
        <v>4.0784556936327632E+73</v>
      </c>
      <c r="HAQ53" s="708">
        <f t="shared" si="120"/>
        <v>4.2008093644417464E+73</v>
      </c>
      <c r="HAR53" s="708">
        <f t="shared" si="120"/>
        <v>4.3268336453749987E+73</v>
      </c>
      <c r="HAS53" s="708">
        <f t="shared" si="120"/>
        <v>4.456638654736249E+73</v>
      </c>
      <c r="HAT53" s="708">
        <f t="shared" si="120"/>
        <v>4.5903378143783365E+73</v>
      </c>
      <c r="HAU53" s="708">
        <f t="shared" si="120"/>
        <v>4.7280479488096869E+73</v>
      </c>
      <c r="HAV53" s="708">
        <f t="shared" si="120"/>
        <v>4.8698893872739776E+73</v>
      </c>
      <c r="HAW53" s="708">
        <f t="shared" si="120"/>
        <v>5.0159860688921973E+73</v>
      </c>
      <c r="HAX53" s="708">
        <f t="shared" si="120"/>
        <v>5.1664656509589633E+73</v>
      </c>
      <c r="HAY53" s="708">
        <f t="shared" si="120"/>
        <v>5.3214596204877325E+73</v>
      </c>
      <c r="HAZ53" s="708">
        <f t="shared" si="120"/>
        <v>5.481103409102365E+73</v>
      </c>
      <c r="HBA53" s="708">
        <f t="shared" si="120"/>
        <v>5.6455365113754362E+73</v>
      </c>
      <c r="HBB53" s="708">
        <f t="shared" si="120"/>
        <v>5.8149026067166999E+73</v>
      </c>
      <c r="HBC53" s="708">
        <f t="shared" si="120"/>
        <v>5.9893496849182012E+73</v>
      </c>
      <c r="HBD53" s="708">
        <f t="shared" si="120"/>
        <v>6.1690301754657468E+73</v>
      </c>
      <c r="HBE53" s="708">
        <f t="shared" si="120"/>
        <v>6.35410108072972E+73</v>
      </c>
      <c r="HBF53" s="708">
        <f t="shared" si="120"/>
        <v>6.5447241131516111E+73</v>
      </c>
      <c r="HBG53" s="708">
        <f t="shared" si="120"/>
        <v>6.7410658365461593E+73</v>
      </c>
      <c r="HBH53" s="708">
        <f t="shared" si="120"/>
        <v>6.943297811642544E+73</v>
      </c>
      <c r="HBI53" s="708">
        <f t="shared" si="120"/>
        <v>7.1515967459918204E+73</v>
      </c>
      <c r="HBJ53" s="708">
        <f t="shared" si="120"/>
        <v>7.3661446483715749E+73</v>
      </c>
      <c r="HBK53" s="708">
        <f t="shared" si="120"/>
        <v>7.587128987822723E+73</v>
      </c>
      <c r="HBL53" s="708">
        <f t="shared" si="120"/>
        <v>7.8147428574574047E+73</v>
      </c>
      <c r="HBM53" s="708">
        <f t="shared" si="120"/>
        <v>8.0491851431811275E+73</v>
      </c>
      <c r="HBN53" s="708">
        <f t="shared" si="120"/>
        <v>8.290660697476562E+73</v>
      </c>
      <c r="HBO53" s="708">
        <f t="shared" si="120"/>
        <v>8.5393805184008593E+73</v>
      </c>
      <c r="HBP53" s="708">
        <f t="shared" si="120"/>
        <v>8.7955619339528853E+73</v>
      </c>
      <c r="HBQ53" s="708">
        <f t="shared" si="120"/>
        <v>9.0594287919714722E+73</v>
      </c>
      <c r="HBR53" s="708">
        <f t="shared" si="120"/>
        <v>9.3312116557306164E+73</v>
      </c>
      <c r="HBS53" s="708">
        <f t="shared" si="120"/>
        <v>9.6111480054025355E+73</v>
      </c>
      <c r="HBT53" s="708">
        <f t="shared" si="120"/>
        <v>9.8994824455646119E+73</v>
      </c>
      <c r="HBU53" s="708">
        <f t="shared" si="120"/>
        <v>1.0196466918931551E+74</v>
      </c>
      <c r="HBV53" s="708">
        <f t="shared" si="120"/>
        <v>1.0502360926499498E+74</v>
      </c>
      <c r="HBW53" s="708">
        <f t="shared" si="120"/>
        <v>1.0817431754294483E+74</v>
      </c>
      <c r="HBX53" s="708">
        <f t="shared" si="120"/>
        <v>1.1141954706923317E+74</v>
      </c>
      <c r="HBY53" s="708">
        <f t="shared" si="120"/>
        <v>1.1476213348131017E+74</v>
      </c>
      <c r="HBZ53" s="708">
        <f t="shared" si="120"/>
        <v>1.1820499748574948E+74</v>
      </c>
      <c r="HCA53" s="708">
        <f t="shared" si="120"/>
        <v>1.2175114741032198E+74</v>
      </c>
      <c r="HCB53" s="708">
        <f t="shared" si="120"/>
        <v>1.2540368183263164E+74</v>
      </c>
      <c r="HCC53" s="708">
        <f t="shared" si="120"/>
        <v>1.2916579228761059E+74</v>
      </c>
      <c r="HCD53" s="708">
        <f t="shared" si="120"/>
        <v>1.330407660562389E+74</v>
      </c>
      <c r="HCE53" s="708">
        <f t="shared" si="120"/>
        <v>1.3703198903792606E+74</v>
      </c>
      <c r="HCF53" s="708">
        <f t="shared" si="120"/>
        <v>1.4114294870906384E+74</v>
      </c>
      <c r="HCG53" s="708">
        <f t="shared" si="120"/>
        <v>1.4537723717033575E+74</v>
      </c>
      <c r="HCH53" s="708">
        <f t="shared" si="120"/>
        <v>1.4973855428544584E+74</v>
      </c>
      <c r="HCI53" s="708">
        <f t="shared" si="120"/>
        <v>1.5423071091400922E+74</v>
      </c>
      <c r="HCJ53" s="708">
        <f t="shared" si="120"/>
        <v>1.5885763224142951E+74</v>
      </c>
      <c r="HCK53" s="708">
        <f t="shared" si="120"/>
        <v>1.6362336120867241E+74</v>
      </c>
      <c r="HCL53" s="708">
        <f t="shared" si="120"/>
        <v>1.6853206204493259E+74</v>
      </c>
      <c r="HCM53" s="708">
        <f t="shared" si="120"/>
        <v>1.7358802390628057E+74</v>
      </c>
      <c r="HCN53" s="708">
        <f t="shared" si="120"/>
        <v>1.7879566462346899E+74</v>
      </c>
      <c r="HCO53" s="708">
        <f t="shared" si="120"/>
        <v>1.8415953456217307E+74</v>
      </c>
      <c r="HCP53" s="708">
        <f t="shared" si="120"/>
        <v>1.8968432059903828E+74</v>
      </c>
      <c r="HCQ53" s="708">
        <f t="shared" si="120"/>
        <v>1.9537485021700943E+74</v>
      </c>
      <c r="HCR53" s="708">
        <f t="shared" si="120"/>
        <v>2.0123609572351971E+74</v>
      </c>
      <c r="HCS53" s="708">
        <f t="shared" si="120"/>
        <v>2.0727317859522532E+74</v>
      </c>
      <c r="HCT53" s="708">
        <f t="shared" si="120"/>
        <v>2.1349137395308207E+74</v>
      </c>
      <c r="HCU53" s="708">
        <f t="shared" si="120"/>
        <v>2.1989611517167455E+74</v>
      </c>
      <c r="HCV53" s="708">
        <f t="shared" si="120"/>
        <v>2.2649299862682477E+74</v>
      </c>
      <c r="HCW53" s="708">
        <f t="shared" si="120"/>
        <v>2.3328778858562951E+74</v>
      </c>
      <c r="HCX53" s="708">
        <f t="shared" ref="HCX53:HFI53" si="121">HCW53*$C$53</f>
        <v>2.4028642224319839E+74</v>
      </c>
      <c r="HCY53" s="708">
        <f t="shared" si="121"/>
        <v>2.4749501491049436E+74</v>
      </c>
      <c r="HCZ53" s="708">
        <f t="shared" si="121"/>
        <v>2.549198653578092E+74</v>
      </c>
      <c r="HDA53" s="708">
        <f t="shared" si="121"/>
        <v>2.6256746131854351E+74</v>
      </c>
      <c r="HDB53" s="708">
        <f t="shared" si="121"/>
        <v>2.7044448515809982E+74</v>
      </c>
      <c r="HDC53" s="708">
        <f t="shared" si="121"/>
        <v>2.7855781971284281E+74</v>
      </c>
      <c r="HDD53" s="708">
        <f t="shared" si="121"/>
        <v>2.8691455430422808E+74</v>
      </c>
      <c r="HDE53" s="708">
        <f t="shared" si="121"/>
        <v>2.9552199093335496E+74</v>
      </c>
      <c r="HDF53" s="708">
        <f t="shared" si="121"/>
        <v>3.043876506613556E+74</v>
      </c>
      <c r="HDG53" s="708">
        <f t="shared" si="121"/>
        <v>3.1351928018119626E+74</v>
      </c>
      <c r="HDH53" s="708">
        <f t="shared" si="121"/>
        <v>3.2292485858663216E+74</v>
      </c>
      <c r="HDI53" s="708">
        <f t="shared" si="121"/>
        <v>3.3261260434423112E+74</v>
      </c>
      <c r="HDJ53" s="708">
        <f t="shared" si="121"/>
        <v>3.4259098247455806E+74</v>
      </c>
      <c r="HDK53" s="708">
        <f t="shared" si="121"/>
        <v>3.5286871194879481E+74</v>
      </c>
      <c r="HDL53" s="708">
        <f t="shared" si="121"/>
        <v>3.6345477330725865E+74</v>
      </c>
      <c r="HDM53" s="708">
        <f t="shared" si="121"/>
        <v>3.7435841650647644E+74</v>
      </c>
      <c r="HDN53" s="708">
        <f t="shared" si="121"/>
        <v>3.8558916900167074E+74</v>
      </c>
      <c r="HDO53" s="708">
        <f t="shared" si="121"/>
        <v>3.9715684407172085E+74</v>
      </c>
      <c r="HDP53" s="708">
        <f t="shared" si="121"/>
        <v>4.0907154939387249E+74</v>
      </c>
      <c r="HDQ53" s="708">
        <f t="shared" si="121"/>
        <v>4.2134369587568866E+74</v>
      </c>
      <c r="HDR53" s="708">
        <f t="shared" si="121"/>
        <v>4.3398400675195935E+74</v>
      </c>
      <c r="HDS53" s="708">
        <f t="shared" si="121"/>
        <v>4.4700352695451812E+74</v>
      </c>
      <c r="HDT53" s="708">
        <f t="shared" si="121"/>
        <v>4.6041363276315367E+74</v>
      </c>
      <c r="HDU53" s="708">
        <f t="shared" si="121"/>
        <v>4.7422604174604834E+74</v>
      </c>
      <c r="HDV53" s="708">
        <f t="shared" si="121"/>
        <v>4.8845282299842977E+74</v>
      </c>
      <c r="HDW53" s="708">
        <f t="shared" si="121"/>
        <v>5.0310640768838263E+74</v>
      </c>
      <c r="HDX53" s="708">
        <f t="shared" si="121"/>
        <v>5.1819959991903413E+74</v>
      </c>
      <c r="HDY53" s="708">
        <f t="shared" si="121"/>
        <v>5.3374558791660518E+74</v>
      </c>
      <c r="HDZ53" s="708">
        <f t="shared" si="121"/>
        <v>5.4975795555410339E+74</v>
      </c>
      <c r="HEA53" s="708">
        <f t="shared" si="121"/>
        <v>5.6625069422072651E+74</v>
      </c>
      <c r="HEB53" s="708">
        <f t="shared" si="121"/>
        <v>5.8323821504734832E+74</v>
      </c>
      <c r="HEC53" s="708">
        <f t="shared" si="121"/>
        <v>6.0073536149876874E+74</v>
      </c>
      <c r="HED53" s="708">
        <f t="shared" si="121"/>
        <v>6.1875742234373179E+74</v>
      </c>
      <c r="HEE53" s="708">
        <f t="shared" si="121"/>
        <v>6.3732014501404373E+74</v>
      </c>
      <c r="HEF53" s="708">
        <f t="shared" si="121"/>
        <v>6.564397493644651E+74</v>
      </c>
      <c r="HEG53" s="708">
        <f t="shared" si="121"/>
        <v>6.7613294184539911E+74</v>
      </c>
      <c r="HEH53" s="708">
        <f t="shared" si="121"/>
        <v>6.9641693010076112E+74</v>
      </c>
      <c r="HEI53" s="708">
        <f t="shared" si="121"/>
        <v>7.1730943800378393E+74</v>
      </c>
      <c r="HEJ53" s="708">
        <f t="shared" si="121"/>
        <v>7.3882872114389747E+74</v>
      </c>
      <c r="HEK53" s="708">
        <f t="shared" si="121"/>
        <v>7.609935827782144E+74</v>
      </c>
      <c r="HEL53" s="708">
        <f t="shared" si="121"/>
        <v>7.8382339026156088E+74</v>
      </c>
      <c r="HEM53" s="708">
        <f t="shared" si="121"/>
        <v>8.0733809196940768E+74</v>
      </c>
      <c r="HEN53" s="708">
        <f t="shared" si="121"/>
        <v>8.3155823472848995E+74</v>
      </c>
      <c r="HEO53" s="708">
        <f t="shared" si="121"/>
        <v>8.565049817703447E+74</v>
      </c>
      <c r="HEP53" s="708">
        <f t="shared" si="121"/>
        <v>8.8220013122345508E+74</v>
      </c>
      <c r="HEQ53" s="708">
        <f t="shared" si="121"/>
        <v>9.0866613516015874E+74</v>
      </c>
      <c r="HER53" s="708">
        <f t="shared" si="121"/>
        <v>9.3592611921496352E+74</v>
      </c>
      <c r="HES53" s="708">
        <f t="shared" si="121"/>
        <v>9.640039027914124E+74</v>
      </c>
      <c r="HET53" s="708">
        <f t="shared" si="121"/>
        <v>9.9292401987515488E+74</v>
      </c>
      <c r="HEU53" s="708">
        <f t="shared" si="121"/>
        <v>1.0227117404714095E+75</v>
      </c>
      <c r="HEV53" s="708">
        <f t="shared" si="121"/>
        <v>1.0533930926855518E+75</v>
      </c>
      <c r="HEW53" s="708">
        <f t="shared" si="121"/>
        <v>1.0849948854661183E+75</v>
      </c>
      <c r="HEX53" s="708">
        <f t="shared" si="121"/>
        <v>1.1175447320301019E+75</v>
      </c>
      <c r="HEY53" s="708">
        <f t="shared" si="121"/>
        <v>1.1510710739910051E+75</v>
      </c>
      <c r="HEZ53" s="708">
        <f t="shared" si="121"/>
        <v>1.1856032062107354E+75</v>
      </c>
      <c r="HFA53" s="708">
        <f t="shared" si="121"/>
        <v>1.2211713023970576E+75</v>
      </c>
      <c r="HFB53" s="708">
        <f t="shared" si="121"/>
        <v>1.2578064414689694E+75</v>
      </c>
      <c r="HFC53" s="708">
        <f t="shared" si="121"/>
        <v>1.2955406347130384E+75</v>
      </c>
      <c r="HFD53" s="708">
        <f t="shared" si="121"/>
        <v>1.3344068537544296E+75</v>
      </c>
      <c r="HFE53" s="708">
        <f t="shared" si="121"/>
        <v>1.3744390593670626E+75</v>
      </c>
      <c r="HFF53" s="708">
        <f t="shared" si="121"/>
        <v>1.4156722311480745E+75</v>
      </c>
      <c r="HFG53" s="708">
        <f t="shared" si="121"/>
        <v>1.4581423980825168E+75</v>
      </c>
      <c r="HFH53" s="708">
        <f t="shared" si="121"/>
        <v>1.5018866700249923E+75</v>
      </c>
      <c r="HFI53" s="708">
        <f t="shared" si="121"/>
        <v>1.5469432701257422E+75</v>
      </c>
      <c r="HFJ53" s="708">
        <f t="shared" ref="HFJ53:HHU53" si="122">HFI53*$C$53</f>
        <v>1.5933515682295144E+75</v>
      </c>
      <c r="HFK53" s="708">
        <f t="shared" si="122"/>
        <v>1.6411521152763999E+75</v>
      </c>
      <c r="HFL53" s="708">
        <f t="shared" si="122"/>
        <v>1.6903866787346919E+75</v>
      </c>
      <c r="HFM53" s="708">
        <f t="shared" si="122"/>
        <v>1.7410982790967327E+75</v>
      </c>
      <c r="HFN53" s="708">
        <f t="shared" si="122"/>
        <v>1.7933312274696347E+75</v>
      </c>
      <c r="HFO53" s="708">
        <f t="shared" si="122"/>
        <v>1.8471311642937239E+75</v>
      </c>
      <c r="HFP53" s="708">
        <f t="shared" si="122"/>
        <v>1.9025450992225359E+75</v>
      </c>
      <c r="HFQ53" s="708">
        <f t="shared" si="122"/>
        <v>1.9596214521992119E+75</v>
      </c>
      <c r="HFR53" s="708">
        <f t="shared" si="122"/>
        <v>2.0184100957651884E+75</v>
      </c>
      <c r="HFS53" s="708">
        <f t="shared" si="122"/>
        <v>2.0789623986381439E+75</v>
      </c>
      <c r="HFT53" s="708">
        <f t="shared" si="122"/>
        <v>2.1413312705972882E+75</v>
      </c>
      <c r="HFU53" s="708">
        <f t="shared" si="122"/>
        <v>2.2055712087152069E+75</v>
      </c>
      <c r="HFV53" s="708">
        <f t="shared" si="122"/>
        <v>2.2717383449766632E+75</v>
      </c>
      <c r="HFW53" s="708">
        <f t="shared" si="122"/>
        <v>2.3398904953259631E+75</v>
      </c>
      <c r="HFX53" s="708">
        <f t="shared" si="122"/>
        <v>2.4100872101857421E+75</v>
      </c>
      <c r="HFY53" s="708">
        <f t="shared" si="122"/>
        <v>2.4823898264913143E+75</v>
      </c>
      <c r="HFZ53" s="708">
        <f t="shared" si="122"/>
        <v>2.5568615212860536E+75</v>
      </c>
      <c r="HGA53" s="708">
        <f t="shared" si="122"/>
        <v>2.6335673669246354E+75</v>
      </c>
      <c r="HGB53" s="708">
        <f t="shared" si="122"/>
        <v>2.7125743879323746E+75</v>
      </c>
      <c r="HGC53" s="708">
        <f t="shared" si="122"/>
        <v>2.7939516195703458E+75</v>
      </c>
      <c r="HGD53" s="708">
        <f t="shared" si="122"/>
        <v>2.8777701681574563E+75</v>
      </c>
      <c r="HGE53" s="708">
        <f t="shared" si="122"/>
        <v>2.9641032732021802E+75</v>
      </c>
      <c r="HGF53" s="708">
        <f t="shared" si="122"/>
        <v>3.0530263713982458E+75</v>
      </c>
      <c r="HGG53" s="708">
        <f t="shared" si="122"/>
        <v>3.1446171625401931E+75</v>
      </c>
      <c r="HGH53" s="708">
        <f t="shared" si="122"/>
        <v>3.2389556774163991E+75</v>
      </c>
      <c r="HGI53" s="708">
        <f t="shared" si="122"/>
        <v>3.336124347738891E+75</v>
      </c>
      <c r="HGJ53" s="708">
        <f t="shared" si="122"/>
        <v>3.4362080781710578E+75</v>
      </c>
      <c r="HGK53" s="708">
        <f t="shared" si="122"/>
        <v>3.5392943205161898E+75</v>
      </c>
      <c r="HGL53" s="708">
        <f t="shared" si="122"/>
        <v>3.6454731501316755E+75</v>
      </c>
      <c r="HGM53" s="708">
        <f t="shared" si="122"/>
        <v>3.7548373446356257E+75</v>
      </c>
      <c r="HGN53" s="708">
        <f t="shared" si="122"/>
        <v>3.8674824649746942E+75</v>
      </c>
      <c r="HGO53" s="708">
        <f t="shared" si="122"/>
        <v>3.9835069389239354E+75</v>
      </c>
      <c r="HGP53" s="708">
        <f t="shared" si="122"/>
        <v>4.1030121470916534E+75</v>
      </c>
      <c r="HGQ53" s="708">
        <f t="shared" si="122"/>
        <v>4.2261025115044028E+75</v>
      </c>
      <c r="HGR53" s="708">
        <f t="shared" si="122"/>
        <v>4.3528855868495353E+75</v>
      </c>
      <c r="HGS53" s="708">
        <f t="shared" si="122"/>
        <v>4.4834721544550211E+75</v>
      </c>
      <c r="HGT53" s="708">
        <f t="shared" si="122"/>
        <v>4.6179763190886721E+75</v>
      </c>
      <c r="HGU53" s="708">
        <f t="shared" si="122"/>
        <v>4.7565156086613326E+75</v>
      </c>
      <c r="HGV53" s="708">
        <f t="shared" si="122"/>
        <v>4.8992110769211727E+75</v>
      </c>
      <c r="HGW53" s="708">
        <f t="shared" si="122"/>
        <v>5.0461874092288079E+75</v>
      </c>
      <c r="HGX53" s="708">
        <f t="shared" si="122"/>
        <v>5.1975730315056726E+75</v>
      </c>
      <c r="HGY53" s="708">
        <f t="shared" si="122"/>
        <v>5.3535002224508427E+75</v>
      </c>
      <c r="HGZ53" s="708">
        <f t="shared" si="122"/>
        <v>5.5141052291243683E+75</v>
      </c>
      <c r="HHA53" s="708">
        <f t="shared" si="122"/>
        <v>5.6795283859980995E+75</v>
      </c>
      <c r="HHB53" s="708">
        <f t="shared" si="122"/>
        <v>5.8499142375780423E+75</v>
      </c>
      <c r="HHC53" s="708">
        <f t="shared" si="122"/>
        <v>6.0254116647053841E+75</v>
      </c>
      <c r="HHD53" s="708">
        <f t="shared" si="122"/>
        <v>6.2061740146465456E+75</v>
      </c>
      <c r="HHE53" s="708">
        <f t="shared" si="122"/>
        <v>6.3923592350859422E+75</v>
      </c>
      <c r="HHF53" s="708">
        <f t="shared" si="122"/>
        <v>6.5841300121385209E+75</v>
      </c>
      <c r="HHG53" s="708">
        <f t="shared" si="122"/>
        <v>6.781653912502677E+75</v>
      </c>
      <c r="HHH53" s="708">
        <f t="shared" si="122"/>
        <v>6.9851035298777575E+75</v>
      </c>
      <c r="HHI53" s="708">
        <f t="shared" si="122"/>
        <v>7.1946566357740907E+75</v>
      </c>
      <c r="HHJ53" s="708">
        <f t="shared" si="122"/>
        <v>7.410496334847314E+75</v>
      </c>
      <c r="HHK53" s="708">
        <f t="shared" si="122"/>
        <v>7.6328112248927342E+75</v>
      </c>
      <c r="HHL53" s="708">
        <f t="shared" si="122"/>
        <v>7.8617955616395171E+75</v>
      </c>
      <c r="HHM53" s="708">
        <f t="shared" si="122"/>
        <v>8.0976494284887028E+75</v>
      </c>
      <c r="HHN53" s="708">
        <f t="shared" si="122"/>
        <v>8.3405789113433635E+75</v>
      </c>
      <c r="HHO53" s="708">
        <f t="shared" si="122"/>
        <v>8.590796278683665E+75</v>
      </c>
      <c r="HHP53" s="708">
        <f t="shared" si="122"/>
        <v>8.8485201670441746E+75</v>
      </c>
      <c r="HHQ53" s="708">
        <f t="shared" si="122"/>
        <v>9.1139757720554999E+75</v>
      </c>
      <c r="HHR53" s="708">
        <f t="shared" si="122"/>
        <v>9.3873950452171648E+75</v>
      </c>
      <c r="HHS53" s="708">
        <f t="shared" si="122"/>
        <v>9.6690168965736795E+75</v>
      </c>
      <c r="HHT53" s="708">
        <f t="shared" si="122"/>
        <v>9.9590874034708905E+75</v>
      </c>
      <c r="HHU53" s="708">
        <f t="shared" si="122"/>
        <v>1.0257860025575018E+76</v>
      </c>
      <c r="HHV53" s="708">
        <f t="shared" ref="HHV53:HKG53" si="123">HHU53*$C$53</f>
        <v>1.0565595826342268E+76</v>
      </c>
      <c r="HHW53" s="708">
        <f t="shared" si="123"/>
        <v>1.0882563701132537E+76</v>
      </c>
      <c r="HHX53" s="708">
        <f t="shared" si="123"/>
        <v>1.1209040612166514E+76</v>
      </c>
      <c r="HHY53" s="708">
        <f t="shared" si="123"/>
        <v>1.154531183053151E+76</v>
      </c>
      <c r="HHZ53" s="708">
        <f t="shared" si="123"/>
        <v>1.1891671185447456E+76</v>
      </c>
      <c r="HIA53" s="708">
        <f t="shared" si="123"/>
        <v>1.2248421321010879E+76</v>
      </c>
      <c r="HIB53" s="708">
        <f t="shared" si="123"/>
        <v>1.2615873960641206E+76</v>
      </c>
      <c r="HIC53" s="708">
        <f t="shared" si="123"/>
        <v>1.2994350179460444E+76</v>
      </c>
      <c r="HID53" s="708">
        <f t="shared" si="123"/>
        <v>1.3384180684844257E+76</v>
      </c>
      <c r="HIE53" s="708">
        <f t="shared" si="123"/>
        <v>1.3785706105389586E+76</v>
      </c>
      <c r="HIF53" s="708">
        <f t="shared" si="123"/>
        <v>1.4199277288551273E+76</v>
      </c>
      <c r="HIG53" s="708">
        <f t="shared" si="123"/>
        <v>1.4625255607207812E+76</v>
      </c>
      <c r="HIH53" s="708">
        <f t="shared" si="123"/>
        <v>1.5064013275424046E+76</v>
      </c>
      <c r="HII53" s="708">
        <f t="shared" si="123"/>
        <v>1.5515933673686767E+76</v>
      </c>
      <c r="HIJ53" s="708">
        <f t="shared" si="123"/>
        <v>1.5981411683897369E+76</v>
      </c>
      <c r="HIK53" s="708">
        <f t="shared" si="123"/>
        <v>1.646085403441429E+76</v>
      </c>
      <c r="HIL53" s="708">
        <f t="shared" si="123"/>
        <v>1.6954679655446721E+76</v>
      </c>
      <c r="HIM53" s="708">
        <f t="shared" si="123"/>
        <v>1.7463320045110123E+76</v>
      </c>
      <c r="HIN53" s="708">
        <f t="shared" si="123"/>
        <v>1.7987219646463429E+76</v>
      </c>
      <c r="HIO53" s="708">
        <f t="shared" si="123"/>
        <v>1.8526836235857331E+76</v>
      </c>
      <c r="HIP53" s="708">
        <f t="shared" si="123"/>
        <v>1.9082641322933053E+76</v>
      </c>
      <c r="HIQ53" s="708">
        <f t="shared" si="123"/>
        <v>1.9655120562621045E+76</v>
      </c>
      <c r="HIR53" s="708">
        <f t="shared" si="123"/>
        <v>2.0244774179499675E+76</v>
      </c>
      <c r="HIS53" s="708">
        <f t="shared" si="123"/>
        <v>2.0852117404884666E+76</v>
      </c>
      <c r="HIT53" s="708">
        <f t="shared" si="123"/>
        <v>2.1477680927031205E+76</v>
      </c>
      <c r="HIU53" s="708">
        <f t="shared" si="123"/>
        <v>2.2122011354842141E+76</v>
      </c>
      <c r="HIV53" s="708">
        <f t="shared" si="123"/>
        <v>2.2785671695487407E+76</v>
      </c>
      <c r="HIW53" s="708">
        <f t="shared" si="123"/>
        <v>2.3469241846352031E+76</v>
      </c>
      <c r="HIX53" s="708">
        <f t="shared" si="123"/>
        <v>2.4173319101742592E+76</v>
      </c>
      <c r="HIY53" s="708">
        <f t="shared" si="123"/>
        <v>2.4898518674794869E+76</v>
      </c>
      <c r="HIZ53" s="708">
        <f t="shared" si="123"/>
        <v>2.5645474235038715E+76</v>
      </c>
      <c r="HJA53" s="708">
        <f t="shared" si="123"/>
        <v>2.6414838462089879E+76</v>
      </c>
      <c r="HJB53" s="708">
        <f t="shared" si="123"/>
        <v>2.7207283615952575E+76</v>
      </c>
      <c r="HJC53" s="708">
        <f t="shared" si="123"/>
        <v>2.8023502124431152E+76</v>
      </c>
      <c r="HJD53" s="708">
        <f t="shared" si="123"/>
        <v>2.8864207188164087E+76</v>
      </c>
      <c r="HJE53" s="708">
        <f t="shared" si="123"/>
        <v>2.9730133403809007E+76</v>
      </c>
      <c r="HJF53" s="708">
        <f t="shared" si="123"/>
        <v>3.0622037405923278E+76</v>
      </c>
      <c r="HJG53" s="708">
        <f t="shared" si="123"/>
        <v>3.1540698528100976E+76</v>
      </c>
      <c r="HJH53" s="708">
        <f t="shared" si="123"/>
        <v>3.2486919483944008E+76</v>
      </c>
      <c r="HJI53" s="708">
        <f t="shared" si="123"/>
        <v>3.3461527068462327E+76</v>
      </c>
      <c r="HJJ53" s="708">
        <f t="shared" si="123"/>
        <v>3.4465372880516197E+76</v>
      </c>
      <c r="HJK53" s="708">
        <f t="shared" si="123"/>
        <v>3.5499334066931683E+76</v>
      </c>
      <c r="HJL53" s="708">
        <f t="shared" si="123"/>
        <v>3.6564314088939632E+76</v>
      </c>
      <c r="HJM53" s="708">
        <f t="shared" si="123"/>
        <v>3.7661243511607823E+76</v>
      </c>
      <c r="HJN53" s="708">
        <f t="shared" si="123"/>
        <v>3.8791080816956057E+76</v>
      </c>
      <c r="HJO53" s="708">
        <f t="shared" si="123"/>
        <v>3.995481324146474E+76</v>
      </c>
      <c r="HJP53" s="708">
        <f t="shared" si="123"/>
        <v>4.1153457638708683E+76</v>
      </c>
      <c r="HJQ53" s="708">
        <f t="shared" si="123"/>
        <v>4.2388061367869946E+76</v>
      </c>
      <c r="HJR53" s="708">
        <f t="shared" si="123"/>
        <v>4.3659703208906046E+76</v>
      </c>
      <c r="HJS53" s="708">
        <f t="shared" si="123"/>
        <v>4.4969494305173227E+76</v>
      </c>
      <c r="HJT53" s="708">
        <f t="shared" si="123"/>
        <v>4.6318579134328424E+76</v>
      </c>
      <c r="HJU53" s="708">
        <f t="shared" si="123"/>
        <v>4.770813650835828E+76</v>
      </c>
      <c r="HJV53" s="708">
        <f t="shared" si="123"/>
        <v>4.9139380603609029E+76</v>
      </c>
      <c r="HJW53" s="708">
        <f t="shared" si="123"/>
        <v>5.0613562021717304E+76</v>
      </c>
      <c r="HJX53" s="708">
        <f t="shared" si="123"/>
        <v>5.2131968882368827E+76</v>
      </c>
      <c r="HJY53" s="708">
        <f t="shared" si="123"/>
        <v>5.3695927948839891E+76</v>
      </c>
      <c r="HJZ53" s="708">
        <f t="shared" si="123"/>
        <v>5.5306805787305092E+76</v>
      </c>
      <c r="HKA53" s="708">
        <f t="shared" si="123"/>
        <v>5.6966009960924246E+76</v>
      </c>
      <c r="HKB53" s="708">
        <f t="shared" si="123"/>
        <v>5.8674990259751978E+76</v>
      </c>
      <c r="HKC53" s="708">
        <f t="shared" si="123"/>
        <v>6.0435239967544533E+76</v>
      </c>
      <c r="HKD53" s="708">
        <f t="shared" si="123"/>
        <v>6.2248297166570873E+76</v>
      </c>
      <c r="HKE53" s="708">
        <f t="shared" si="123"/>
        <v>6.4115746081567998E+76</v>
      </c>
      <c r="HKF53" s="708">
        <f t="shared" si="123"/>
        <v>6.6039218464015041E+76</v>
      </c>
      <c r="HKG53" s="708">
        <f t="shared" si="123"/>
        <v>6.8020395017935496E+76</v>
      </c>
      <c r="HKH53" s="708">
        <f t="shared" ref="HKH53:HMS53" si="124">HKG53*$C$53</f>
        <v>7.0061006868473562E+76</v>
      </c>
      <c r="HKI53" s="708">
        <f t="shared" si="124"/>
        <v>7.2162837074527769E+76</v>
      </c>
      <c r="HKJ53" s="708">
        <f t="shared" si="124"/>
        <v>7.4327722186763608E+76</v>
      </c>
      <c r="HKK53" s="708">
        <f t="shared" si="124"/>
        <v>7.6557553852366514E+76</v>
      </c>
      <c r="HKL53" s="708">
        <f t="shared" si="124"/>
        <v>7.8854280467937513E+76</v>
      </c>
      <c r="HKM53" s="708">
        <f t="shared" si="124"/>
        <v>8.1219908881975639E+76</v>
      </c>
      <c r="HKN53" s="708">
        <f t="shared" si="124"/>
        <v>8.3656506148434907E+76</v>
      </c>
      <c r="HKO53" s="708">
        <f t="shared" si="124"/>
        <v>8.6166201332887952E+76</v>
      </c>
      <c r="HKP53" s="708">
        <f t="shared" si="124"/>
        <v>8.8751187372874594E+76</v>
      </c>
      <c r="HKQ53" s="708">
        <f t="shared" si="124"/>
        <v>9.1413722994060828E+76</v>
      </c>
      <c r="HKR53" s="708">
        <f t="shared" si="124"/>
        <v>9.4156134683882658E+76</v>
      </c>
      <c r="HKS53" s="708">
        <f t="shared" si="124"/>
        <v>9.6980818724399145E+76</v>
      </c>
      <c r="HKT53" s="708">
        <f t="shared" si="124"/>
        <v>9.9890243286131124E+76</v>
      </c>
      <c r="HKU53" s="708">
        <f t="shared" si="124"/>
        <v>1.0288695058471506E+77</v>
      </c>
      <c r="HKV53" s="708">
        <f t="shared" si="124"/>
        <v>1.0597355910225652E+77</v>
      </c>
      <c r="HKW53" s="708">
        <f t="shared" si="124"/>
        <v>1.0915276587532422E+77</v>
      </c>
      <c r="HKX53" s="708">
        <f t="shared" si="124"/>
        <v>1.1242734885158395E+77</v>
      </c>
      <c r="HKY53" s="708">
        <f t="shared" si="124"/>
        <v>1.1580016931713147E+77</v>
      </c>
      <c r="HKZ53" s="708">
        <f t="shared" si="124"/>
        <v>1.1927417439664543E+77</v>
      </c>
      <c r="HLA53" s="708">
        <f t="shared" si="124"/>
        <v>1.2285239962854478E+77</v>
      </c>
      <c r="HLB53" s="708">
        <f t="shared" si="124"/>
        <v>1.2653797161740112E+77</v>
      </c>
      <c r="HLC53" s="708">
        <f t="shared" si="124"/>
        <v>1.3033411076592315E+77</v>
      </c>
      <c r="HLD53" s="708">
        <f t="shared" si="124"/>
        <v>1.3424413408890086E+77</v>
      </c>
      <c r="HLE53" s="708">
        <f t="shared" si="124"/>
        <v>1.3827145811156789E+77</v>
      </c>
      <c r="HLF53" s="708">
        <f t="shared" si="124"/>
        <v>1.4241960185491494E+77</v>
      </c>
      <c r="HLG53" s="708">
        <f t="shared" si="124"/>
        <v>1.4669218991056239E+77</v>
      </c>
      <c r="HLH53" s="708">
        <f t="shared" si="124"/>
        <v>1.5109295560787925E+77</v>
      </c>
      <c r="HLI53" s="708">
        <f t="shared" si="124"/>
        <v>1.5562574427611563E+77</v>
      </c>
      <c r="HLJ53" s="708">
        <f t="shared" si="124"/>
        <v>1.602945166043991E+77</v>
      </c>
      <c r="HLK53" s="708">
        <f t="shared" si="124"/>
        <v>1.6510335210253109E+77</v>
      </c>
      <c r="HLL53" s="708">
        <f t="shared" si="124"/>
        <v>1.7005645266560702E+77</v>
      </c>
      <c r="HLM53" s="708">
        <f t="shared" si="124"/>
        <v>1.7515814624557524E+77</v>
      </c>
      <c r="HLN53" s="708">
        <f t="shared" si="124"/>
        <v>1.8041289063294251E+77</v>
      </c>
      <c r="HLO53" s="708">
        <f t="shared" si="124"/>
        <v>1.8582527735193079E+77</v>
      </c>
      <c r="HLP53" s="708">
        <f t="shared" si="124"/>
        <v>1.9140003567248872E+77</v>
      </c>
      <c r="HLQ53" s="708">
        <f t="shared" si="124"/>
        <v>1.9714203674266339E+77</v>
      </c>
      <c r="HLR53" s="708">
        <f t="shared" si="124"/>
        <v>2.0305629784494328E+77</v>
      </c>
      <c r="HLS53" s="708">
        <f t="shared" si="124"/>
        <v>2.091479867802916E+77</v>
      </c>
      <c r="HLT53" s="708">
        <f t="shared" si="124"/>
        <v>2.1542242638370034E+77</v>
      </c>
      <c r="HLU53" s="708">
        <f t="shared" si="124"/>
        <v>2.2188509917521136E+77</v>
      </c>
      <c r="HLV53" s="708">
        <f t="shared" si="124"/>
        <v>2.2854165215046771E+77</v>
      </c>
      <c r="HLW53" s="708">
        <f t="shared" si="124"/>
        <v>2.3539790171498175E+77</v>
      </c>
      <c r="HLX53" s="708">
        <f t="shared" si="124"/>
        <v>2.4245983876643121E+77</v>
      </c>
      <c r="HLY53" s="708">
        <f t="shared" si="124"/>
        <v>2.4973363392942416E+77</v>
      </c>
      <c r="HLZ53" s="708">
        <f t="shared" si="124"/>
        <v>2.5722564294730691E+77</v>
      </c>
      <c r="HMA53" s="708">
        <f t="shared" si="124"/>
        <v>2.6494241223572614E+77</v>
      </c>
      <c r="HMB53" s="708">
        <f t="shared" si="124"/>
        <v>2.7289068460279793E+77</v>
      </c>
      <c r="HMC53" s="708">
        <f t="shared" si="124"/>
        <v>2.8107740514088186E+77</v>
      </c>
      <c r="HMD53" s="708">
        <f t="shared" si="124"/>
        <v>2.8950972729510834E+77</v>
      </c>
      <c r="HME53" s="708">
        <f t="shared" si="124"/>
        <v>2.9819501911396158E+77</v>
      </c>
      <c r="HMF53" s="708">
        <f t="shared" si="124"/>
        <v>3.0714086968738042E+77</v>
      </c>
      <c r="HMG53" s="708">
        <f t="shared" si="124"/>
        <v>3.1635509577800184E+77</v>
      </c>
      <c r="HMH53" s="708">
        <f t="shared" si="124"/>
        <v>3.2584574865134191E+77</v>
      </c>
      <c r="HMI53" s="708">
        <f t="shared" si="124"/>
        <v>3.3562112111088217E+77</v>
      </c>
      <c r="HMJ53" s="708">
        <f t="shared" si="124"/>
        <v>3.4568975474420866E+77</v>
      </c>
      <c r="HMK53" s="708">
        <f t="shared" si="124"/>
        <v>3.5606044738653491E+77</v>
      </c>
      <c r="HML53" s="708">
        <f t="shared" si="124"/>
        <v>3.6674226080813096E+77</v>
      </c>
      <c r="HMM53" s="708">
        <f t="shared" si="124"/>
        <v>3.777445286323749E+77</v>
      </c>
      <c r="HMN53" s="708">
        <f t="shared" si="124"/>
        <v>3.8907686449134614E+77</v>
      </c>
      <c r="HMO53" s="708">
        <f t="shared" si="124"/>
        <v>4.0074917042608653E+77</v>
      </c>
      <c r="HMP53" s="708">
        <f t="shared" si="124"/>
        <v>4.1277164553886911E+77</v>
      </c>
      <c r="HMQ53" s="708">
        <f t="shared" si="124"/>
        <v>4.2515479490503518E+77</v>
      </c>
      <c r="HMR53" s="708">
        <f t="shared" si="124"/>
        <v>4.3790943875218623E+77</v>
      </c>
      <c r="HMS53" s="708">
        <f t="shared" si="124"/>
        <v>4.5104672191475182E+77</v>
      </c>
      <c r="HMT53" s="708">
        <f t="shared" ref="HMT53:HPE53" si="125">HMS53*$C$53</f>
        <v>4.6457812357219441E+77</v>
      </c>
      <c r="HMU53" s="708">
        <f t="shared" si="125"/>
        <v>4.7851546727936022E+77</v>
      </c>
      <c r="HMV53" s="708">
        <f t="shared" si="125"/>
        <v>4.9287093129774107E+77</v>
      </c>
      <c r="HMW53" s="708">
        <f t="shared" si="125"/>
        <v>5.0765705923667329E+77</v>
      </c>
      <c r="HMX53" s="708">
        <f t="shared" si="125"/>
        <v>5.2288677101377346E+77</v>
      </c>
      <c r="HMY53" s="708">
        <f t="shared" si="125"/>
        <v>5.3857337414418669E+77</v>
      </c>
      <c r="HMZ53" s="708">
        <f t="shared" si="125"/>
        <v>5.547305753685123E+77</v>
      </c>
      <c r="HNA53" s="708">
        <f t="shared" si="125"/>
        <v>5.7137249262956768E+77</v>
      </c>
      <c r="HNB53" s="708">
        <f t="shared" si="125"/>
        <v>5.8851366740845471E+77</v>
      </c>
      <c r="HNC53" s="708">
        <f t="shared" si="125"/>
        <v>6.0616907743070841E+77</v>
      </c>
      <c r="HND53" s="708">
        <f t="shared" si="125"/>
        <v>6.2435414975362972E+77</v>
      </c>
      <c r="HNE53" s="708">
        <f t="shared" si="125"/>
        <v>6.4308477424623868E+77</v>
      </c>
      <c r="HNF53" s="708">
        <f t="shared" si="125"/>
        <v>6.6237731747362585E+77</v>
      </c>
      <c r="HNG53" s="708">
        <f t="shared" si="125"/>
        <v>6.8224863699783461E+77</v>
      </c>
      <c r="HNH53" s="708">
        <f t="shared" si="125"/>
        <v>7.0271609610776968E+77</v>
      </c>
      <c r="HNI53" s="708">
        <f t="shared" si="125"/>
        <v>7.2379757899100278E+77</v>
      </c>
      <c r="HNJ53" s="708">
        <f t="shared" si="125"/>
        <v>7.455115063607329E+77</v>
      </c>
      <c r="HNK53" s="708">
        <f t="shared" si="125"/>
        <v>7.6787685155155495E+77</v>
      </c>
      <c r="HNL53" s="708">
        <f t="shared" si="125"/>
        <v>7.909131570981016E+77</v>
      </c>
      <c r="HNM53" s="708">
        <f t="shared" si="125"/>
        <v>8.1464055181104466E+77</v>
      </c>
      <c r="HNN53" s="708">
        <f t="shared" si="125"/>
        <v>8.3907976836537607E+77</v>
      </c>
      <c r="HNO53" s="708">
        <f t="shared" si="125"/>
        <v>8.6425216141633734E+77</v>
      </c>
      <c r="HNP53" s="708">
        <f t="shared" si="125"/>
        <v>8.901797262588275E+77</v>
      </c>
      <c r="HNQ53" s="708">
        <f t="shared" si="125"/>
        <v>9.1688511804659233E+77</v>
      </c>
      <c r="HNR53" s="708">
        <f t="shared" si="125"/>
        <v>9.4439167158799013E+77</v>
      </c>
      <c r="HNS53" s="708">
        <f t="shared" si="125"/>
        <v>9.7272342173562989E+77</v>
      </c>
      <c r="HNT53" s="708">
        <f t="shared" si="125"/>
        <v>1.0019051243876987E+78</v>
      </c>
      <c r="HNU53" s="708">
        <f t="shared" si="125"/>
        <v>1.0319622781193298E+78</v>
      </c>
      <c r="HNV53" s="708">
        <f t="shared" si="125"/>
        <v>1.0629211464629097E+78</v>
      </c>
      <c r="HNW53" s="708">
        <f t="shared" si="125"/>
        <v>1.0948087808567971E+78</v>
      </c>
      <c r="HNX53" s="708">
        <f t="shared" si="125"/>
        <v>1.1276530442825011E+78</v>
      </c>
      <c r="HNY53" s="708">
        <f t="shared" si="125"/>
        <v>1.1614826356109761E+78</v>
      </c>
      <c r="HNZ53" s="708">
        <f t="shared" si="125"/>
        <v>1.1963271146793055E+78</v>
      </c>
      <c r="HOA53" s="708">
        <f t="shared" si="125"/>
        <v>1.2322169281196847E+78</v>
      </c>
      <c r="HOB53" s="708">
        <f t="shared" si="125"/>
        <v>1.2691834359632752E+78</v>
      </c>
      <c r="HOC53" s="708">
        <f t="shared" si="125"/>
        <v>1.3072589390421734E+78</v>
      </c>
      <c r="HOD53" s="708">
        <f t="shared" si="125"/>
        <v>1.3464767072134387E+78</v>
      </c>
      <c r="HOE53" s="708">
        <f t="shared" si="125"/>
        <v>1.386871008429842E+78</v>
      </c>
      <c r="HOF53" s="708">
        <f t="shared" si="125"/>
        <v>1.4284771386827373E+78</v>
      </c>
      <c r="HOG53" s="708">
        <f t="shared" si="125"/>
        <v>1.4713314528432194E+78</v>
      </c>
      <c r="HOH53" s="708">
        <f t="shared" si="125"/>
        <v>1.515471396428516E+78</v>
      </c>
      <c r="HOI53" s="708">
        <f t="shared" si="125"/>
        <v>1.5609355383213714E+78</v>
      </c>
      <c r="HOJ53" s="708">
        <f t="shared" si="125"/>
        <v>1.6077636044710127E+78</v>
      </c>
      <c r="HOK53" s="708">
        <f t="shared" si="125"/>
        <v>1.6559965126051432E+78</v>
      </c>
      <c r="HOL53" s="708">
        <f t="shared" si="125"/>
        <v>1.7056764079832975E+78</v>
      </c>
      <c r="HOM53" s="708">
        <f t="shared" si="125"/>
        <v>1.7568467002227965E+78</v>
      </c>
      <c r="HON53" s="708">
        <f t="shared" si="125"/>
        <v>1.8095521012294805E+78</v>
      </c>
      <c r="HOO53" s="708">
        <f t="shared" si="125"/>
        <v>1.8638386642663651E+78</v>
      </c>
      <c r="HOP53" s="708">
        <f t="shared" si="125"/>
        <v>1.9197538241943559E+78</v>
      </c>
      <c r="HOQ53" s="708">
        <f t="shared" si="125"/>
        <v>1.9773464389201868E+78</v>
      </c>
      <c r="HOR53" s="708">
        <f t="shared" si="125"/>
        <v>2.0366668320877923E+78</v>
      </c>
      <c r="HOS53" s="708">
        <f t="shared" si="125"/>
        <v>2.0977668370504262E+78</v>
      </c>
      <c r="HOT53" s="708">
        <f t="shared" si="125"/>
        <v>2.1606998421619389E+78</v>
      </c>
      <c r="HOU53" s="708">
        <f t="shared" si="125"/>
        <v>2.225520837426797E+78</v>
      </c>
      <c r="HOV53" s="708">
        <f t="shared" si="125"/>
        <v>2.2922864625496008E+78</v>
      </c>
      <c r="HOW53" s="708">
        <f t="shared" si="125"/>
        <v>2.361055056426089E+78</v>
      </c>
      <c r="HOX53" s="708">
        <f t="shared" si="125"/>
        <v>2.4318867081188716E+78</v>
      </c>
      <c r="HOY53" s="708">
        <f t="shared" si="125"/>
        <v>2.504843309362438E+78</v>
      </c>
      <c r="HOZ53" s="708">
        <f t="shared" si="125"/>
        <v>2.5799886086433111E+78</v>
      </c>
      <c r="HPA53" s="708">
        <f t="shared" si="125"/>
        <v>2.6573882669026106E+78</v>
      </c>
      <c r="HPB53" s="708">
        <f t="shared" si="125"/>
        <v>2.7371099149096889E+78</v>
      </c>
      <c r="HPC53" s="708">
        <f t="shared" si="125"/>
        <v>2.8192232123569794E+78</v>
      </c>
      <c r="HPD53" s="708">
        <f t="shared" si="125"/>
        <v>2.9037999087276889E+78</v>
      </c>
      <c r="HPE53" s="708">
        <f t="shared" si="125"/>
        <v>2.9909139059895198E+78</v>
      </c>
      <c r="HPF53" s="708">
        <f t="shared" ref="HPF53:HRQ53" si="126">HPE53*$C$53</f>
        <v>3.0806413231692056E+78</v>
      </c>
      <c r="HPG53" s="708">
        <f t="shared" si="126"/>
        <v>3.1730605628642819E+78</v>
      </c>
      <c r="HPH53" s="708">
        <f t="shared" si="126"/>
        <v>3.2682523797502106E+78</v>
      </c>
      <c r="HPI53" s="708">
        <f t="shared" si="126"/>
        <v>3.366299951142717E+78</v>
      </c>
      <c r="HPJ53" s="708">
        <f t="shared" si="126"/>
        <v>3.4672889496769985E+78</v>
      </c>
      <c r="HPK53" s="708">
        <f t="shared" si="126"/>
        <v>3.5713076181673085E+78</v>
      </c>
      <c r="HPL53" s="708">
        <f t="shared" si="126"/>
        <v>3.6784468467123277E+78</v>
      </c>
      <c r="HPM53" s="708">
        <f t="shared" si="126"/>
        <v>3.7888002521136977E+78</v>
      </c>
      <c r="HPN53" s="708">
        <f t="shared" si="126"/>
        <v>3.9024642596771086E+78</v>
      </c>
      <c r="HPO53" s="708">
        <f t="shared" si="126"/>
        <v>4.0195381874674217E+78</v>
      </c>
      <c r="HPP53" s="708">
        <f t="shared" si="126"/>
        <v>4.1401243330914441E+78</v>
      </c>
      <c r="HPQ53" s="708">
        <f t="shared" si="126"/>
        <v>4.2643280630841878E+78</v>
      </c>
      <c r="HPR53" s="708">
        <f t="shared" si="126"/>
        <v>4.3922579049767138E+78</v>
      </c>
      <c r="HPS53" s="708">
        <f t="shared" si="126"/>
        <v>4.5240256421260155E+78</v>
      </c>
      <c r="HPT53" s="708">
        <f t="shared" si="126"/>
        <v>4.6597464113897957E+78</v>
      </c>
      <c r="HPU53" s="708">
        <f t="shared" si="126"/>
        <v>4.7995388037314899E+78</v>
      </c>
      <c r="HPV53" s="708">
        <f t="shared" si="126"/>
        <v>4.9435249678434349E+78</v>
      </c>
      <c r="HPW53" s="708">
        <f t="shared" si="126"/>
        <v>5.0918307168787384E+78</v>
      </c>
      <c r="HPX53" s="708">
        <f t="shared" si="126"/>
        <v>5.2445856383851006E+78</v>
      </c>
      <c r="HPY53" s="708">
        <f t="shared" si="126"/>
        <v>5.401923207536654E+78</v>
      </c>
      <c r="HPZ53" s="708">
        <f t="shared" si="126"/>
        <v>5.5639809037627541E+78</v>
      </c>
      <c r="HQA53" s="708">
        <f t="shared" si="126"/>
        <v>5.7309003308756372E+78</v>
      </c>
      <c r="HQB53" s="708">
        <f t="shared" si="126"/>
        <v>5.9028273408019062E+78</v>
      </c>
      <c r="HQC53" s="708">
        <f t="shared" si="126"/>
        <v>6.0799121610259639E+78</v>
      </c>
      <c r="HQD53" s="708">
        <f t="shared" si="126"/>
        <v>6.2623095258567428E+78</v>
      </c>
      <c r="HQE53" s="708">
        <f t="shared" si="126"/>
        <v>6.4501788116324449E+78</v>
      </c>
      <c r="HQF53" s="708">
        <f t="shared" si="126"/>
        <v>6.6436841759814183E+78</v>
      </c>
      <c r="HQG53" s="708">
        <f t="shared" si="126"/>
        <v>6.8429947012608613E+78</v>
      </c>
      <c r="HQH53" s="708">
        <f t="shared" si="126"/>
        <v>7.0482845422986873E+78</v>
      </c>
      <c r="HQI53" s="708">
        <f t="shared" si="126"/>
        <v>7.259733078567648E+78</v>
      </c>
      <c r="HQJ53" s="708">
        <f t="shared" si="126"/>
        <v>7.4775250709246781E+78</v>
      </c>
      <c r="HQK53" s="708">
        <f t="shared" si="126"/>
        <v>7.701850823052419E+78</v>
      </c>
      <c r="HQL53" s="708">
        <f t="shared" si="126"/>
        <v>7.9329063477439919E+78</v>
      </c>
      <c r="HQM53" s="708">
        <f t="shared" si="126"/>
        <v>8.1708935381763111E+78</v>
      </c>
      <c r="HQN53" s="708">
        <f t="shared" si="126"/>
        <v>8.4160203443216009E+78</v>
      </c>
      <c r="HQO53" s="708">
        <f t="shared" si="126"/>
        <v>8.6685009546512488E+78</v>
      </c>
      <c r="HQP53" s="708">
        <f t="shared" si="126"/>
        <v>8.9285559832907864E+78</v>
      </c>
      <c r="HQQ53" s="708">
        <f t="shared" si="126"/>
        <v>9.1964126627895107E+78</v>
      </c>
      <c r="HQR53" s="708">
        <f t="shared" si="126"/>
        <v>9.4723050426731966E+78</v>
      </c>
      <c r="HQS53" s="708">
        <f t="shared" si="126"/>
        <v>9.7564741939533933E+78</v>
      </c>
      <c r="HQT53" s="708">
        <f t="shared" si="126"/>
        <v>1.0049168419771995E+79</v>
      </c>
      <c r="HQU53" s="708">
        <f t="shared" si="126"/>
        <v>1.0350643472365154E+79</v>
      </c>
      <c r="HQV53" s="708">
        <f t="shared" si="126"/>
        <v>1.066116277653611E+79</v>
      </c>
      <c r="HQW53" s="708">
        <f t="shared" si="126"/>
        <v>1.0980997659832193E+79</v>
      </c>
      <c r="HQX53" s="708">
        <f t="shared" si="126"/>
        <v>1.131042758962716E+79</v>
      </c>
      <c r="HQY53" s="708">
        <f t="shared" si="126"/>
        <v>1.1649740417315976E+79</v>
      </c>
      <c r="HQZ53" s="708">
        <f t="shared" si="126"/>
        <v>1.1999232629835456E+79</v>
      </c>
      <c r="HRA53" s="708">
        <f t="shared" si="126"/>
        <v>1.235920960873052E+79</v>
      </c>
      <c r="HRB53" s="708">
        <f t="shared" si="126"/>
        <v>1.2729985896992437E+79</v>
      </c>
      <c r="HRC53" s="708">
        <f t="shared" si="126"/>
        <v>1.3111885473902211E+79</v>
      </c>
      <c r="HRD53" s="708">
        <f t="shared" si="126"/>
        <v>1.3505242038119277E+79</v>
      </c>
      <c r="HRE53" s="708">
        <f t="shared" si="126"/>
        <v>1.3910399299262856E+79</v>
      </c>
      <c r="HRF53" s="708">
        <f t="shared" si="126"/>
        <v>1.4327711278240742E+79</v>
      </c>
      <c r="HRG53" s="708">
        <f t="shared" si="126"/>
        <v>1.4757542616587965E+79</v>
      </c>
      <c r="HRH53" s="708">
        <f t="shared" si="126"/>
        <v>1.5200268895085606E+79</v>
      </c>
      <c r="HRI53" s="708">
        <f t="shared" si="126"/>
        <v>1.5656276961938175E+79</v>
      </c>
      <c r="HRJ53" s="708">
        <f t="shared" si="126"/>
        <v>1.612596527079632E+79</v>
      </c>
      <c r="HRK53" s="708">
        <f t="shared" si="126"/>
        <v>1.6609744228920211E+79</v>
      </c>
      <c r="HRL53" s="708">
        <f t="shared" si="126"/>
        <v>1.7108036555787819E+79</v>
      </c>
      <c r="HRM53" s="708">
        <f t="shared" si="126"/>
        <v>1.7621277652461455E+79</v>
      </c>
      <c r="HRN53" s="708">
        <f t="shared" si="126"/>
        <v>1.8149915982035298E+79</v>
      </c>
      <c r="HRO53" s="708">
        <f t="shared" si="126"/>
        <v>1.8694413461496356E+79</v>
      </c>
      <c r="HRP53" s="708">
        <f t="shared" si="126"/>
        <v>1.9255245865341246E+79</v>
      </c>
      <c r="HRQ53" s="708">
        <f t="shared" si="126"/>
        <v>1.9832903241301485E+79</v>
      </c>
      <c r="HRR53" s="708">
        <f t="shared" ref="HRR53:HUC53" si="127">HRQ53*$C$53</f>
        <v>2.0427890338540528E+79</v>
      </c>
      <c r="HRS53" s="708">
        <f t="shared" si="127"/>
        <v>2.1040727048696744E+79</v>
      </c>
      <c r="HRT53" s="708">
        <f t="shared" si="127"/>
        <v>2.1671948860157646E+79</v>
      </c>
      <c r="HRU53" s="708">
        <f t="shared" si="127"/>
        <v>2.2322107325962376E+79</v>
      </c>
      <c r="HRV53" s="708">
        <f t="shared" si="127"/>
        <v>2.2991770545741247E+79</v>
      </c>
      <c r="HRW53" s="708">
        <f t="shared" si="127"/>
        <v>2.3681523662113485E+79</v>
      </c>
      <c r="HRX53" s="708">
        <f t="shared" si="127"/>
        <v>2.4391969371976891E+79</v>
      </c>
      <c r="HRY53" s="708">
        <f t="shared" si="127"/>
        <v>2.5123728453136199E+79</v>
      </c>
      <c r="HRZ53" s="708">
        <f t="shared" si="127"/>
        <v>2.5877440306730286E+79</v>
      </c>
      <c r="HSA53" s="708">
        <f t="shared" si="127"/>
        <v>2.6653763515932194E+79</v>
      </c>
      <c r="HSB53" s="708">
        <f t="shared" si="127"/>
        <v>2.7453376421410159E+79</v>
      </c>
      <c r="HSC53" s="708">
        <f t="shared" si="127"/>
        <v>2.8276977714052464E+79</v>
      </c>
      <c r="HSD53" s="708">
        <f t="shared" si="127"/>
        <v>2.9125287045474037E+79</v>
      </c>
      <c r="HSE53" s="708">
        <f t="shared" si="127"/>
        <v>2.9999045656838258E+79</v>
      </c>
      <c r="HSF53" s="708">
        <f t="shared" si="127"/>
        <v>3.0899017026543409E+79</v>
      </c>
      <c r="HSG53" s="708">
        <f t="shared" si="127"/>
        <v>3.1825987537339714E+79</v>
      </c>
      <c r="HSH53" s="708">
        <f t="shared" si="127"/>
        <v>3.2780767163459906E+79</v>
      </c>
      <c r="HSI53" s="708">
        <f t="shared" si="127"/>
        <v>3.3764190178363705E+79</v>
      </c>
      <c r="HSJ53" s="708">
        <f t="shared" si="127"/>
        <v>3.4777115883714619E+79</v>
      </c>
      <c r="HSK53" s="708">
        <f t="shared" si="127"/>
        <v>3.582042936022606E+79</v>
      </c>
      <c r="HSL53" s="708">
        <f t="shared" si="127"/>
        <v>3.6895042241032839E+79</v>
      </c>
      <c r="HSM53" s="708">
        <f t="shared" si="127"/>
        <v>3.8001893508263828E+79</v>
      </c>
      <c r="HSN53" s="708">
        <f t="shared" si="127"/>
        <v>3.9141950313511743E+79</v>
      </c>
      <c r="HSO53" s="708">
        <f t="shared" si="127"/>
        <v>4.0316208822917095E+79</v>
      </c>
      <c r="HSP53" s="708">
        <f t="shared" si="127"/>
        <v>4.1525695087604608E+79</v>
      </c>
      <c r="HSQ53" s="708">
        <f t="shared" si="127"/>
        <v>4.2771465940232747E+79</v>
      </c>
      <c r="HSR53" s="708">
        <f t="shared" si="127"/>
        <v>4.4054609918439728E+79</v>
      </c>
      <c r="HSS53" s="708">
        <f t="shared" si="127"/>
        <v>4.5376248215992922E+79</v>
      </c>
      <c r="HST53" s="708">
        <f t="shared" si="127"/>
        <v>4.6737535662472709E+79</v>
      </c>
      <c r="HSU53" s="708">
        <f t="shared" si="127"/>
        <v>4.8139661732346893E+79</v>
      </c>
      <c r="HSV53" s="708">
        <f t="shared" si="127"/>
        <v>4.95838515843173E+79</v>
      </c>
      <c r="HSW53" s="708">
        <f t="shared" si="127"/>
        <v>5.1071367131846823E+79</v>
      </c>
      <c r="HSX53" s="708">
        <f t="shared" si="127"/>
        <v>5.2603508145802231E+79</v>
      </c>
      <c r="HSY53" s="708">
        <f t="shared" si="127"/>
        <v>5.4181613390176302E+79</v>
      </c>
      <c r="HSZ53" s="708">
        <f t="shared" si="127"/>
        <v>5.5807061791881591E+79</v>
      </c>
      <c r="HTA53" s="708">
        <f t="shared" si="127"/>
        <v>5.7481273645638038E+79</v>
      </c>
      <c r="HTB53" s="708">
        <f t="shared" si="127"/>
        <v>5.9205711855007183E+79</v>
      </c>
      <c r="HTC53" s="708">
        <f t="shared" si="127"/>
        <v>6.0981883210657397E+79</v>
      </c>
      <c r="HTD53" s="708">
        <f t="shared" si="127"/>
        <v>6.2811339706977115E+79</v>
      </c>
      <c r="HTE53" s="708">
        <f t="shared" si="127"/>
        <v>6.4695679898186428E+79</v>
      </c>
      <c r="HTF53" s="708">
        <f t="shared" si="127"/>
        <v>6.6636550295132025E+79</v>
      </c>
      <c r="HTG53" s="708">
        <f t="shared" si="127"/>
        <v>6.8635646803985992E+79</v>
      </c>
      <c r="HTH53" s="708">
        <f t="shared" si="127"/>
        <v>7.0694716208105574E+79</v>
      </c>
      <c r="HTI53" s="708">
        <f t="shared" si="127"/>
        <v>7.2815557694348739E+79</v>
      </c>
      <c r="HTJ53" s="708">
        <f t="shared" si="127"/>
        <v>7.5000024425179205E+79</v>
      </c>
      <c r="HTK53" s="708">
        <f t="shared" si="127"/>
        <v>7.7250025157934583E+79</v>
      </c>
      <c r="HTL53" s="708">
        <f t="shared" si="127"/>
        <v>7.956752591267262E+79</v>
      </c>
      <c r="HTM53" s="708">
        <f t="shared" si="127"/>
        <v>8.1954551690052806E+79</v>
      </c>
      <c r="HTN53" s="708">
        <f t="shared" si="127"/>
        <v>8.4413188240754394E+79</v>
      </c>
      <c r="HTO53" s="708">
        <f t="shared" si="127"/>
        <v>8.6945583887977027E+79</v>
      </c>
      <c r="HTP53" s="708">
        <f t="shared" si="127"/>
        <v>8.9553951404616343E+79</v>
      </c>
      <c r="HTQ53" s="708">
        <f t="shared" si="127"/>
        <v>9.2240569946754838E+79</v>
      </c>
      <c r="HTR53" s="708">
        <f t="shared" si="127"/>
        <v>9.5007787045157491E+79</v>
      </c>
      <c r="HTS53" s="708">
        <f t="shared" si="127"/>
        <v>9.7858020656512213E+79</v>
      </c>
      <c r="HTT53" s="708">
        <f t="shared" si="127"/>
        <v>1.0079376127620758E+80</v>
      </c>
      <c r="HTU53" s="708">
        <f t="shared" si="127"/>
        <v>1.0381757411449382E+80</v>
      </c>
      <c r="HTV53" s="708">
        <f t="shared" si="127"/>
        <v>1.0693210133792864E+80</v>
      </c>
      <c r="HTW53" s="708">
        <f t="shared" si="127"/>
        <v>1.101400643780665E+80</v>
      </c>
      <c r="HTX53" s="708">
        <f t="shared" si="127"/>
        <v>1.1344426630940849E+80</v>
      </c>
      <c r="HTY53" s="708">
        <f t="shared" si="127"/>
        <v>1.1684759429869074E+80</v>
      </c>
      <c r="HTZ53" s="708">
        <f t="shared" si="127"/>
        <v>1.2035302212765148E+80</v>
      </c>
      <c r="HUA53" s="708">
        <f t="shared" si="127"/>
        <v>1.2396361279148102E+80</v>
      </c>
      <c r="HUB53" s="708">
        <f t="shared" si="127"/>
        <v>1.2768252117522545E+80</v>
      </c>
      <c r="HUC53" s="708">
        <f t="shared" si="127"/>
        <v>1.3151299681048222E+80</v>
      </c>
      <c r="HUD53" s="708">
        <f t="shared" ref="HUD53:HWO53" si="128">HUC53*$C$53</f>
        <v>1.3545838671479668E+80</v>
      </c>
      <c r="HUE53" s="708">
        <f t="shared" si="128"/>
        <v>1.3952213831624059E+80</v>
      </c>
      <c r="HUF53" s="708">
        <f t="shared" si="128"/>
        <v>1.4370780246572781E+80</v>
      </c>
      <c r="HUG53" s="708">
        <f t="shared" si="128"/>
        <v>1.4801903653969964E+80</v>
      </c>
      <c r="HUH53" s="708">
        <f t="shared" si="128"/>
        <v>1.5245960763589064E+80</v>
      </c>
      <c r="HUI53" s="708">
        <f t="shared" si="128"/>
        <v>1.5703339586496736E+80</v>
      </c>
      <c r="HUJ53" s="708">
        <f t="shared" si="128"/>
        <v>1.6174439774091639E+80</v>
      </c>
      <c r="HUK53" s="708">
        <f t="shared" si="128"/>
        <v>1.6659672967314389E+80</v>
      </c>
      <c r="HUL53" s="708">
        <f t="shared" si="128"/>
        <v>1.7159463156333822E+80</v>
      </c>
      <c r="HUM53" s="708">
        <f t="shared" si="128"/>
        <v>1.7674247051023838E+80</v>
      </c>
      <c r="HUN53" s="708">
        <f t="shared" si="128"/>
        <v>1.8204474462554555E+80</v>
      </c>
      <c r="HUO53" s="708">
        <f t="shared" si="128"/>
        <v>1.8750608696431191E+80</v>
      </c>
      <c r="HUP53" s="708">
        <f t="shared" si="128"/>
        <v>1.9313126957324126E+80</v>
      </c>
      <c r="HUQ53" s="708">
        <f t="shared" si="128"/>
        <v>1.9892520766043849E+80</v>
      </c>
      <c r="HUR53" s="708">
        <f t="shared" si="128"/>
        <v>2.0489296389025165E+80</v>
      </c>
      <c r="HUS53" s="708">
        <f t="shared" si="128"/>
        <v>2.110397528069592E+80</v>
      </c>
      <c r="HUT53" s="708">
        <f t="shared" si="128"/>
        <v>2.1737094539116798E+80</v>
      </c>
      <c r="HUU53" s="708">
        <f t="shared" si="128"/>
        <v>2.2389207375290303E+80</v>
      </c>
      <c r="HUV53" s="708">
        <f t="shared" si="128"/>
        <v>2.3060883596549012E+80</v>
      </c>
      <c r="HUW53" s="708">
        <f t="shared" si="128"/>
        <v>2.3752710104445484E+80</v>
      </c>
      <c r="HUX53" s="708">
        <f t="shared" si="128"/>
        <v>2.4465291407578847E+80</v>
      </c>
      <c r="HUY53" s="708">
        <f t="shared" si="128"/>
        <v>2.5199250149806213E+80</v>
      </c>
      <c r="HUZ53" s="708">
        <f t="shared" si="128"/>
        <v>2.5955227654300401E+80</v>
      </c>
      <c r="HVA53" s="708">
        <f t="shared" si="128"/>
        <v>2.6733884483929415E+80</v>
      </c>
      <c r="HVB53" s="708">
        <f t="shared" si="128"/>
        <v>2.7535901018447297E+80</v>
      </c>
      <c r="HVC53" s="708">
        <f t="shared" si="128"/>
        <v>2.8361978049000719E+80</v>
      </c>
      <c r="HVD53" s="708">
        <f t="shared" si="128"/>
        <v>2.9212837390470739E+80</v>
      </c>
      <c r="HVE53" s="708">
        <f t="shared" si="128"/>
        <v>3.0089222512184862E+80</v>
      </c>
      <c r="HVF53" s="708">
        <f t="shared" si="128"/>
        <v>3.0991899187550406E+80</v>
      </c>
      <c r="HVG53" s="708">
        <f t="shared" si="128"/>
        <v>3.192165616317692E+80</v>
      </c>
      <c r="HVH53" s="708">
        <f t="shared" si="128"/>
        <v>3.2879305848072231E+80</v>
      </c>
      <c r="HVI53" s="708">
        <f t="shared" si="128"/>
        <v>3.3865685023514399E+80</v>
      </c>
      <c r="HVJ53" s="708">
        <f t="shared" si="128"/>
        <v>3.4881655574219834E+80</v>
      </c>
      <c r="HVK53" s="708">
        <f t="shared" si="128"/>
        <v>3.5928105241446431E+80</v>
      </c>
      <c r="HVL53" s="708">
        <f t="shared" si="128"/>
        <v>3.7005948398689828E+80</v>
      </c>
      <c r="HVM53" s="708">
        <f t="shared" si="128"/>
        <v>3.8116126850650526E+80</v>
      </c>
      <c r="HVN53" s="708">
        <f t="shared" si="128"/>
        <v>3.9259610656170043E+80</v>
      </c>
      <c r="HVO53" s="708">
        <f t="shared" si="128"/>
        <v>4.0437398975855147E+80</v>
      </c>
      <c r="HVP53" s="708">
        <f t="shared" si="128"/>
        <v>4.16505209451308E+80</v>
      </c>
      <c r="HVQ53" s="708">
        <f t="shared" si="128"/>
        <v>4.2900036573484723E+80</v>
      </c>
      <c r="HVR53" s="708">
        <f t="shared" si="128"/>
        <v>4.4187037670689268E+80</v>
      </c>
      <c r="HVS53" s="708">
        <f t="shared" si="128"/>
        <v>4.5512648800809945E+80</v>
      </c>
      <c r="HVT53" s="708">
        <f t="shared" si="128"/>
        <v>4.6878028264834246E+80</v>
      </c>
      <c r="HVU53" s="708">
        <f t="shared" si="128"/>
        <v>4.8284369112779269E+80</v>
      </c>
      <c r="HVV53" s="708">
        <f t="shared" si="128"/>
        <v>4.9732900186162645E+80</v>
      </c>
      <c r="HVW53" s="708">
        <f t="shared" si="128"/>
        <v>5.1224887191747521E+80</v>
      </c>
      <c r="HVX53" s="708">
        <f t="shared" si="128"/>
        <v>5.2761633807499951E+80</v>
      </c>
      <c r="HVY53" s="708">
        <f t="shared" si="128"/>
        <v>5.4344482821724951E+80</v>
      </c>
      <c r="HVZ53" s="708">
        <f t="shared" si="128"/>
        <v>5.5974817306376703E+80</v>
      </c>
      <c r="HWA53" s="708">
        <f t="shared" si="128"/>
        <v>5.765406182556801E+80</v>
      </c>
      <c r="HWB53" s="708">
        <f t="shared" si="128"/>
        <v>5.9383683680335056E+80</v>
      </c>
      <c r="HWC53" s="708">
        <f t="shared" si="128"/>
        <v>6.1165194190745112E+80</v>
      </c>
      <c r="HWD53" s="708">
        <f t="shared" si="128"/>
        <v>6.3000150016467463E+80</v>
      </c>
      <c r="HWE53" s="708">
        <f t="shared" si="128"/>
        <v>6.4890154516961486E+80</v>
      </c>
      <c r="HWF53" s="708">
        <f t="shared" si="128"/>
        <v>6.6836859152470334E+80</v>
      </c>
      <c r="HWG53" s="708">
        <f t="shared" si="128"/>
        <v>6.884196492704445E+80</v>
      </c>
      <c r="HWH53" s="708">
        <f t="shared" si="128"/>
        <v>7.0907223874855782E+80</v>
      </c>
      <c r="HWI53" s="708">
        <f t="shared" si="128"/>
        <v>7.3034440591101456E+80</v>
      </c>
      <c r="HWJ53" s="708">
        <f t="shared" si="128"/>
        <v>7.5225473808834501E+80</v>
      </c>
      <c r="HWK53" s="708">
        <f t="shared" si="128"/>
        <v>7.7482238023099533E+80</v>
      </c>
      <c r="HWL53" s="708">
        <f t="shared" si="128"/>
        <v>7.9806705163792517E+80</v>
      </c>
      <c r="HWM53" s="708">
        <f t="shared" si="128"/>
        <v>8.2200906318706292E+80</v>
      </c>
      <c r="HWN53" s="708">
        <f t="shared" si="128"/>
        <v>8.466693350826748E+80</v>
      </c>
      <c r="HWO53" s="708">
        <f t="shared" si="128"/>
        <v>8.7206941513515501E+80</v>
      </c>
      <c r="HWP53" s="708">
        <f t="shared" ref="HWP53:HZA53" si="129">HWO53*$C$53</f>
        <v>8.9823149758920969E+80</v>
      </c>
      <c r="HWQ53" s="708">
        <f t="shared" si="129"/>
        <v>9.2517844251688603E+80</v>
      </c>
      <c r="HWR53" s="708">
        <f t="shared" si="129"/>
        <v>9.5293379579239262E+80</v>
      </c>
      <c r="HWS53" s="708">
        <f t="shared" si="129"/>
        <v>9.8152180966616451E+80</v>
      </c>
      <c r="HWT53" s="708">
        <f t="shared" si="129"/>
        <v>1.0109674639561494E+81</v>
      </c>
      <c r="HWU53" s="708">
        <f t="shared" si="129"/>
        <v>1.0412964878748339E+81</v>
      </c>
      <c r="HWV53" s="708">
        <f t="shared" si="129"/>
        <v>1.072535382511079E+81</v>
      </c>
      <c r="HWW53" s="708">
        <f t="shared" si="129"/>
        <v>1.1047114439864113E+81</v>
      </c>
      <c r="HWX53" s="708">
        <f t="shared" si="129"/>
        <v>1.1378527873060038E+81</v>
      </c>
      <c r="HWY53" s="708">
        <f t="shared" si="129"/>
        <v>1.171988370925184E+81</v>
      </c>
      <c r="HWZ53" s="708">
        <f t="shared" si="129"/>
        <v>1.2071480220529394E+81</v>
      </c>
      <c r="HXA53" s="708">
        <f t="shared" si="129"/>
        <v>1.2433624627145277E+81</v>
      </c>
      <c r="HXB53" s="708">
        <f t="shared" si="129"/>
        <v>1.2806633365959636E+81</v>
      </c>
      <c r="HXC53" s="708">
        <f t="shared" si="129"/>
        <v>1.3190832366938426E+81</v>
      </c>
      <c r="HXD53" s="708">
        <f t="shared" si="129"/>
        <v>1.358655733794658E+81</v>
      </c>
      <c r="HXE53" s="708">
        <f t="shared" si="129"/>
        <v>1.3994154058084979E+81</v>
      </c>
      <c r="HXF53" s="708">
        <f t="shared" si="129"/>
        <v>1.4413978679827528E+81</v>
      </c>
      <c r="HXG53" s="708">
        <f t="shared" si="129"/>
        <v>1.4846398040222355E+81</v>
      </c>
      <c r="HXH53" s="708">
        <f t="shared" si="129"/>
        <v>1.5291789981429027E+81</v>
      </c>
      <c r="HXI53" s="708">
        <f t="shared" si="129"/>
        <v>1.5750543680871899E+81</v>
      </c>
      <c r="HXJ53" s="708">
        <f t="shared" si="129"/>
        <v>1.6223059991298056E+81</v>
      </c>
      <c r="HXK53" s="708">
        <f t="shared" si="129"/>
        <v>1.6709751791036997E+81</v>
      </c>
      <c r="HXL53" s="708">
        <f t="shared" si="129"/>
        <v>1.7211044344768108E+81</v>
      </c>
      <c r="HXM53" s="708">
        <f t="shared" si="129"/>
        <v>1.7727375675111153E+81</v>
      </c>
      <c r="HXN53" s="708">
        <f t="shared" si="129"/>
        <v>1.8259196945364489E+81</v>
      </c>
      <c r="HXO53" s="708">
        <f t="shared" si="129"/>
        <v>1.8806972853725425E+81</v>
      </c>
      <c r="HXP53" s="708">
        <f t="shared" si="129"/>
        <v>1.9371182039337188E+81</v>
      </c>
      <c r="HXQ53" s="708">
        <f t="shared" si="129"/>
        <v>1.9952317500517304E+81</v>
      </c>
      <c r="HXR53" s="708">
        <f t="shared" si="129"/>
        <v>2.0550887025532823E+81</v>
      </c>
      <c r="HXS53" s="708">
        <f t="shared" si="129"/>
        <v>2.1167413636298806E+81</v>
      </c>
      <c r="HXT53" s="708">
        <f t="shared" si="129"/>
        <v>2.1802436045387769E+81</v>
      </c>
      <c r="HXU53" s="708">
        <f t="shared" si="129"/>
        <v>2.2456509126749401E+81</v>
      </c>
      <c r="HXV53" s="708">
        <f t="shared" si="129"/>
        <v>2.3130204400551885E+81</v>
      </c>
      <c r="HXW53" s="708">
        <f t="shared" si="129"/>
        <v>2.3824110532568442E+81</v>
      </c>
      <c r="HXX53" s="708">
        <f t="shared" si="129"/>
        <v>2.4538833848545496E+81</v>
      </c>
      <c r="HXY53" s="708">
        <f t="shared" si="129"/>
        <v>2.5274998864001863E+81</v>
      </c>
      <c r="HXZ53" s="708">
        <f t="shared" si="129"/>
        <v>2.603324882992192E+81</v>
      </c>
      <c r="HYA53" s="708">
        <f t="shared" si="129"/>
        <v>2.6814246294819576E+81</v>
      </c>
      <c r="HYB53" s="708">
        <f t="shared" si="129"/>
        <v>2.7618673683664164E+81</v>
      </c>
      <c r="HYC53" s="708">
        <f t="shared" si="129"/>
        <v>2.8447233894174089E+81</v>
      </c>
      <c r="HYD53" s="708">
        <f t="shared" si="129"/>
        <v>2.9300650910999311E+81</v>
      </c>
      <c r="HYE53" s="708">
        <f t="shared" si="129"/>
        <v>3.0179670438329293E+81</v>
      </c>
      <c r="HYF53" s="708">
        <f t="shared" si="129"/>
        <v>3.1085060551479171E+81</v>
      </c>
      <c r="HYG53" s="708">
        <f t="shared" si="129"/>
        <v>3.2017612368023547E+81</v>
      </c>
      <c r="HYH53" s="708">
        <f t="shared" si="129"/>
        <v>3.2978140739064256E+81</v>
      </c>
      <c r="HYI53" s="708">
        <f t="shared" si="129"/>
        <v>3.3967484961236186E+81</v>
      </c>
      <c r="HYJ53" s="708">
        <f t="shared" si="129"/>
        <v>3.4986509510073274E+81</v>
      </c>
      <c r="HYK53" s="708">
        <f t="shared" si="129"/>
        <v>3.6036104795375474E+81</v>
      </c>
      <c r="HYL53" s="708">
        <f t="shared" si="129"/>
        <v>3.711718793923674E+81</v>
      </c>
      <c r="HYM53" s="708">
        <f t="shared" si="129"/>
        <v>3.8230703577413843E+81</v>
      </c>
      <c r="HYN53" s="708">
        <f t="shared" si="129"/>
        <v>3.9377624684736259E+81</v>
      </c>
      <c r="HYO53" s="708">
        <f t="shared" si="129"/>
        <v>4.0558953425278345E+81</v>
      </c>
      <c r="HYP53" s="708">
        <f t="shared" si="129"/>
        <v>4.1775722028036698E+81</v>
      </c>
      <c r="HYQ53" s="708">
        <f t="shared" si="129"/>
        <v>4.3028993688877802E+81</v>
      </c>
      <c r="HYR53" s="708">
        <f t="shared" si="129"/>
        <v>4.4319863499544138E+81</v>
      </c>
      <c r="HYS53" s="708">
        <f t="shared" si="129"/>
        <v>4.5649459404530466E+81</v>
      </c>
      <c r="HYT53" s="708">
        <f t="shared" si="129"/>
        <v>4.7018943186666384E+81</v>
      </c>
      <c r="HYU53" s="708">
        <f t="shared" si="129"/>
        <v>4.8429511482266374E+81</v>
      </c>
      <c r="HYV53" s="708">
        <f t="shared" si="129"/>
        <v>4.9882396826734364E+81</v>
      </c>
      <c r="HYW53" s="708">
        <f t="shared" si="129"/>
        <v>5.1378868731536397E+81</v>
      </c>
      <c r="HYX53" s="708">
        <f t="shared" si="129"/>
        <v>5.2920234793482495E+81</v>
      </c>
      <c r="HYY53" s="708">
        <f t="shared" si="129"/>
        <v>5.4507841837286974E+81</v>
      </c>
      <c r="HYZ53" s="708">
        <f t="shared" si="129"/>
        <v>5.6143077092405587E+81</v>
      </c>
      <c r="HZA53" s="708">
        <f t="shared" si="129"/>
        <v>5.7827369405177754E+81</v>
      </c>
      <c r="HZB53" s="708">
        <f t="shared" ref="HZB53:IBM53" si="130">HZA53*$C$53</f>
        <v>5.956219048733309E+81</v>
      </c>
      <c r="HZC53" s="708">
        <f t="shared" si="130"/>
        <v>6.1349056201953088E+81</v>
      </c>
      <c r="HZD53" s="708">
        <f t="shared" si="130"/>
        <v>6.3189527888011684E+81</v>
      </c>
      <c r="HZE53" s="708">
        <f t="shared" si="130"/>
        <v>6.5085213724652039E+81</v>
      </c>
      <c r="HZF53" s="708">
        <f t="shared" si="130"/>
        <v>6.7037770136391606E+81</v>
      </c>
      <c r="HZG53" s="708">
        <f t="shared" si="130"/>
        <v>6.904890324048336E+81</v>
      </c>
      <c r="HZH53" s="708">
        <f t="shared" si="130"/>
        <v>7.1120370337697864E+81</v>
      </c>
      <c r="HZI53" s="708">
        <f t="shared" si="130"/>
        <v>7.32539814478288E+81</v>
      </c>
      <c r="HZJ53" s="708">
        <f t="shared" si="130"/>
        <v>7.5451600891263667E+81</v>
      </c>
      <c r="HZK53" s="708">
        <f t="shared" si="130"/>
        <v>7.7715148918001584E+81</v>
      </c>
      <c r="HZL53" s="708">
        <f t="shared" si="130"/>
        <v>8.0046603385541642E+81</v>
      </c>
      <c r="HZM53" s="708">
        <f t="shared" si="130"/>
        <v>8.244800148710789E+81</v>
      </c>
      <c r="HZN53" s="708">
        <f t="shared" si="130"/>
        <v>8.492144153172113E+81</v>
      </c>
      <c r="HZO53" s="708">
        <f t="shared" si="130"/>
        <v>8.7469084777672762E+81</v>
      </c>
      <c r="HZP53" s="708">
        <f t="shared" si="130"/>
        <v>9.0093157321002949E+81</v>
      </c>
      <c r="HZQ53" s="708">
        <f t="shared" si="130"/>
        <v>9.2795952040633045E+81</v>
      </c>
      <c r="HZR53" s="708">
        <f t="shared" si="130"/>
        <v>9.5579830601852031E+81</v>
      </c>
      <c r="HZS53" s="708">
        <f t="shared" si="130"/>
        <v>9.8447225519907598E+81</v>
      </c>
      <c r="HZT53" s="708">
        <f t="shared" si="130"/>
        <v>1.0140064228550484E+82</v>
      </c>
      <c r="HZU53" s="708">
        <f t="shared" si="130"/>
        <v>1.0444266155406998E+82</v>
      </c>
      <c r="HZV53" s="708">
        <f t="shared" si="130"/>
        <v>1.0757594140069208E+82</v>
      </c>
      <c r="HZW53" s="708">
        <f t="shared" si="130"/>
        <v>1.1080321964271285E+82</v>
      </c>
      <c r="HZX53" s="708">
        <f t="shared" si="130"/>
        <v>1.1412731623199424E+82</v>
      </c>
      <c r="HZY53" s="708">
        <f t="shared" si="130"/>
        <v>1.1755113571895408E+82</v>
      </c>
      <c r="HZZ53" s="708">
        <f t="shared" si="130"/>
        <v>1.2107766979052271E+82</v>
      </c>
      <c r="IAA53" s="708">
        <f t="shared" si="130"/>
        <v>1.247099998842384E+82</v>
      </c>
      <c r="IAB53" s="708">
        <f t="shared" si="130"/>
        <v>1.2845129988076556E+82</v>
      </c>
      <c r="IAC53" s="708">
        <f t="shared" si="130"/>
        <v>1.3230483887718854E+82</v>
      </c>
      <c r="IAD53" s="708">
        <f t="shared" si="130"/>
        <v>1.362739840435042E+82</v>
      </c>
      <c r="IAE53" s="708">
        <f t="shared" si="130"/>
        <v>1.4036220356480933E+82</v>
      </c>
      <c r="IAF53" s="708">
        <f t="shared" si="130"/>
        <v>1.4457306967175362E+82</v>
      </c>
      <c r="IAG53" s="708">
        <f t="shared" si="130"/>
        <v>1.4891026176190622E+82</v>
      </c>
      <c r="IAH53" s="708">
        <f t="shared" si="130"/>
        <v>1.5337756961476342E+82</v>
      </c>
      <c r="IAI53" s="708">
        <f t="shared" si="130"/>
        <v>1.5797889670320634E+82</v>
      </c>
      <c r="IAJ53" s="708">
        <f t="shared" si="130"/>
        <v>1.6271826360430253E+82</v>
      </c>
      <c r="IAK53" s="708">
        <f t="shared" si="130"/>
        <v>1.6759981151243162E+82</v>
      </c>
      <c r="IAL53" s="708">
        <f t="shared" si="130"/>
        <v>1.7262780585780456E+82</v>
      </c>
      <c r="IAM53" s="708">
        <f t="shared" si="130"/>
        <v>1.7780664003353869E+82</v>
      </c>
      <c r="IAN53" s="708">
        <f t="shared" si="130"/>
        <v>1.8314083923454486E+82</v>
      </c>
      <c r="IAO53" s="708">
        <f t="shared" si="130"/>
        <v>1.8863506441158119E+82</v>
      </c>
      <c r="IAP53" s="708">
        <f t="shared" si="130"/>
        <v>1.9429411634392862E+82</v>
      </c>
      <c r="IAQ53" s="708">
        <f t="shared" si="130"/>
        <v>2.001229398342465E+82</v>
      </c>
      <c r="IAR53" s="708">
        <f t="shared" si="130"/>
        <v>2.061266280292739E+82</v>
      </c>
      <c r="IAS53" s="708">
        <f t="shared" si="130"/>
        <v>2.1231042687015213E+82</v>
      </c>
      <c r="IAT53" s="708">
        <f t="shared" si="130"/>
        <v>2.186797396762567E+82</v>
      </c>
      <c r="IAU53" s="708">
        <f t="shared" si="130"/>
        <v>2.2524013186654441E+82</v>
      </c>
      <c r="IAV53" s="708">
        <f t="shared" si="130"/>
        <v>2.3199733582254075E+82</v>
      </c>
      <c r="IAW53" s="708">
        <f t="shared" si="130"/>
        <v>2.3895725589721696E+82</v>
      </c>
      <c r="IAX53" s="708">
        <f t="shared" si="130"/>
        <v>2.4612597357413348E+82</v>
      </c>
      <c r="IAY53" s="708">
        <f t="shared" si="130"/>
        <v>2.535097527813575E+82</v>
      </c>
      <c r="IAZ53" s="708">
        <f t="shared" si="130"/>
        <v>2.6111504536479822E+82</v>
      </c>
      <c r="IBA53" s="708">
        <f t="shared" si="130"/>
        <v>2.6894849672574219E+82</v>
      </c>
      <c r="IBB53" s="708">
        <f t="shared" si="130"/>
        <v>2.7701695162751445E+82</v>
      </c>
      <c r="IBC53" s="708">
        <f t="shared" si="130"/>
        <v>2.853274601763399E+82</v>
      </c>
      <c r="IBD53" s="708">
        <f t="shared" si="130"/>
        <v>2.938872839816301E+82</v>
      </c>
      <c r="IBE53" s="708">
        <f t="shared" si="130"/>
        <v>3.02703902501079E+82</v>
      </c>
      <c r="IBF53" s="708">
        <f t="shared" si="130"/>
        <v>3.117850195761114E+82</v>
      </c>
      <c r="IBG53" s="708">
        <f t="shared" si="130"/>
        <v>3.2113857016339473E+82</v>
      </c>
      <c r="IBH53" s="708">
        <f t="shared" si="130"/>
        <v>3.3077272726829655E+82</v>
      </c>
      <c r="IBI53" s="708">
        <f t="shared" si="130"/>
        <v>3.4069590908634543E+82</v>
      </c>
      <c r="IBJ53" s="708">
        <f t="shared" si="130"/>
        <v>3.5091678635893581E+82</v>
      </c>
      <c r="IBK53" s="708">
        <f t="shared" si="130"/>
        <v>3.6144428994970392E+82</v>
      </c>
      <c r="IBL53" s="708">
        <f t="shared" si="130"/>
        <v>3.7228761864819505E+82</v>
      </c>
      <c r="IBM53" s="708">
        <f t="shared" si="130"/>
        <v>3.8345624720764091E+82</v>
      </c>
      <c r="IBN53" s="708">
        <f t="shared" ref="IBN53:IDY53" si="131">IBM53*$C$53</f>
        <v>3.9495993462387015E+82</v>
      </c>
      <c r="IBO53" s="708">
        <f t="shared" si="131"/>
        <v>4.0680873266258623E+82</v>
      </c>
      <c r="IBP53" s="708">
        <f t="shared" si="131"/>
        <v>4.1901299464246386E+82</v>
      </c>
      <c r="IBQ53" s="708">
        <f t="shared" si="131"/>
        <v>4.3158338448173778E+82</v>
      </c>
      <c r="IBR53" s="708">
        <f t="shared" si="131"/>
        <v>4.4453088601618994E+82</v>
      </c>
      <c r="IBS53" s="708">
        <f t="shared" si="131"/>
        <v>4.5786681259667566E+82</v>
      </c>
      <c r="IBT53" s="708">
        <f t="shared" si="131"/>
        <v>4.7160281697457592E+82</v>
      </c>
      <c r="IBU53" s="708">
        <f t="shared" si="131"/>
        <v>4.8575090148381324E+82</v>
      </c>
      <c r="IBV53" s="708">
        <f t="shared" si="131"/>
        <v>5.0032342852832768E+82</v>
      </c>
      <c r="IBW53" s="708">
        <f t="shared" si="131"/>
        <v>5.1533313138417751E+82</v>
      </c>
      <c r="IBX53" s="708">
        <f t="shared" si="131"/>
        <v>5.3079312532570283E+82</v>
      </c>
      <c r="IBY53" s="708">
        <f t="shared" si="131"/>
        <v>5.4671691908547395E+82</v>
      </c>
      <c r="IBZ53" s="708">
        <f t="shared" si="131"/>
        <v>5.6311842665803816E+82</v>
      </c>
      <c r="ICA53" s="708">
        <f t="shared" si="131"/>
        <v>5.8001197945777929E+82</v>
      </c>
      <c r="ICB53" s="708">
        <f t="shared" si="131"/>
        <v>5.9741233884151269E+82</v>
      </c>
      <c r="ICC53" s="708">
        <f t="shared" si="131"/>
        <v>6.1533470900675803E+82</v>
      </c>
      <c r="ICD53" s="708">
        <f t="shared" si="131"/>
        <v>6.3379475027696073E+82</v>
      </c>
      <c r="ICE53" s="708">
        <f t="shared" si="131"/>
        <v>6.5280859278526954E+82</v>
      </c>
      <c r="ICF53" s="708">
        <f t="shared" si="131"/>
        <v>6.7239285056882758E+82</v>
      </c>
      <c r="ICG53" s="708">
        <f t="shared" si="131"/>
        <v>6.9256463608589246E+82</v>
      </c>
      <c r="ICH53" s="708">
        <f t="shared" si="131"/>
        <v>7.133415751684692E+82</v>
      </c>
      <c r="ICI53" s="708">
        <f t="shared" si="131"/>
        <v>7.3474182242352336E+82</v>
      </c>
      <c r="ICJ53" s="708">
        <f t="shared" si="131"/>
        <v>7.5678407709622905E+82</v>
      </c>
      <c r="ICK53" s="708">
        <f t="shared" si="131"/>
        <v>7.794875994091159E+82</v>
      </c>
      <c r="ICL53" s="708">
        <f t="shared" si="131"/>
        <v>8.0287222739138938E+82</v>
      </c>
      <c r="ICM53" s="708">
        <f t="shared" si="131"/>
        <v>8.2695839421313105E+82</v>
      </c>
      <c r="ICN53" s="708">
        <f t="shared" si="131"/>
        <v>8.5176714603952507E+82</v>
      </c>
      <c r="ICO53" s="708">
        <f t="shared" si="131"/>
        <v>8.7732016042071087E+82</v>
      </c>
      <c r="ICP53" s="708">
        <f t="shared" si="131"/>
        <v>9.0363976523333226E+82</v>
      </c>
      <c r="ICQ53" s="708">
        <f t="shared" si="131"/>
        <v>9.3074895819033225E+82</v>
      </c>
      <c r="ICR53" s="708">
        <f t="shared" si="131"/>
        <v>9.586714269360423E+82</v>
      </c>
      <c r="ICS53" s="708">
        <f t="shared" si="131"/>
        <v>9.8743156974412353E+82</v>
      </c>
      <c r="ICT53" s="708">
        <f t="shared" si="131"/>
        <v>1.0170545168364473E+83</v>
      </c>
      <c r="ICU53" s="708">
        <f t="shared" si="131"/>
        <v>1.0475661523415408E+83</v>
      </c>
      <c r="ICV53" s="708">
        <f t="shared" si="131"/>
        <v>1.0789931369117871E+83</v>
      </c>
      <c r="ICW53" s="708">
        <f t="shared" si="131"/>
        <v>1.1113629310191407E+83</v>
      </c>
      <c r="ICX53" s="708">
        <f t="shared" si="131"/>
        <v>1.1447038189497149E+83</v>
      </c>
      <c r="ICY53" s="708">
        <f t="shared" si="131"/>
        <v>1.1790449335182064E+83</v>
      </c>
      <c r="ICZ53" s="708">
        <f t="shared" si="131"/>
        <v>1.2144162815237525E+83</v>
      </c>
      <c r="IDA53" s="708">
        <f t="shared" si="131"/>
        <v>1.2508487699694652E+83</v>
      </c>
      <c r="IDB53" s="708">
        <f t="shared" si="131"/>
        <v>1.2883742330685492E+83</v>
      </c>
      <c r="IDC53" s="708">
        <f t="shared" si="131"/>
        <v>1.3270254600606058E+83</v>
      </c>
      <c r="IDD53" s="708">
        <f t="shared" si="131"/>
        <v>1.3668362238624239E+83</v>
      </c>
      <c r="IDE53" s="708">
        <f t="shared" si="131"/>
        <v>1.4078413105782966E+83</v>
      </c>
      <c r="IDF53" s="708">
        <f t="shared" si="131"/>
        <v>1.4500765498956456E+83</v>
      </c>
      <c r="IDG53" s="708">
        <f t="shared" si="131"/>
        <v>1.493578846392515E+83</v>
      </c>
      <c r="IDH53" s="708">
        <f t="shared" si="131"/>
        <v>1.5383862117842904E+83</v>
      </c>
      <c r="IDI53" s="708">
        <f t="shared" si="131"/>
        <v>1.5845377981378193E+83</v>
      </c>
      <c r="IDJ53" s="708">
        <f t="shared" si="131"/>
        <v>1.6320739320819538E+83</v>
      </c>
      <c r="IDK53" s="708">
        <f t="shared" si="131"/>
        <v>1.6810361500444125E+83</v>
      </c>
      <c r="IDL53" s="708">
        <f t="shared" si="131"/>
        <v>1.7314672345457449E+83</v>
      </c>
      <c r="IDM53" s="708">
        <f t="shared" si="131"/>
        <v>1.7834112515821174E+83</v>
      </c>
      <c r="IDN53" s="708">
        <f t="shared" si="131"/>
        <v>1.8369135891295808E+83</v>
      </c>
      <c r="IDO53" s="708">
        <f t="shared" si="131"/>
        <v>1.8920209968034684E+83</v>
      </c>
      <c r="IDP53" s="708">
        <f t="shared" si="131"/>
        <v>1.9487816267075724E+83</v>
      </c>
      <c r="IDQ53" s="708">
        <f t="shared" si="131"/>
        <v>2.0072450755087996E+83</v>
      </c>
      <c r="IDR53" s="708">
        <f t="shared" si="131"/>
        <v>2.0674624277740638E+83</v>
      </c>
      <c r="IDS53" s="708">
        <f t="shared" si="131"/>
        <v>2.1294863006072856E+83</v>
      </c>
      <c r="IDT53" s="708">
        <f t="shared" si="131"/>
        <v>2.1933708896255044E+83</v>
      </c>
      <c r="IDU53" s="708">
        <f t="shared" si="131"/>
        <v>2.2591720163142695E+83</v>
      </c>
      <c r="IDV53" s="708">
        <f t="shared" si="131"/>
        <v>2.3269471768036977E+83</v>
      </c>
      <c r="IDW53" s="708">
        <f t="shared" si="131"/>
        <v>2.3967555921078086E+83</v>
      </c>
      <c r="IDX53" s="708">
        <f t="shared" si="131"/>
        <v>2.4686582598710426E+83</v>
      </c>
      <c r="IDY53" s="708">
        <f t="shared" si="131"/>
        <v>2.5427180076671741E+83</v>
      </c>
      <c r="IDZ53" s="708">
        <f t="shared" ref="IDZ53:IGK53" si="132">IDY53*$C$53</f>
        <v>2.6189995478971892E+83</v>
      </c>
      <c r="IEA53" s="708">
        <f t="shared" si="132"/>
        <v>2.6975695343341052E+83</v>
      </c>
      <c r="IEB53" s="708">
        <f t="shared" si="132"/>
        <v>2.7784966203641283E+83</v>
      </c>
      <c r="IEC53" s="708">
        <f t="shared" si="132"/>
        <v>2.8618515189750524E+83</v>
      </c>
      <c r="IED53" s="708">
        <f t="shared" si="132"/>
        <v>2.9477070645443039E+83</v>
      </c>
      <c r="IEE53" s="708">
        <f t="shared" si="132"/>
        <v>3.0361382764806334E+83</v>
      </c>
      <c r="IEF53" s="708">
        <f t="shared" si="132"/>
        <v>3.1272224247750523E+83</v>
      </c>
      <c r="IEG53" s="708">
        <f t="shared" si="132"/>
        <v>3.221039097518304E+83</v>
      </c>
      <c r="IEH53" s="708">
        <f t="shared" si="132"/>
        <v>3.3176702704438529E+83</v>
      </c>
      <c r="IEI53" s="708">
        <f t="shared" si="132"/>
        <v>3.4172003785571685E+83</v>
      </c>
      <c r="IEJ53" s="708">
        <f t="shared" si="132"/>
        <v>3.5197163899138838E+83</v>
      </c>
      <c r="IEK53" s="708">
        <f t="shared" si="132"/>
        <v>3.6253078816113005E+83</v>
      </c>
      <c r="IEL53" s="708">
        <f t="shared" si="132"/>
        <v>3.7340671180596399E+83</v>
      </c>
      <c r="IEM53" s="708">
        <f t="shared" si="132"/>
        <v>3.8460891316014291E+83</v>
      </c>
      <c r="IEN53" s="708">
        <f t="shared" si="132"/>
        <v>3.961471805549472E+83</v>
      </c>
      <c r="IEO53" s="708">
        <f t="shared" si="132"/>
        <v>4.0803159597159564E+83</v>
      </c>
      <c r="IEP53" s="708">
        <f t="shared" si="132"/>
        <v>4.202725438507435E+83</v>
      </c>
      <c r="IEQ53" s="708">
        <f t="shared" si="132"/>
        <v>4.328807201662658E+83</v>
      </c>
      <c r="IER53" s="708">
        <f t="shared" si="132"/>
        <v>4.4586714177125377E+83</v>
      </c>
      <c r="IES53" s="708">
        <f t="shared" si="132"/>
        <v>4.5924315602439137E+83</v>
      </c>
      <c r="IET53" s="708">
        <f t="shared" si="132"/>
        <v>4.7302045070512315E+83</v>
      </c>
      <c r="IEU53" s="708">
        <f t="shared" si="132"/>
        <v>4.8721106422627685E+83</v>
      </c>
      <c r="IEV53" s="708">
        <f t="shared" si="132"/>
        <v>5.0182739615306513E+83</v>
      </c>
      <c r="IEW53" s="708">
        <f t="shared" si="132"/>
        <v>5.1688221803765706E+83</v>
      </c>
      <c r="IEX53" s="708">
        <f t="shared" si="132"/>
        <v>5.3238868457878682E+83</v>
      </c>
      <c r="IEY53" s="708">
        <f t="shared" si="132"/>
        <v>5.4836034511615047E+83</v>
      </c>
      <c r="IEZ53" s="708">
        <f t="shared" si="132"/>
        <v>5.6481115546963501E+83</v>
      </c>
      <c r="IFA53" s="708">
        <f t="shared" si="132"/>
        <v>5.8175549013372407E+83</v>
      </c>
      <c r="IFB53" s="708">
        <f t="shared" si="132"/>
        <v>5.992081548377358E+83</v>
      </c>
      <c r="IFC53" s="708">
        <f t="shared" si="132"/>
        <v>6.1718439948286785E+83</v>
      </c>
      <c r="IFD53" s="708">
        <f t="shared" si="132"/>
        <v>6.3569993146735386E+83</v>
      </c>
      <c r="IFE53" s="708">
        <f t="shared" si="132"/>
        <v>6.5477092941137447E+83</v>
      </c>
      <c r="IFF53" s="708">
        <f t="shared" si="132"/>
        <v>6.7441405729371568E+83</v>
      </c>
      <c r="IFG53" s="708">
        <f t="shared" si="132"/>
        <v>6.9464647901252713E+83</v>
      </c>
      <c r="IFH53" s="708">
        <f t="shared" si="132"/>
        <v>7.1548587338290295E+83</v>
      </c>
      <c r="IFI53" s="708">
        <f t="shared" si="132"/>
        <v>7.3695044958439005E+83</v>
      </c>
      <c r="IFJ53" s="708">
        <f t="shared" si="132"/>
        <v>7.5905896307192175E+83</v>
      </c>
      <c r="IFK53" s="708">
        <f t="shared" si="132"/>
        <v>7.8183073196407939E+83</v>
      </c>
      <c r="IFL53" s="708">
        <f t="shared" si="132"/>
        <v>8.0528565392300178E+83</v>
      </c>
      <c r="IFM53" s="708">
        <f t="shared" si="132"/>
        <v>8.2944422354069188E+83</v>
      </c>
      <c r="IFN53" s="708">
        <f t="shared" si="132"/>
        <v>8.5432755024691269E+83</v>
      </c>
      <c r="IFO53" s="708">
        <f t="shared" si="132"/>
        <v>8.7995737675432013E+83</v>
      </c>
      <c r="IFP53" s="708">
        <f t="shared" si="132"/>
        <v>9.0635609805694974E+83</v>
      </c>
      <c r="IFQ53" s="708">
        <f t="shared" si="132"/>
        <v>9.3354678099865826E+83</v>
      </c>
      <c r="IFR53" s="708">
        <f t="shared" si="132"/>
        <v>9.6155318442861802E+83</v>
      </c>
      <c r="IFS53" s="708">
        <f t="shared" si="132"/>
        <v>9.9039977996147656E+83</v>
      </c>
      <c r="IFT53" s="708">
        <f t="shared" si="132"/>
        <v>1.0201117733603209E+84</v>
      </c>
      <c r="IFU53" s="708">
        <f t="shared" si="132"/>
        <v>1.0507151265611305E+84</v>
      </c>
      <c r="IFV53" s="708">
        <f t="shared" si="132"/>
        <v>1.0822365803579644E+84</v>
      </c>
      <c r="IFW53" s="708">
        <f t="shared" si="132"/>
        <v>1.1147036777687034E+84</v>
      </c>
      <c r="IFX53" s="708">
        <f t="shared" si="132"/>
        <v>1.1481447881017646E+84</v>
      </c>
      <c r="IFY53" s="708">
        <f t="shared" si="132"/>
        <v>1.1825891317448175E+84</v>
      </c>
      <c r="IFZ53" s="708">
        <f t="shared" si="132"/>
        <v>1.218066805697162E+84</v>
      </c>
      <c r="IGA53" s="708">
        <f t="shared" si="132"/>
        <v>1.254608809868077E+84</v>
      </c>
      <c r="IGB53" s="708">
        <f t="shared" si="132"/>
        <v>1.2922470741641194E+84</v>
      </c>
      <c r="IGC53" s="708">
        <f t="shared" si="132"/>
        <v>1.3310144863890431E+84</v>
      </c>
      <c r="IGD53" s="708">
        <f t="shared" si="132"/>
        <v>1.3709449209807143E+84</v>
      </c>
      <c r="IGE53" s="708">
        <f t="shared" si="132"/>
        <v>1.4120732686101358E+84</v>
      </c>
      <c r="IGF53" s="708">
        <f t="shared" si="132"/>
        <v>1.4544354666684399E+84</v>
      </c>
      <c r="IGG53" s="708">
        <f t="shared" si="132"/>
        <v>1.4980685306684931E+84</v>
      </c>
      <c r="IGH53" s="708">
        <f t="shared" si="132"/>
        <v>1.5430105865885479E+84</v>
      </c>
      <c r="IGI53" s="708">
        <f t="shared" si="132"/>
        <v>1.5893009041862044E+84</v>
      </c>
      <c r="IGJ53" s="708">
        <f t="shared" si="132"/>
        <v>1.6369799313117906E+84</v>
      </c>
      <c r="IGK53" s="708">
        <f t="shared" si="132"/>
        <v>1.6860893292511444E+84</v>
      </c>
      <c r="IGL53" s="708">
        <f t="shared" ref="IGL53:IIW53" si="133">IGK53*$C$53</f>
        <v>1.7366720091286787E+84</v>
      </c>
      <c r="IGM53" s="708">
        <f t="shared" si="133"/>
        <v>1.7887721694025391E+84</v>
      </c>
      <c r="IGN53" s="708">
        <f t="shared" si="133"/>
        <v>1.8424353344846152E+84</v>
      </c>
      <c r="IGO53" s="708">
        <f t="shared" si="133"/>
        <v>1.8977083945191538E+84</v>
      </c>
      <c r="IGP53" s="708">
        <f t="shared" si="133"/>
        <v>1.9546396463547284E+84</v>
      </c>
      <c r="IGQ53" s="708">
        <f t="shared" si="133"/>
        <v>2.0132788357453701E+84</v>
      </c>
      <c r="IGR53" s="708">
        <f t="shared" si="133"/>
        <v>2.0736772008177311E+84</v>
      </c>
      <c r="IGS53" s="708">
        <f t="shared" si="133"/>
        <v>2.1358875168422629E+84</v>
      </c>
      <c r="IGT53" s="708">
        <f t="shared" si="133"/>
        <v>2.1999641423475306E+84</v>
      </c>
      <c r="IGU53" s="708">
        <f t="shared" si="133"/>
        <v>2.2659630666179567E+84</v>
      </c>
      <c r="IGV53" s="708">
        <f t="shared" si="133"/>
        <v>2.3339419586164954E+84</v>
      </c>
      <c r="IGW53" s="708">
        <f t="shared" si="133"/>
        <v>2.4039602173749902E+84</v>
      </c>
      <c r="IGX53" s="708">
        <f t="shared" si="133"/>
        <v>2.47607902389624E+84</v>
      </c>
      <c r="IGY53" s="708">
        <f t="shared" si="133"/>
        <v>2.5503613946131273E+84</v>
      </c>
      <c r="IGZ53" s="708">
        <f t="shared" si="133"/>
        <v>2.6268722364515212E+84</v>
      </c>
      <c r="IHA53" s="708">
        <f t="shared" si="133"/>
        <v>2.7056784035450668E+84</v>
      </c>
      <c r="IHB53" s="708">
        <f t="shared" si="133"/>
        <v>2.7868487556514191E+84</v>
      </c>
      <c r="IHC53" s="708">
        <f t="shared" si="133"/>
        <v>2.8704542183209615E+84</v>
      </c>
      <c r="IHD53" s="708">
        <f t="shared" si="133"/>
        <v>2.9565678448705904E+84</v>
      </c>
      <c r="IHE53" s="708">
        <f t="shared" si="133"/>
        <v>3.0452648802167083E+84</v>
      </c>
      <c r="IHF53" s="708">
        <f t="shared" si="133"/>
        <v>3.1366228266232096E+84</v>
      </c>
      <c r="IHG53" s="708">
        <f t="shared" si="133"/>
        <v>3.230721511421906E+84</v>
      </c>
      <c r="IHH53" s="708">
        <f t="shared" si="133"/>
        <v>3.3276431567645634E+84</v>
      </c>
      <c r="IHI53" s="708">
        <f t="shared" si="133"/>
        <v>3.4274724514675005E+84</v>
      </c>
      <c r="IHJ53" s="708">
        <f t="shared" si="133"/>
        <v>3.5302966250115254E+84</v>
      </c>
      <c r="IHK53" s="708">
        <f t="shared" si="133"/>
        <v>3.6362055237618711E+84</v>
      </c>
      <c r="IHL53" s="708">
        <f t="shared" si="133"/>
        <v>3.7452916894747273E+84</v>
      </c>
      <c r="IHM53" s="708">
        <f t="shared" si="133"/>
        <v>3.8576504401589691E+84</v>
      </c>
      <c r="IHN53" s="708">
        <f t="shared" si="133"/>
        <v>3.9733799533637381E+84</v>
      </c>
      <c r="IHO53" s="708">
        <f t="shared" si="133"/>
        <v>4.0925813519646502E+84</v>
      </c>
      <c r="IHP53" s="708">
        <f t="shared" si="133"/>
        <v>4.2153587925235895E+84</v>
      </c>
      <c r="IHQ53" s="708">
        <f t="shared" si="133"/>
        <v>4.3418195562992974E+84</v>
      </c>
      <c r="IHR53" s="708">
        <f t="shared" si="133"/>
        <v>4.4720741429882766E+84</v>
      </c>
      <c r="IHS53" s="708">
        <f t="shared" si="133"/>
        <v>4.6062363672779249E+84</v>
      </c>
      <c r="IHT53" s="708">
        <f t="shared" si="133"/>
        <v>4.7444234582962631E+84</v>
      </c>
      <c r="IHU53" s="708">
        <f t="shared" si="133"/>
        <v>4.8867561620451514E+84</v>
      </c>
      <c r="IHV53" s="708">
        <f t="shared" si="133"/>
        <v>5.0333588469065063E+84</v>
      </c>
      <c r="IHW53" s="708">
        <f t="shared" si="133"/>
        <v>5.1843596123137014E+84</v>
      </c>
      <c r="IHX53" s="708">
        <f t="shared" si="133"/>
        <v>5.3398904006831129E+84</v>
      </c>
      <c r="IHY53" s="708">
        <f t="shared" si="133"/>
        <v>5.5000871127036066E+84</v>
      </c>
      <c r="IHZ53" s="708">
        <f t="shared" si="133"/>
        <v>5.6650897260847154E+84</v>
      </c>
      <c r="IIA53" s="708">
        <f t="shared" si="133"/>
        <v>5.8350424178672569E+84</v>
      </c>
      <c r="IIB53" s="708">
        <f t="shared" si="133"/>
        <v>6.0100936904032743E+84</v>
      </c>
      <c r="IIC53" s="708">
        <f t="shared" si="133"/>
        <v>6.1903965011153728E+84</v>
      </c>
      <c r="IID53" s="708">
        <f t="shared" si="133"/>
        <v>6.3761083961488345E+84</v>
      </c>
      <c r="IIE53" s="708">
        <f t="shared" si="133"/>
        <v>6.5673916480332999E+84</v>
      </c>
      <c r="IIF53" s="708">
        <f t="shared" si="133"/>
        <v>6.7644133974742991E+84</v>
      </c>
      <c r="IIG53" s="708">
        <f t="shared" si="133"/>
        <v>6.9673457993985284E+84</v>
      </c>
      <c r="IIH53" s="708">
        <f t="shared" si="133"/>
        <v>7.1763661733804848E+84</v>
      </c>
      <c r="III53" s="708">
        <f t="shared" si="133"/>
        <v>7.3916571585818998E+84</v>
      </c>
      <c r="IIJ53" s="708">
        <f t="shared" si="133"/>
        <v>7.6134068733393572E+84</v>
      </c>
      <c r="IIK53" s="708">
        <f t="shared" si="133"/>
        <v>7.8418090795395374E+84</v>
      </c>
      <c r="IIL53" s="708">
        <f t="shared" si="133"/>
        <v>8.0770633519257236E+84</v>
      </c>
      <c r="IIM53" s="708">
        <f t="shared" si="133"/>
        <v>8.3193752524834951E+84</v>
      </c>
      <c r="IIN53" s="708">
        <f t="shared" si="133"/>
        <v>8.5689565100579998E+84</v>
      </c>
      <c r="IIO53" s="708">
        <f t="shared" si="133"/>
        <v>8.8260252053597403E+84</v>
      </c>
      <c r="IIP53" s="708">
        <f t="shared" si="133"/>
        <v>9.0908059615205325E+84</v>
      </c>
      <c r="IIQ53" s="708">
        <f t="shared" si="133"/>
        <v>9.3635301403661482E+84</v>
      </c>
      <c r="IIR53" s="708">
        <f t="shared" si="133"/>
        <v>9.6444360445771327E+84</v>
      </c>
      <c r="IIS53" s="708">
        <f t="shared" si="133"/>
        <v>9.9337691259144466E+84</v>
      </c>
      <c r="IIT53" s="708">
        <f t="shared" si="133"/>
        <v>1.023178219969188E+85</v>
      </c>
      <c r="IIU53" s="708">
        <f t="shared" si="133"/>
        <v>1.0538735665682636E+85</v>
      </c>
      <c r="IIV53" s="708">
        <f t="shared" si="133"/>
        <v>1.0854897735653116E+85</v>
      </c>
      <c r="IIW53" s="708">
        <f t="shared" si="133"/>
        <v>1.1180544667722709E+85</v>
      </c>
      <c r="IIX53" s="708">
        <f t="shared" ref="IIX53:ILI53" si="134">IIW53*$C$53</f>
        <v>1.1515961007754391E+85</v>
      </c>
      <c r="IIY53" s="708">
        <f t="shared" si="134"/>
        <v>1.1861439837987023E+85</v>
      </c>
      <c r="IIZ53" s="708">
        <f t="shared" si="134"/>
        <v>1.2217283033126634E+85</v>
      </c>
      <c r="IJA53" s="708">
        <f t="shared" si="134"/>
        <v>1.2583801524120434E+85</v>
      </c>
      <c r="IJB53" s="708">
        <f t="shared" si="134"/>
        <v>1.2961315569844048E+85</v>
      </c>
      <c r="IJC53" s="708">
        <f t="shared" si="134"/>
        <v>1.335015503693937E+85</v>
      </c>
      <c r="IJD53" s="708">
        <f t="shared" si="134"/>
        <v>1.3750659688047552E+85</v>
      </c>
      <c r="IJE53" s="708">
        <f t="shared" si="134"/>
        <v>1.4163179478688979E+85</v>
      </c>
      <c r="IJF53" s="708">
        <f t="shared" si="134"/>
        <v>1.4588074863049649E+85</v>
      </c>
      <c r="IJG53" s="708">
        <f t="shared" si="134"/>
        <v>1.5025717108941138E+85</v>
      </c>
      <c r="IJH53" s="708">
        <f t="shared" si="134"/>
        <v>1.5476488622209372E+85</v>
      </c>
      <c r="IJI53" s="708">
        <f t="shared" si="134"/>
        <v>1.5940783280875655E+85</v>
      </c>
      <c r="IJJ53" s="708">
        <f t="shared" si="134"/>
        <v>1.6419006779301926E+85</v>
      </c>
      <c r="IJK53" s="708">
        <f t="shared" si="134"/>
        <v>1.6911576982680984E+85</v>
      </c>
      <c r="IJL53" s="708">
        <f t="shared" si="134"/>
        <v>1.7418924292161412E+85</v>
      </c>
      <c r="IJM53" s="708">
        <f t="shared" si="134"/>
        <v>1.7941492020926255E+85</v>
      </c>
      <c r="IJN53" s="708">
        <f t="shared" si="134"/>
        <v>1.8479736781554044E+85</v>
      </c>
      <c r="IJO53" s="708">
        <f t="shared" si="134"/>
        <v>1.9034128885000666E+85</v>
      </c>
      <c r="IJP53" s="708">
        <f t="shared" si="134"/>
        <v>1.9605152751550686E+85</v>
      </c>
      <c r="IJQ53" s="708">
        <f t="shared" si="134"/>
        <v>2.0193307334097207E+85</v>
      </c>
      <c r="IJR53" s="708">
        <f t="shared" si="134"/>
        <v>2.0799106554120124E+85</v>
      </c>
      <c r="IJS53" s="708">
        <f t="shared" si="134"/>
        <v>2.1423079750743728E+85</v>
      </c>
      <c r="IJT53" s="708">
        <f t="shared" si="134"/>
        <v>2.2065772143266039E+85</v>
      </c>
      <c r="IJU53" s="708">
        <f t="shared" si="134"/>
        <v>2.2727745307564019E+85</v>
      </c>
      <c r="IJV53" s="708">
        <f t="shared" si="134"/>
        <v>2.3409577666790939E+85</v>
      </c>
      <c r="IJW53" s="708">
        <f t="shared" si="134"/>
        <v>2.4111864996794669E+85</v>
      </c>
      <c r="IJX53" s="708">
        <f t="shared" si="134"/>
        <v>2.4835220946698509E+85</v>
      </c>
      <c r="IJY53" s="708">
        <f t="shared" si="134"/>
        <v>2.5580277575099466E+85</v>
      </c>
      <c r="IJZ53" s="708">
        <f t="shared" si="134"/>
        <v>2.634768590235245E+85</v>
      </c>
      <c r="IKA53" s="708">
        <f t="shared" si="134"/>
        <v>2.7138116479423026E+85</v>
      </c>
      <c r="IKB53" s="708">
        <f t="shared" si="134"/>
        <v>2.7952259973805718E+85</v>
      </c>
      <c r="IKC53" s="708">
        <f t="shared" si="134"/>
        <v>2.879082777301989E+85</v>
      </c>
      <c r="IKD53" s="708">
        <f t="shared" si="134"/>
        <v>2.9654552606210487E+85</v>
      </c>
      <c r="IKE53" s="708">
        <f t="shared" si="134"/>
        <v>3.0544189184396804E+85</v>
      </c>
      <c r="IKF53" s="708">
        <f t="shared" si="134"/>
        <v>3.146051485992871E+85</v>
      </c>
      <c r="IKG53" s="708">
        <f t="shared" si="134"/>
        <v>3.240433030572657E+85</v>
      </c>
      <c r="IKH53" s="708">
        <f t="shared" si="134"/>
        <v>3.3376460214898366E+85</v>
      </c>
      <c r="IKI53" s="708">
        <f t="shared" si="134"/>
        <v>3.4377754021345319E+85</v>
      </c>
      <c r="IKJ53" s="708">
        <f t="shared" si="134"/>
        <v>3.540908664198568E+85</v>
      </c>
      <c r="IKK53" s="708">
        <f t="shared" si="134"/>
        <v>3.6471359241245248E+85</v>
      </c>
      <c r="IKL53" s="708">
        <f t="shared" si="134"/>
        <v>3.7565500018482609E+85</v>
      </c>
      <c r="IKM53" s="708">
        <f t="shared" si="134"/>
        <v>3.8692465019037087E+85</v>
      </c>
      <c r="IKN53" s="708">
        <f t="shared" si="134"/>
        <v>3.9853238969608202E+85</v>
      </c>
      <c r="IKO53" s="708">
        <f t="shared" si="134"/>
        <v>4.1048836138696448E+85</v>
      </c>
      <c r="IKP53" s="708">
        <f t="shared" si="134"/>
        <v>4.2280301222857341E+85</v>
      </c>
      <c r="IKQ53" s="708">
        <f t="shared" si="134"/>
        <v>4.3548710259543062E+85</v>
      </c>
      <c r="IKR53" s="708">
        <f t="shared" si="134"/>
        <v>4.4855171567329357E+85</v>
      </c>
      <c r="IKS53" s="708">
        <f t="shared" si="134"/>
        <v>4.620082671434924E+85</v>
      </c>
      <c r="IKT53" s="708">
        <f t="shared" si="134"/>
        <v>4.7586851515779719E+85</v>
      </c>
      <c r="IKU53" s="708">
        <f t="shared" si="134"/>
        <v>4.9014457061253109E+85</v>
      </c>
      <c r="IKV53" s="708">
        <f t="shared" si="134"/>
        <v>5.0484890773090701E+85</v>
      </c>
      <c r="IKW53" s="708">
        <f t="shared" si="134"/>
        <v>5.1999437496283422E+85</v>
      </c>
      <c r="IKX53" s="708">
        <f t="shared" si="134"/>
        <v>5.3559420621171928E+85</v>
      </c>
      <c r="IKY53" s="708">
        <f t="shared" si="134"/>
        <v>5.5166203239807087E+85</v>
      </c>
      <c r="IKZ53" s="708">
        <f t="shared" si="134"/>
        <v>5.6821189337001298E+85</v>
      </c>
      <c r="ILA53" s="708">
        <f t="shared" si="134"/>
        <v>5.8525825017111341E+85</v>
      </c>
      <c r="ILB53" s="708">
        <f t="shared" si="134"/>
        <v>6.0281599767624685E+85</v>
      </c>
      <c r="ILC53" s="708">
        <f t="shared" si="134"/>
        <v>6.209004776065343E+85</v>
      </c>
      <c r="ILD53" s="708">
        <f t="shared" si="134"/>
        <v>6.395274919347303E+85</v>
      </c>
      <c r="ILE53" s="708">
        <f t="shared" si="134"/>
        <v>6.5871331669277228E+85</v>
      </c>
      <c r="ILF53" s="708">
        <f t="shared" si="134"/>
        <v>6.7847471619355544E+85</v>
      </c>
      <c r="ILG53" s="708">
        <f t="shared" si="134"/>
        <v>6.9882895767936212E+85</v>
      </c>
      <c r="ILH53" s="708">
        <f t="shared" si="134"/>
        <v>7.1979382640974303E+85</v>
      </c>
      <c r="ILI53" s="708">
        <f t="shared" si="134"/>
        <v>7.4138764120203531E+85</v>
      </c>
      <c r="ILJ53" s="708">
        <f t="shared" ref="ILJ53:INU53" si="135">ILI53*$C$53</f>
        <v>7.6362927043809638E+85</v>
      </c>
      <c r="ILK53" s="708">
        <f t="shared" si="135"/>
        <v>7.8653814855123935E+85</v>
      </c>
      <c r="ILL53" s="708">
        <f t="shared" si="135"/>
        <v>8.1013429300777649E+85</v>
      </c>
      <c r="ILM53" s="708">
        <f t="shared" si="135"/>
        <v>8.3443832179800975E+85</v>
      </c>
      <c r="ILN53" s="708">
        <f t="shared" si="135"/>
        <v>8.5947147145195002E+85</v>
      </c>
      <c r="ILO53" s="708">
        <f t="shared" si="135"/>
        <v>8.8525561559550852E+85</v>
      </c>
      <c r="ILP53" s="708">
        <f t="shared" si="135"/>
        <v>9.1181328406337383E+85</v>
      </c>
      <c r="ILQ53" s="708">
        <f t="shared" si="135"/>
        <v>9.3916768258527513E+85</v>
      </c>
      <c r="ILR53" s="708">
        <f t="shared" si="135"/>
        <v>9.6734271306283347E+85</v>
      </c>
      <c r="ILS53" s="708">
        <f t="shared" si="135"/>
        <v>9.9636299445471851E+85</v>
      </c>
      <c r="ILT53" s="708">
        <f t="shared" si="135"/>
        <v>1.0262538842883601E+86</v>
      </c>
      <c r="ILU53" s="708">
        <f t="shared" si="135"/>
        <v>1.0570415008170109E+86</v>
      </c>
      <c r="ILV53" s="708">
        <f t="shared" si="135"/>
        <v>1.0887527458415213E+86</v>
      </c>
      <c r="ILW53" s="708">
        <f t="shared" si="135"/>
        <v>1.121415328216767E+86</v>
      </c>
      <c r="ILX53" s="708">
        <f t="shared" si="135"/>
        <v>1.15505778806327E+86</v>
      </c>
      <c r="ILY53" s="708">
        <f t="shared" si="135"/>
        <v>1.1897095217051681E+86</v>
      </c>
      <c r="ILZ53" s="708">
        <f t="shared" si="135"/>
        <v>1.2254008073563231E+86</v>
      </c>
      <c r="IMA53" s="708">
        <f t="shared" si="135"/>
        <v>1.2621628315770127E+86</v>
      </c>
      <c r="IMB53" s="708">
        <f t="shared" si="135"/>
        <v>1.3000277165243232E+86</v>
      </c>
      <c r="IMC53" s="708">
        <f t="shared" si="135"/>
        <v>1.3390285480200529E+86</v>
      </c>
      <c r="IMD53" s="708">
        <f t="shared" si="135"/>
        <v>1.3791994044606545E+86</v>
      </c>
      <c r="IME53" s="708">
        <f t="shared" si="135"/>
        <v>1.420575386594474E+86</v>
      </c>
      <c r="IMF53" s="708">
        <f t="shared" si="135"/>
        <v>1.4631926481923083E+86</v>
      </c>
      <c r="IMG53" s="708">
        <f t="shared" si="135"/>
        <v>1.5070884276380776E+86</v>
      </c>
      <c r="IMH53" s="708">
        <f t="shared" si="135"/>
        <v>1.55230108046722E+86</v>
      </c>
      <c r="IMI53" s="708">
        <f t="shared" si="135"/>
        <v>1.5988701128812365E+86</v>
      </c>
      <c r="IMJ53" s="708">
        <f t="shared" si="135"/>
        <v>1.6468362162676736E+86</v>
      </c>
      <c r="IMK53" s="708">
        <f t="shared" si="135"/>
        <v>1.6962413027557039E+86</v>
      </c>
      <c r="IML53" s="708">
        <f t="shared" si="135"/>
        <v>1.747128541838375E+86</v>
      </c>
      <c r="IMM53" s="708">
        <f t="shared" si="135"/>
        <v>1.7995423980935263E+86</v>
      </c>
      <c r="IMN53" s="708">
        <f t="shared" si="135"/>
        <v>1.8535286700363323E+86</v>
      </c>
      <c r="IMO53" s="708">
        <f t="shared" si="135"/>
        <v>1.9091345301374222E+86</v>
      </c>
      <c r="IMP53" s="708">
        <f t="shared" si="135"/>
        <v>1.966408566041545E+86</v>
      </c>
      <c r="IMQ53" s="708">
        <f t="shared" si="135"/>
        <v>2.0254008230227915E+86</v>
      </c>
      <c r="IMR53" s="708">
        <f t="shared" si="135"/>
        <v>2.0861628477134753E+86</v>
      </c>
      <c r="IMS53" s="708">
        <f t="shared" si="135"/>
        <v>2.1487477331448796E+86</v>
      </c>
      <c r="IMT53" s="708">
        <f t="shared" si="135"/>
        <v>2.213210165139226E+86</v>
      </c>
      <c r="IMU53" s="708">
        <f t="shared" si="135"/>
        <v>2.2796064700934029E+86</v>
      </c>
      <c r="IMV53" s="708">
        <f t="shared" si="135"/>
        <v>2.3479946641962049E+86</v>
      </c>
      <c r="IMW53" s="708">
        <f t="shared" si="135"/>
        <v>2.4184345041220911E+86</v>
      </c>
      <c r="IMX53" s="708">
        <f t="shared" si="135"/>
        <v>2.4909875392457542E+86</v>
      </c>
      <c r="IMY53" s="708">
        <f t="shared" si="135"/>
        <v>2.5657171654231269E+86</v>
      </c>
      <c r="IMZ53" s="708">
        <f t="shared" si="135"/>
        <v>2.6426886803858208E+86</v>
      </c>
      <c r="INA53" s="708">
        <f t="shared" si="135"/>
        <v>2.7219693407973953E+86</v>
      </c>
      <c r="INB53" s="708">
        <f t="shared" si="135"/>
        <v>2.803628421021317E+86</v>
      </c>
      <c r="INC53" s="708">
        <f t="shared" si="135"/>
        <v>2.8877372736519564E+86</v>
      </c>
      <c r="IND53" s="708">
        <f t="shared" si="135"/>
        <v>2.9743693918615152E+86</v>
      </c>
      <c r="INE53" s="708">
        <f t="shared" si="135"/>
        <v>3.0636004736173606E+86</v>
      </c>
      <c r="INF53" s="708">
        <f t="shared" si="135"/>
        <v>3.1555084878258814E+86</v>
      </c>
      <c r="ING53" s="708">
        <f t="shared" si="135"/>
        <v>3.250173742460658E+86</v>
      </c>
      <c r="INH53" s="708">
        <f t="shared" si="135"/>
        <v>3.3476789547344781E+86</v>
      </c>
      <c r="INI53" s="708">
        <f t="shared" si="135"/>
        <v>3.4481093233765125E+86</v>
      </c>
      <c r="INJ53" s="708">
        <f t="shared" si="135"/>
        <v>3.5515526030778078E+86</v>
      </c>
      <c r="INK53" s="708">
        <f t="shared" si="135"/>
        <v>3.6580991811701423E+86</v>
      </c>
      <c r="INL53" s="708">
        <f t="shared" si="135"/>
        <v>3.7678421566052468E+86</v>
      </c>
      <c r="INM53" s="708">
        <f t="shared" si="135"/>
        <v>3.8808774213034044E+86</v>
      </c>
      <c r="INN53" s="708">
        <f t="shared" si="135"/>
        <v>3.9973037439425064E+86</v>
      </c>
      <c r="INO53" s="708">
        <f t="shared" si="135"/>
        <v>4.1172228562607816E+86</v>
      </c>
      <c r="INP53" s="708">
        <f t="shared" si="135"/>
        <v>4.2407395419486053E+86</v>
      </c>
      <c r="INQ53" s="708">
        <f t="shared" si="135"/>
        <v>4.3679617282070635E+86</v>
      </c>
      <c r="INR53" s="708">
        <f t="shared" si="135"/>
        <v>4.4990005800532754E+86</v>
      </c>
      <c r="INS53" s="708">
        <f t="shared" si="135"/>
        <v>4.6339705974548736E+86</v>
      </c>
      <c r="INT53" s="708">
        <f t="shared" si="135"/>
        <v>4.7729897153785202E+86</v>
      </c>
      <c r="INU53" s="708">
        <f t="shared" si="135"/>
        <v>4.9161794068398758E+86</v>
      </c>
      <c r="INV53" s="708">
        <f t="shared" ref="INV53:IQG53" si="136">INU53*$C$53</f>
        <v>5.0636647890450724E+86</v>
      </c>
      <c r="INW53" s="708">
        <f t="shared" si="136"/>
        <v>5.2155747327164248E+86</v>
      </c>
      <c r="INX53" s="708">
        <f t="shared" si="136"/>
        <v>5.3720419746979175E+86</v>
      </c>
      <c r="INY53" s="708">
        <f t="shared" si="136"/>
        <v>5.5332032339388554E+86</v>
      </c>
      <c r="INZ53" s="708">
        <f t="shared" si="136"/>
        <v>5.6991993309570208E+86</v>
      </c>
      <c r="IOA53" s="708">
        <f t="shared" si="136"/>
        <v>5.8701753108857314E+86</v>
      </c>
      <c r="IOB53" s="708">
        <f t="shared" si="136"/>
        <v>6.0462805702123033E+86</v>
      </c>
      <c r="IOC53" s="708">
        <f t="shared" si="136"/>
        <v>6.2276689873186724E+86</v>
      </c>
      <c r="IOD53" s="708">
        <f t="shared" si="136"/>
        <v>6.4144990569382327E+86</v>
      </c>
      <c r="IOE53" s="708">
        <f t="shared" si="136"/>
        <v>6.60693402864638E+86</v>
      </c>
      <c r="IOF53" s="708">
        <f t="shared" si="136"/>
        <v>6.8051420495057715E+86</v>
      </c>
      <c r="IOG53" s="708">
        <f t="shared" si="136"/>
        <v>7.0092963109909446E+86</v>
      </c>
      <c r="IOH53" s="708">
        <f t="shared" si="136"/>
        <v>7.2195752003206731E+86</v>
      </c>
      <c r="IOI53" s="708">
        <f t="shared" si="136"/>
        <v>7.436162456330293E+86</v>
      </c>
      <c r="IOJ53" s="708">
        <f t="shared" si="136"/>
        <v>7.6592473300202021E+86</v>
      </c>
      <c r="IOK53" s="708">
        <f t="shared" si="136"/>
        <v>7.8890247499208083E+86</v>
      </c>
      <c r="IOL53" s="708">
        <f t="shared" si="136"/>
        <v>8.1256954924184325E+86</v>
      </c>
      <c r="IOM53" s="708">
        <f t="shared" si="136"/>
        <v>8.3694663571909862E+86</v>
      </c>
      <c r="ION53" s="708">
        <f t="shared" si="136"/>
        <v>8.6205503479067155E+86</v>
      </c>
      <c r="IOO53" s="708">
        <f t="shared" si="136"/>
        <v>8.8791668583439174E+86</v>
      </c>
      <c r="IOP53" s="708">
        <f t="shared" si="136"/>
        <v>9.1455418640942355E+86</v>
      </c>
      <c r="IOQ53" s="708">
        <f t="shared" si="136"/>
        <v>9.4199081200170625E+86</v>
      </c>
      <c r="IOR53" s="708">
        <f t="shared" si="136"/>
        <v>9.7025053636175742E+86</v>
      </c>
      <c r="IOS53" s="708">
        <f t="shared" si="136"/>
        <v>9.9935805245261015E+86</v>
      </c>
      <c r="IOT53" s="708">
        <f t="shared" si="136"/>
        <v>1.0293387940261885E+87</v>
      </c>
      <c r="IOU53" s="708">
        <f t="shared" si="136"/>
        <v>1.0602189578469742E+87</v>
      </c>
      <c r="IOV53" s="708">
        <f t="shared" si="136"/>
        <v>1.0920255265823835E+87</v>
      </c>
      <c r="IOW53" s="708">
        <f t="shared" si="136"/>
        <v>1.1247862923798549E+87</v>
      </c>
      <c r="IOX53" s="708">
        <f t="shared" si="136"/>
        <v>1.1585298811512506E+87</v>
      </c>
      <c r="IOY53" s="708">
        <f t="shared" si="136"/>
        <v>1.1932857775857882E+87</v>
      </c>
      <c r="IOZ53" s="708">
        <f t="shared" si="136"/>
        <v>1.2290843509133618E+87</v>
      </c>
      <c r="IPA53" s="708">
        <f t="shared" si="136"/>
        <v>1.2659568814407628E+87</v>
      </c>
      <c r="IPB53" s="708">
        <f t="shared" si="136"/>
        <v>1.3039355878839858E+87</v>
      </c>
      <c r="IPC53" s="708">
        <f t="shared" si="136"/>
        <v>1.3430536555205053E+87</v>
      </c>
      <c r="IPD53" s="708">
        <f t="shared" si="136"/>
        <v>1.3833452651861205E+87</v>
      </c>
      <c r="IPE53" s="708">
        <f t="shared" si="136"/>
        <v>1.4248456231417041E+87</v>
      </c>
      <c r="IPF53" s="708">
        <f t="shared" si="136"/>
        <v>1.4675909918359552E+87</v>
      </c>
      <c r="IPG53" s="708">
        <f t="shared" si="136"/>
        <v>1.5116187215910339E+87</v>
      </c>
      <c r="IPH53" s="708">
        <f t="shared" si="136"/>
        <v>1.556967283238765E+87</v>
      </c>
      <c r="IPI53" s="708">
        <f t="shared" si="136"/>
        <v>1.6036763017359279E+87</v>
      </c>
      <c r="IPJ53" s="708">
        <f t="shared" si="136"/>
        <v>1.6517865907880058E+87</v>
      </c>
      <c r="IPK53" s="708">
        <f t="shared" si="136"/>
        <v>1.701340188511646E+87</v>
      </c>
      <c r="IPL53" s="708">
        <f t="shared" si="136"/>
        <v>1.7523803941669954E+87</v>
      </c>
      <c r="IPM53" s="708">
        <f t="shared" si="136"/>
        <v>1.8049518059920054E+87</v>
      </c>
      <c r="IPN53" s="708">
        <f t="shared" si="136"/>
        <v>1.8591003601717657E+87</v>
      </c>
      <c r="IPO53" s="708">
        <f t="shared" si="136"/>
        <v>1.9148733709769186E+87</v>
      </c>
      <c r="IPP53" s="708">
        <f t="shared" si="136"/>
        <v>1.9723195721062262E+87</v>
      </c>
      <c r="IPQ53" s="708">
        <f t="shared" si="136"/>
        <v>2.0314891592694132E+87</v>
      </c>
      <c r="IPR53" s="708">
        <f t="shared" si="136"/>
        <v>2.0924338340474957E+87</v>
      </c>
      <c r="IPS53" s="708">
        <f t="shared" si="136"/>
        <v>2.1552068490689206E+87</v>
      </c>
      <c r="IPT53" s="708">
        <f t="shared" si="136"/>
        <v>2.2198630545409882E+87</v>
      </c>
      <c r="IPU53" s="708">
        <f t="shared" si="136"/>
        <v>2.2864589461772179E+87</v>
      </c>
      <c r="IPV53" s="708">
        <f t="shared" si="136"/>
        <v>2.3550527145625344E+87</v>
      </c>
      <c r="IPW53" s="708">
        <f t="shared" si="136"/>
        <v>2.4257042959994104E+87</v>
      </c>
      <c r="IPX53" s="708">
        <f t="shared" si="136"/>
        <v>2.498475424879393E+87</v>
      </c>
      <c r="IPY53" s="708">
        <f t="shared" si="136"/>
        <v>2.573429687625775E+87</v>
      </c>
      <c r="IPZ53" s="708">
        <f t="shared" si="136"/>
        <v>2.6506325782545481E+87</v>
      </c>
      <c r="IQA53" s="708">
        <f t="shared" si="136"/>
        <v>2.7301515556021847E+87</v>
      </c>
      <c r="IQB53" s="708">
        <f t="shared" si="136"/>
        <v>2.8120561022702504E+87</v>
      </c>
      <c r="IQC53" s="708">
        <f t="shared" si="136"/>
        <v>2.896417785338358E+87</v>
      </c>
      <c r="IQD53" s="708">
        <f t="shared" si="136"/>
        <v>2.9833103188985086E+87</v>
      </c>
      <c r="IQE53" s="708">
        <f t="shared" si="136"/>
        <v>3.0728096284654639E+87</v>
      </c>
      <c r="IQF53" s="708">
        <f t="shared" si="136"/>
        <v>3.1649939173194278E+87</v>
      </c>
      <c r="IQG53" s="708">
        <f t="shared" si="136"/>
        <v>3.2599437348390106E+87</v>
      </c>
      <c r="IQH53" s="708">
        <f t="shared" ref="IQH53:ISS53" si="137">IQG53*$C$53</f>
        <v>3.357742046884181E+87</v>
      </c>
      <c r="IQI53" s="708">
        <f t="shared" si="137"/>
        <v>3.4584743082907065E+87</v>
      </c>
      <c r="IQJ53" s="708">
        <f t="shared" si="137"/>
        <v>3.5622285375394278E+87</v>
      </c>
      <c r="IQK53" s="708">
        <f t="shared" si="137"/>
        <v>3.6690953936656108E+87</v>
      </c>
      <c r="IQL53" s="708">
        <f t="shared" si="137"/>
        <v>3.7791682554755794E+87</v>
      </c>
      <c r="IQM53" s="708">
        <f t="shared" si="137"/>
        <v>3.8925433031398468E+87</v>
      </c>
      <c r="IQN53" s="708">
        <f t="shared" si="137"/>
        <v>4.0093196022340426E+87</v>
      </c>
      <c r="IQO53" s="708">
        <f t="shared" si="137"/>
        <v>4.1295991903010644E+87</v>
      </c>
      <c r="IQP53" s="708">
        <f t="shared" si="137"/>
        <v>4.2534871660100963E+87</v>
      </c>
      <c r="IQQ53" s="708">
        <f t="shared" si="137"/>
        <v>4.3810917809903989E+87</v>
      </c>
      <c r="IQR53" s="708">
        <f t="shared" si="137"/>
        <v>4.5125245344201108E+87</v>
      </c>
      <c r="IQS53" s="708">
        <f t="shared" si="137"/>
        <v>4.6479002704527144E+87</v>
      </c>
      <c r="IQT53" s="708">
        <f t="shared" si="137"/>
        <v>4.7873372785662961E+87</v>
      </c>
      <c r="IQU53" s="708">
        <f t="shared" si="137"/>
        <v>4.9309573969232849E+87</v>
      </c>
      <c r="IQV53" s="708">
        <f t="shared" si="137"/>
        <v>5.0788861188309834E+87</v>
      </c>
      <c r="IQW53" s="708">
        <f t="shared" si="137"/>
        <v>5.2312527023959127E+87</v>
      </c>
      <c r="IQX53" s="708">
        <f t="shared" si="137"/>
        <v>5.3881902834677901E+87</v>
      </c>
      <c r="IQY53" s="708">
        <f t="shared" si="137"/>
        <v>5.5498359919718244E+87</v>
      </c>
      <c r="IQZ53" s="708">
        <f t="shared" si="137"/>
        <v>5.7163310717309788E+87</v>
      </c>
      <c r="IRA53" s="708">
        <f t="shared" si="137"/>
        <v>5.8878210038829083E+87</v>
      </c>
      <c r="IRB53" s="708">
        <f t="shared" si="137"/>
        <v>6.0644556339993955E+87</v>
      </c>
      <c r="IRC53" s="708">
        <f t="shared" si="137"/>
        <v>6.2463893030193772E+87</v>
      </c>
      <c r="IRD53" s="708">
        <f t="shared" si="137"/>
        <v>6.4337809821099583E+87</v>
      </c>
      <c r="IRE53" s="708">
        <f t="shared" si="137"/>
        <v>6.6267944115732573E+87</v>
      </c>
      <c r="IRF53" s="708">
        <f t="shared" si="137"/>
        <v>6.8255982439204555E+87</v>
      </c>
      <c r="IRG53" s="708">
        <f t="shared" si="137"/>
        <v>7.0303661912380695E+87</v>
      </c>
      <c r="IRH53" s="708">
        <f t="shared" si="137"/>
        <v>7.241277176975212E+87</v>
      </c>
      <c r="IRI53" s="708">
        <f t="shared" si="137"/>
        <v>7.4585154922844682E+87</v>
      </c>
      <c r="IRJ53" s="708">
        <f t="shared" si="137"/>
        <v>7.6822709570530021E+87</v>
      </c>
      <c r="IRK53" s="708">
        <f t="shared" si="137"/>
        <v>7.9127390857645921E+87</v>
      </c>
      <c r="IRL53" s="708">
        <f t="shared" si="137"/>
        <v>8.1501212583375307E+87</v>
      </c>
      <c r="IRM53" s="708">
        <f t="shared" si="137"/>
        <v>8.3946248960876575E+87</v>
      </c>
      <c r="IRN53" s="708">
        <f t="shared" si="137"/>
        <v>8.6464636429702865E+87</v>
      </c>
      <c r="IRO53" s="708">
        <f t="shared" si="137"/>
        <v>8.9058575522593962E+87</v>
      </c>
      <c r="IRP53" s="708">
        <f t="shared" si="137"/>
        <v>9.1730332788271784E+87</v>
      </c>
      <c r="IRQ53" s="708">
        <f t="shared" si="137"/>
        <v>9.4482242771919939E+87</v>
      </c>
      <c r="IRR53" s="708">
        <f t="shared" si="137"/>
        <v>9.7316710055077545E+87</v>
      </c>
      <c r="IRS53" s="708">
        <f t="shared" si="137"/>
        <v>1.0023621135672987E+88</v>
      </c>
      <c r="IRT53" s="708">
        <f t="shared" si="137"/>
        <v>1.0324329769743178E+88</v>
      </c>
      <c r="IRU53" s="708">
        <f t="shared" si="137"/>
        <v>1.0634059662835473E+88</v>
      </c>
      <c r="IRV53" s="708">
        <f t="shared" si="137"/>
        <v>1.0953081452720538E+88</v>
      </c>
      <c r="IRW53" s="708">
        <f t="shared" si="137"/>
        <v>1.1281673896302155E+88</v>
      </c>
      <c r="IRX53" s="708">
        <f t="shared" si="137"/>
        <v>1.162012411319122E+88</v>
      </c>
      <c r="IRY53" s="708">
        <f t="shared" si="137"/>
        <v>1.1968727836586957E+88</v>
      </c>
      <c r="IRZ53" s="708">
        <f t="shared" si="137"/>
        <v>1.2327789671684566E+88</v>
      </c>
      <c r="ISA53" s="708">
        <f t="shared" si="137"/>
        <v>1.2697623361835104E+88</v>
      </c>
      <c r="ISB53" s="708">
        <f t="shared" si="137"/>
        <v>1.3078552062690157E+88</v>
      </c>
      <c r="ISC53" s="708">
        <f t="shared" si="137"/>
        <v>1.3470908624570861E+88</v>
      </c>
      <c r="ISD53" s="708">
        <f t="shared" si="137"/>
        <v>1.3875035883307987E+88</v>
      </c>
      <c r="ISE53" s="708">
        <f t="shared" si="137"/>
        <v>1.4291286959807227E+88</v>
      </c>
      <c r="ISF53" s="708">
        <f t="shared" si="137"/>
        <v>1.4720025568601443E+88</v>
      </c>
      <c r="ISG53" s="708">
        <f t="shared" si="137"/>
        <v>1.5161626335659487E+88</v>
      </c>
      <c r="ISH53" s="708">
        <f t="shared" si="137"/>
        <v>1.5616475125729272E+88</v>
      </c>
      <c r="ISI53" s="708">
        <f t="shared" si="137"/>
        <v>1.6084969379501152E+88</v>
      </c>
      <c r="ISJ53" s="708">
        <f t="shared" si="137"/>
        <v>1.6567518460886186E+88</v>
      </c>
      <c r="ISK53" s="708">
        <f t="shared" si="137"/>
        <v>1.7064544014712771E+88</v>
      </c>
      <c r="ISL53" s="708">
        <f t="shared" si="137"/>
        <v>1.7576480335154156E+88</v>
      </c>
      <c r="ISM53" s="708">
        <f t="shared" si="137"/>
        <v>1.8103774745208782E+88</v>
      </c>
      <c r="ISN53" s="708">
        <f t="shared" si="137"/>
        <v>1.8646887987565046E+88</v>
      </c>
      <c r="ISO53" s="708">
        <f t="shared" si="137"/>
        <v>1.9206294627191996E+88</v>
      </c>
      <c r="ISP53" s="708">
        <f t="shared" si="137"/>
        <v>1.9782483466007757E+88</v>
      </c>
      <c r="ISQ53" s="708">
        <f t="shared" si="137"/>
        <v>2.0375957969987989E+88</v>
      </c>
      <c r="ISR53" s="708">
        <f t="shared" si="137"/>
        <v>2.098723670908763E+88</v>
      </c>
      <c r="ISS53" s="708">
        <f t="shared" si="137"/>
        <v>2.1616853810360261E+88</v>
      </c>
      <c r="IST53" s="708">
        <f t="shared" ref="IST53:IVE53" si="138">ISS53*$C$53</f>
        <v>2.226535942467107E+88</v>
      </c>
      <c r="ISU53" s="708">
        <f t="shared" si="138"/>
        <v>2.2933320207411204E+88</v>
      </c>
      <c r="ISV53" s="708">
        <f t="shared" si="138"/>
        <v>2.3621319813633542E+88</v>
      </c>
      <c r="ISW53" s="708">
        <f t="shared" si="138"/>
        <v>2.4329959408042548E+88</v>
      </c>
      <c r="ISX53" s="708">
        <f t="shared" si="138"/>
        <v>2.5059858190283825E+88</v>
      </c>
      <c r="ISY53" s="708">
        <f t="shared" si="138"/>
        <v>2.5811653935992339E+88</v>
      </c>
      <c r="ISZ53" s="708">
        <f t="shared" si="138"/>
        <v>2.658600355407211E+88</v>
      </c>
      <c r="ITA53" s="708">
        <f t="shared" si="138"/>
        <v>2.7383583660694275E+88</v>
      </c>
      <c r="ITB53" s="708">
        <f t="shared" si="138"/>
        <v>2.8205091170515105E+88</v>
      </c>
      <c r="ITC53" s="708">
        <f t="shared" si="138"/>
        <v>2.905124390563056E+88</v>
      </c>
      <c r="ITD53" s="708">
        <f t="shared" si="138"/>
        <v>2.9922781222799477E+88</v>
      </c>
      <c r="ITE53" s="708">
        <f t="shared" si="138"/>
        <v>3.0820464659483461E+88</v>
      </c>
      <c r="ITF53" s="708">
        <f t="shared" si="138"/>
        <v>3.1745078599267966E+88</v>
      </c>
      <c r="ITG53" s="708">
        <f t="shared" si="138"/>
        <v>3.2697430957246006E+88</v>
      </c>
      <c r="ITH53" s="708">
        <f t="shared" si="138"/>
        <v>3.3678353885963388E+88</v>
      </c>
      <c r="ITI53" s="708">
        <f t="shared" si="138"/>
        <v>3.4688704502542288E+88</v>
      </c>
      <c r="ITJ53" s="708">
        <f t="shared" si="138"/>
        <v>3.5729365637618558E+88</v>
      </c>
      <c r="ITK53" s="708">
        <f t="shared" si="138"/>
        <v>3.6801246606747116E+88</v>
      </c>
      <c r="ITL53" s="708">
        <f t="shared" si="138"/>
        <v>3.790528400494953E+88</v>
      </c>
      <c r="ITM53" s="708">
        <f t="shared" si="138"/>
        <v>3.9042442525098014E+88</v>
      </c>
      <c r="ITN53" s="708">
        <f t="shared" si="138"/>
        <v>4.0213715800850959E+88</v>
      </c>
      <c r="ITO53" s="708">
        <f t="shared" si="138"/>
        <v>4.142012727487649E+88</v>
      </c>
      <c r="ITP53" s="708">
        <f t="shared" si="138"/>
        <v>4.2662731093122789E+88</v>
      </c>
      <c r="ITQ53" s="708">
        <f t="shared" si="138"/>
        <v>4.3942613025916474E+88</v>
      </c>
      <c r="ITR53" s="708">
        <f t="shared" si="138"/>
        <v>4.5260891416693967E+88</v>
      </c>
      <c r="ITS53" s="708">
        <f t="shared" si="138"/>
        <v>4.661871815919479E+88</v>
      </c>
      <c r="ITT53" s="708">
        <f t="shared" si="138"/>
        <v>4.8017279703970637E+88</v>
      </c>
      <c r="ITU53" s="708">
        <f t="shared" si="138"/>
        <v>4.945779809508976E+88</v>
      </c>
      <c r="ITV53" s="708">
        <f t="shared" si="138"/>
        <v>5.0941532037942456E+88</v>
      </c>
      <c r="ITW53" s="708">
        <f t="shared" si="138"/>
        <v>5.2469777999080732E+88</v>
      </c>
      <c r="ITX53" s="708">
        <f t="shared" si="138"/>
        <v>5.4043871339053155E+88</v>
      </c>
      <c r="ITY53" s="708">
        <f t="shared" si="138"/>
        <v>5.5665187479224755E+88</v>
      </c>
      <c r="ITZ53" s="708">
        <f t="shared" si="138"/>
        <v>5.7335143103601502E+88</v>
      </c>
      <c r="IUA53" s="708">
        <f t="shared" si="138"/>
        <v>5.9055197396709545E+88</v>
      </c>
      <c r="IUB53" s="708">
        <f t="shared" si="138"/>
        <v>6.0826853318610834E+88</v>
      </c>
      <c r="IUC53" s="708">
        <f t="shared" si="138"/>
        <v>6.2651658918169158E+88</v>
      </c>
      <c r="IUD53" s="708">
        <f t="shared" si="138"/>
        <v>6.453120868571423E+88</v>
      </c>
      <c r="IUE53" s="708">
        <f t="shared" si="138"/>
        <v>6.646714494628566E+88</v>
      </c>
      <c r="IUF53" s="708">
        <f t="shared" si="138"/>
        <v>6.8461159294674237E+88</v>
      </c>
      <c r="IUG53" s="708">
        <f t="shared" si="138"/>
        <v>7.0514994073514473E+88</v>
      </c>
      <c r="IUH53" s="708">
        <f t="shared" si="138"/>
        <v>7.2630443895719914E+88</v>
      </c>
      <c r="IUI53" s="708">
        <f t="shared" si="138"/>
        <v>7.4809357212591508E+88</v>
      </c>
      <c r="IUJ53" s="708">
        <f t="shared" si="138"/>
        <v>7.7053637928969251E+88</v>
      </c>
      <c r="IUK53" s="708">
        <f t="shared" si="138"/>
        <v>7.936524706683833E+88</v>
      </c>
      <c r="IUL53" s="708">
        <f t="shared" si="138"/>
        <v>8.1746204478843475E+88</v>
      </c>
      <c r="IUM53" s="708">
        <f t="shared" si="138"/>
        <v>8.4198590613208783E+88</v>
      </c>
      <c r="IUN53" s="708">
        <f t="shared" si="138"/>
        <v>8.6724548331605049E+88</v>
      </c>
      <c r="IUO53" s="708">
        <f t="shared" si="138"/>
        <v>8.9326284781553203E+88</v>
      </c>
      <c r="IUP53" s="708">
        <f t="shared" si="138"/>
        <v>9.2006073324999798E+88</v>
      </c>
      <c r="IUQ53" s="708">
        <f t="shared" si="138"/>
        <v>9.4766255524749799E+88</v>
      </c>
      <c r="IUR53" s="708">
        <f t="shared" si="138"/>
        <v>9.76092431904923E+88</v>
      </c>
      <c r="IUS53" s="708">
        <f t="shared" si="138"/>
        <v>1.0053752048620707E+89</v>
      </c>
      <c r="IUT53" s="708">
        <f t="shared" si="138"/>
        <v>1.0355364610079329E+89</v>
      </c>
      <c r="IUU53" s="708">
        <f t="shared" si="138"/>
        <v>1.0666025548381708E+89</v>
      </c>
      <c r="IUV53" s="708">
        <f t="shared" si="138"/>
        <v>1.0986006314833161E+89</v>
      </c>
      <c r="IUW53" s="708">
        <f t="shared" si="138"/>
        <v>1.1315586504278155E+89</v>
      </c>
      <c r="IUX53" s="708">
        <f t="shared" si="138"/>
        <v>1.16550540994065E+89</v>
      </c>
      <c r="IUY53" s="708">
        <f t="shared" si="138"/>
        <v>1.2004705722388695E+89</v>
      </c>
      <c r="IUZ53" s="708">
        <f t="shared" si="138"/>
        <v>1.2364846894060356E+89</v>
      </c>
      <c r="IVA53" s="708">
        <f t="shared" si="138"/>
        <v>1.2735792300882168E+89</v>
      </c>
      <c r="IVB53" s="708">
        <f t="shared" si="138"/>
        <v>1.3117866069908633E+89</v>
      </c>
      <c r="IVC53" s="708">
        <f t="shared" si="138"/>
        <v>1.3511402052005893E+89</v>
      </c>
      <c r="IVD53" s="708">
        <f t="shared" si="138"/>
        <v>1.3916744113566069E+89</v>
      </c>
      <c r="IVE53" s="708">
        <f t="shared" si="138"/>
        <v>1.4334246436973052E+89</v>
      </c>
      <c r="IVF53" s="708">
        <f t="shared" ref="IVF53:IXQ53" si="139">IVE53*$C$53</f>
        <v>1.4764273830082245E+89</v>
      </c>
      <c r="IVG53" s="708">
        <f t="shared" si="139"/>
        <v>1.5207202044984714E+89</v>
      </c>
      <c r="IVH53" s="708">
        <f t="shared" si="139"/>
        <v>1.5663418106334256E+89</v>
      </c>
      <c r="IVI53" s="708">
        <f t="shared" si="139"/>
        <v>1.6133320649524285E+89</v>
      </c>
      <c r="IVJ53" s="708">
        <f t="shared" si="139"/>
        <v>1.6617320269010014E+89</v>
      </c>
      <c r="IVK53" s="708">
        <f t="shared" si="139"/>
        <v>1.7115839877080315E+89</v>
      </c>
      <c r="IVL53" s="708">
        <f t="shared" si="139"/>
        <v>1.7629315073392726E+89</v>
      </c>
      <c r="IVM53" s="708">
        <f t="shared" si="139"/>
        <v>1.8158194525594507E+89</v>
      </c>
      <c r="IVN53" s="708">
        <f t="shared" si="139"/>
        <v>1.8702940361362343E+89</v>
      </c>
      <c r="IVO53" s="708">
        <f t="shared" si="139"/>
        <v>1.9264028572203213E+89</v>
      </c>
      <c r="IVP53" s="708">
        <f t="shared" si="139"/>
        <v>1.9841949429369309E+89</v>
      </c>
      <c r="IVQ53" s="708">
        <f t="shared" si="139"/>
        <v>2.043720791225039E+89</v>
      </c>
      <c r="IVR53" s="708">
        <f t="shared" si="139"/>
        <v>2.1050324149617903E+89</v>
      </c>
      <c r="IVS53" s="708">
        <f t="shared" si="139"/>
        <v>2.168183387410644E+89</v>
      </c>
      <c r="IVT53" s="708">
        <f t="shared" si="139"/>
        <v>2.2332288890329635E+89</v>
      </c>
      <c r="IVU53" s="708">
        <f t="shared" si="139"/>
        <v>2.3002257557039525E+89</v>
      </c>
      <c r="IVV53" s="708">
        <f t="shared" si="139"/>
        <v>2.369232528375071E+89</v>
      </c>
      <c r="IVW53" s="708">
        <f t="shared" si="139"/>
        <v>2.4403095042263231E+89</v>
      </c>
      <c r="IVX53" s="708">
        <f t="shared" si="139"/>
        <v>2.5135187893531128E+89</v>
      </c>
      <c r="IVY53" s="708">
        <f t="shared" si="139"/>
        <v>2.5889243530337065E+89</v>
      </c>
      <c r="IVZ53" s="708">
        <f t="shared" si="139"/>
        <v>2.6665920836247179E+89</v>
      </c>
      <c r="IWA53" s="708">
        <f t="shared" si="139"/>
        <v>2.7465898461334596E+89</v>
      </c>
      <c r="IWB53" s="708">
        <f t="shared" si="139"/>
        <v>2.8289875415174632E+89</v>
      </c>
      <c r="IWC53" s="708">
        <f t="shared" si="139"/>
        <v>2.9138571677629874E+89</v>
      </c>
      <c r="IWD53" s="708">
        <f t="shared" si="139"/>
        <v>3.0012728827958772E+89</v>
      </c>
      <c r="IWE53" s="708">
        <f t="shared" si="139"/>
        <v>3.0913110692797538E+89</v>
      </c>
      <c r="IWF53" s="708">
        <f t="shared" si="139"/>
        <v>3.1840504013581468E+89</v>
      </c>
      <c r="IWG53" s="708">
        <f t="shared" si="139"/>
        <v>3.2795719133988913E+89</v>
      </c>
      <c r="IWH53" s="708">
        <f t="shared" si="139"/>
        <v>3.3779590708008583E+89</v>
      </c>
      <c r="IWI53" s="708">
        <f t="shared" si="139"/>
        <v>3.4792978429248842E+89</v>
      </c>
      <c r="IWJ53" s="708">
        <f t="shared" si="139"/>
        <v>3.5836767782126308E+89</v>
      </c>
      <c r="IWK53" s="708">
        <f t="shared" si="139"/>
        <v>3.6911870815590096E+89</v>
      </c>
      <c r="IWL53" s="708">
        <f t="shared" si="139"/>
        <v>3.80192269400578E+89</v>
      </c>
      <c r="IWM53" s="708">
        <f t="shared" si="139"/>
        <v>3.9159803748259536E+89</v>
      </c>
      <c r="IWN53" s="708">
        <f t="shared" si="139"/>
        <v>4.0334597860707326E+89</v>
      </c>
      <c r="IWO53" s="708">
        <f t="shared" si="139"/>
        <v>4.1544635796528544E+89</v>
      </c>
      <c r="IWP53" s="708">
        <f t="shared" si="139"/>
        <v>4.2790974870424402E+89</v>
      </c>
      <c r="IWQ53" s="708">
        <f t="shared" si="139"/>
        <v>4.4074704116537136E+89</v>
      </c>
      <c r="IWR53" s="708">
        <f t="shared" si="139"/>
        <v>4.539694524003325E+89</v>
      </c>
      <c r="IWS53" s="708">
        <f t="shared" si="139"/>
        <v>4.6758853597234248E+89</v>
      </c>
      <c r="IWT53" s="708">
        <f t="shared" si="139"/>
        <v>4.8161619205151277E+89</v>
      </c>
      <c r="IWU53" s="708">
        <f t="shared" si="139"/>
        <v>4.9606467781305819E+89</v>
      </c>
      <c r="IWV53" s="708">
        <f t="shared" si="139"/>
        <v>5.1094661814744991E+89</v>
      </c>
      <c r="IWW53" s="708">
        <f t="shared" si="139"/>
        <v>5.2627501669187341E+89</v>
      </c>
      <c r="IWX53" s="708">
        <f t="shared" si="139"/>
        <v>5.4206326719262963E+89</v>
      </c>
      <c r="IWY53" s="708">
        <f t="shared" si="139"/>
        <v>5.5832516520840853E+89</v>
      </c>
      <c r="IWZ53" s="708">
        <f t="shared" si="139"/>
        <v>5.7507492016466085E+89</v>
      </c>
      <c r="IXA53" s="708">
        <f t="shared" si="139"/>
        <v>5.9232716776960074E+89</v>
      </c>
      <c r="IXB53" s="708">
        <f t="shared" si="139"/>
        <v>6.100969828026888E+89</v>
      </c>
      <c r="IXC53" s="708">
        <f t="shared" si="139"/>
        <v>6.2839989228676945E+89</v>
      </c>
      <c r="IXD53" s="708">
        <f t="shared" si="139"/>
        <v>6.4725188905537253E+89</v>
      </c>
      <c r="IXE53" s="708">
        <f t="shared" si="139"/>
        <v>6.6666944572703369E+89</v>
      </c>
      <c r="IXF53" s="708">
        <f t="shared" si="139"/>
        <v>6.8666952909884468E+89</v>
      </c>
      <c r="IXG53" s="708">
        <f t="shared" si="139"/>
        <v>7.0726961497181003E+89</v>
      </c>
      <c r="IXH53" s="708">
        <f t="shared" si="139"/>
        <v>7.2848770342096431E+89</v>
      </c>
      <c r="IXI53" s="708">
        <f t="shared" si="139"/>
        <v>7.5034233452359322E+89</v>
      </c>
      <c r="IXJ53" s="708">
        <f t="shared" si="139"/>
        <v>7.7285260455930103E+89</v>
      </c>
      <c r="IXK53" s="708">
        <f t="shared" si="139"/>
        <v>7.9603818269608004E+89</v>
      </c>
      <c r="IXL53" s="708">
        <f t="shared" si="139"/>
        <v>8.1991932817696249E+89</v>
      </c>
      <c r="IXM53" s="708">
        <f t="shared" si="139"/>
        <v>8.4451690802227137E+89</v>
      </c>
      <c r="IXN53" s="708">
        <f t="shared" si="139"/>
        <v>8.6985241526293949E+89</v>
      </c>
      <c r="IXO53" s="708">
        <f t="shared" si="139"/>
        <v>8.9594798772082771E+89</v>
      </c>
      <c r="IXP53" s="708">
        <f t="shared" si="139"/>
        <v>9.2282642735245253E+89</v>
      </c>
      <c r="IXQ53" s="708">
        <f t="shared" si="139"/>
        <v>9.5051122017302609E+89</v>
      </c>
      <c r="IXR53" s="708">
        <f t="shared" ref="IXR53:JAC53" si="140">IXQ53*$C$53</f>
        <v>9.7902655677821692E+89</v>
      </c>
      <c r="IXS53" s="708">
        <f t="shared" si="140"/>
        <v>1.0083973534815634E+90</v>
      </c>
      <c r="IXT53" s="708">
        <f t="shared" si="140"/>
        <v>1.0386492740860103E+90</v>
      </c>
      <c r="IXU53" s="708">
        <f t="shared" si="140"/>
        <v>1.0698087523085906E+90</v>
      </c>
      <c r="IXV53" s="708">
        <f t="shared" si="140"/>
        <v>1.1019030148778483E+90</v>
      </c>
      <c r="IXW53" s="708">
        <f t="shared" si="140"/>
        <v>1.1349601053241837E+90</v>
      </c>
      <c r="IXX53" s="708">
        <f t="shared" si="140"/>
        <v>1.1690089084839094E+90</v>
      </c>
      <c r="IXY53" s="708">
        <f t="shared" si="140"/>
        <v>1.2040791757384267E+90</v>
      </c>
      <c r="IXZ53" s="708">
        <f t="shared" si="140"/>
        <v>1.2402015510105795E+90</v>
      </c>
      <c r="IYA53" s="708">
        <f t="shared" si="140"/>
        <v>1.2774075975408969E+90</v>
      </c>
      <c r="IYB53" s="708">
        <f t="shared" si="140"/>
        <v>1.3157298254671238E+90</v>
      </c>
      <c r="IYC53" s="708">
        <f t="shared" si="140"/>
        <v>1.3552017202311375E+90</v>
      </c>
      <c r="IYD53" s="708">
        <f t="shared" si="140"/>
        <v>1.3958577718380717E+90</v>
      </c>
      <c r="IYE53" s="708">
        <f t="shared" si="140"/>
        <v>1.4377335049932139E+90</v>
      </c>
      <c r="IYF53" s="708">
        <f t="shared" si="140"/>
        <v>1.4808655101430103E+90</v>
      </c>
      <c r="IYG53" s="708">
        <f t="shared" si="140"/>
        <v>1.5252914754473006E+90</v>
      </c>
      <c r="IYH53" s="708">
        <f t="shared" si="140"/>
        <v>1.5710502197107197E+90</v>
      </c>
      <c r="IYI53" s="708">
        <f t="shared" si="140"/>
        <v>1.6181817263020414E+90</v>
      </c>
      <c r="IYJ53" s="708">
        <f t="shared" si="140"/>
        <v>1.6667271780911027E+90</v>
      </c>
      <c r="IYK53" s="708">
        <f t="shared" si="140"/>
        <v>1.7167289934338359E+90</v>
      </c>
      <c r="IYL53" s="708">
        <f t="shared" si="140"/>
        <v>1.768230863236851E+90</v>
      </c>
      <c r="IYM53" s="708">
        <f t="shared" si="140"/>
        <v>1.8212777891339565E+90</v>
      </c>
      <c r="IYN53" s="708">
        <f t="shared" si="140"/>
        <v>1.8759161228079752E+90</v>
      </c>
      <c r="IYO53" s="708">
        <f t="shared" si="140"/>
        <v>1.9321936064922145E+90</v>
      </c>
      <c r="IYP53" s="708">
        <f t="shared" si="140"/>
        <v>1.9901594146869809E+90</v>
      </c>
      <c r="IYQ53" s="708">
        <f t="shared" si="140"/>
        <v>2.0498641971275902E+90</v>
      </c>
      <c r="IYR53" s="708">
        <f t="shared" si="140"/>
        <v>2.1113601230414181E+90</v>
      </c>
      <c r="IYS53" s="708">
        <f t="shared" si="140"/>
        <v>2.1747009267326606E+90</v>
      </c>
      <c r="IYT53" s="708">
        <f t="shared" si="140"/>
        <v>2.2399419545346404E+90</v>
      </c>
      <c r="IYU53" s="708">
        <f t="shared" si="140"/>
        <v>2.3071402131706799E+90</v>
      </c>
      <c r="IYV53" s="708">
        <f t="shared" si="140"/>
        <v>2.3763544195658003E+90</v>
      </c>
      <c r="IYW53" s="708">
        <f t="shared" si="140"/>
        <v>2.4476450521527745E+90</v>
      </c>
      <c r="IYX53" s="708">
        <f t="shared" si="140"/>
        <v>2.521074403717358E+90</v>
      </c>
      <c r="IYY53" s="708">
        <f t="shared" si="140"/>
        <v>2.5967066358288789E+90</v>
      </c>
      <c r="IYZ53" s="708">
        <f t="shared" si="140"/>
        <v>2.6746078349037455E+90</v>
      </c>
      <c r="IZA53" s="708">
        <f t="shared" si="140"/>
        <v>2.7548460699508579E+90</v>
      </c>
      <c r="IZB53" s="708">
        <f t="shared" si="140"/>
        <v>2.8374914520493837E+90</v>
      </c>
      <c r="IZC53" s="708">
        <f t="shared" si="140"/>
        <v>2.9226161956108652E+90</v>
      </c>
      <c r="IZD53" s="708">
        <f t="shared" si="140"/>
        <v>3.010294681479191E+90</v>
      </c>
      <c r="IZE53" s="708">
        <f t="shared" si="140"/>
        <v>3.1006035219235671E+90</v>
      </c>
      <c r="IZF53" s="708">
        <f t="shared" si="140"/>
        <v>3.1936216275812742E+90</v>
      </c>
      <c r="IZG53" s="708">
        <f t="shared" si="140"/>
        <v>3.2894302764087126E+90</v>
      </c>
      <c r="IZH53" s="708">
        <f t="shared" si="140"/>
        <v>3.3881131847009742E+90</v>
      </c>
      <c r="IZI53" s="708">
        <f t="shared" si="140"/>
        <v>3.4897565802420035E+90</v>
      </c>
      <c r="IZJ53" s="708">
        <f t="shared" si="140"/>
        <v>3.5944492776492637E+90</v>
      </c>
      <c r="IZK53" s="708">
        <f t="shared" si="140"/>
        <v>3.7022827559787417E+90</v>
      </c>
      <c r="IZL53" s="708">
        <f t="shared" si="140"/>
        <v>3.8133512386581042E+90</v>
      </c>
      <c r="IZM53" s="708">
        <f t="shared" si="140"/>
        <v>3.9277517758178473E+90</v>
      </c>
      <c r="IZN53" s="708">
        <f t="shared" si="140"/>
        <v>4.0455843290923829E+90</v>
      </c>
      <c r="IZO53" s="708">
        <f t="shared" si="140"/>
        <v>4.1669518589651548E+90</v>
      </c>
      <c r="IZP53" s="708">
        <f t="shared" si="140"/>
        <v>4.2919604147341095E+90</v>
      </c>
      <c r="IZQ53" s="708">
        <f t="shared" si="140"/>
        <v>4.4207192271761334E+90</v>
      </c>
      <c r="IZR53" s="708">
        <f t="shared" si="140"/>
        <v>4.553340803991417E+90</v>
      </c>
      <c r="IZS53" s="708">
        <f t="shared" si="140"/>
        <v>4.6899410281111595E+90</v>
      </c>
      <c r="IZT53" s="708">
        <f t="shared" si="140"/>
        <v>4.830639258954494E+90</v>
      </c>
      <c r="IZU53" s="708">
        <f t="shared" si="140"/>
        <v>4.9755584367231287E+90</v>
      </c>
      <c r="IZV53" s="708">
        <f t="shared" si="140"/>
        <v>5.124825189824823E+90</v>
      </c>
      <c r="IZW53" s="708">
        <f t="shared" si="140"/>
        <v>5.2785699455195678E+90</v>
      </c>
      <c r="IZX53" s="708">
        <f t="shared" si="140"/>
        <v>5.4369270438851551E+90</v>
      </c>
      <c r="IZY53" s="708">
        <f t="shared" si="140"/>
        <v>5.6000348552017095E+90</v>
      </c>
      <c r="IZZ53" s="708">
        <f t="shared" si="140"/>
        <v>5.7680359008577614E+90</v>
      </c>
      <c r="JAA53" s="708">
        <f t="shared" si="140"/>
        <v>5.9410769778834945E+90</v>
      </c>
      <c r="JAB53" s="708">
        <f t="shared" si="140"/>
        <v>6.1193092872199994E+90</v>
      </c>
      <c r="JAC53" s="708">
        <f t="shared" si="140"/>
        <v>6.3028885658365992E+90</v>
      </c>
      <c r="JAD53" s="708">
        <f t="shared" ref="JAD53:JCO53" si="141">JAC53*$C$53</f>
        <v>6.4919752228116975E+90</v>
      </c>
      <c r="JAE53" s="708">
        <f t="shared" si="141"/>
        <v>6.6867344794960487E+90</v>
      </c>
      <c r="JAF53" s="708">
        <f t="shared" si="141"/>
        <v>6.8873365138809301E+90</v>
      </c>
      <c r="JAG53" s="708">
        <f t="shared" si="141"/>
        <v>7.093956609297358E+90</v>
      </c>
      <c r="JAH53" s="708">
        <f t="shared" si="141"/>
        <v>7.3067753075762787E+90</v>
      </c>
      <c r="JAI53" s="708">
        <f t="shared" si="141"/>
        <v>7.5259785668035668E+90</v>
      </c>
      <c r="JAJ53" s="708">
        <f t="shared" si="141"/>
        <v>7.7517579238076739E+90</v>
      </c>
      <c r="JAK53" s="708">
        <f t="shared" si="141"/>
        <v>7.9843106615219047E+90</v>
      </c>
      <c r="JAL53" s="708">
        <f t="shared" si="141"/>
        <v>8.2238399813675612E+90</v>
      </c>
      <c r="JAM53" s="708">
        <f t="shared" si="141"/>
        <v>8.4705551808085884E+90</v>
      </c>
      <c r="JAN53" s="708">
        <f t="shared" si="141"/>
        <v>8.7246718362328467E+90</v>
      </c>
      <c r="JAO53" s="708">
        <f t="shared" si="141"/>
        <v>8.986411991319832E+90</v>
      </c>
      <c r="JAP53" s="708">
        <f t="shared" si="141"/>
        <v>9.2560043510594267E+90</v>
      </c>
      <c r="JAQ53" s="708">
        <f t="shared" si="141"/>
        <v>9.5336844815912101E+90</v>
      </c>
      <c r="JAR53" s="708">
        <f t="shared" si="141"/>
        <v>9.8196950160389465E+90</v>
      </c>
      <c r="JAS53" s="708">
        <f t="shared" si="141"/>
        <v>1.0114285866520115E+91</v>
      </c>
      <c r="JAT53" s="708">
        <f t="shared" si="141"/>
        <v>1.0417714442515718E+91</v>
      </c>
      <c r="JAU53" s="708">
        <f t="shared" si="141"/>
        <v>1.0730245875791191E+91</v>
      </c>
      <c r="JAV53" s="708">
        <f t="shared" si="141"/>
        <v>1.1052153252064926E+91</v>
      </c>
      <c r="JAW53" s="708">
        <f t="shared" si="141"/>
        <v>1.1383717849626875E+91</v>
      </c>
      <c r="JAX53" s="708">
        <f t="shared" si="141"/>
        <v>1.1725229385115682E+91</v>
      </c>
      <c r="JAY53" s="708">
        <f t="shared" si="141"/>
        <v>1.2076986266669153E+91</v>
      </c>
      <c r="JAZ53" s="708">
        <f t="shared" si="141"/>
        <v>1.2439295854669228E+91</v>
      </c>
      <c r="JBA53" s="708">
        <f t="shared" si="141"/>
        <v>1.2812474730309305E+91</v>
      </c>
      <c r="JBB53" s="708">
        <f t="shared" si="141"/>
        <v>1.3196848972218584E+91</v>
      </c>
      <c r="JBC53" s="708">
        <f t="shared" si="141"/>
        <v>1.3592754441385142E+91</v>
      </c>
      <c r="JBD53" s="708">
        <f t="shared" si="141"/>
        <v>1.4000537074626697E+91</v>
      </c>
      <c r="JBE53" s="708">
        <f t="shared" si="141"/>
        <v>1.4420553186865498E+91</v>
      </c>
      <c r="JBF53" s="708">
        <f t="shared" si="141"/>
        <v>1.4853169782471464E+91</v>
      </c>
      <c r="JBG53" s="708">
        <f t="shared" si="141"/>
        <v>1.5298764875945609E+91</v>
      </c>
      <c r="JBH53" s="708">
        <f t="shared" si="141"/>
        <v>1.5757727822223978E+91</v>
      </c>
      <c r="JBI53" s="708">
        <f t="shared" si="141"/>
        <v>1.6230459656890697E+91</v>
      </c>
      <c r="JBJ53" s="708">
        <f t="shared" si="141"/>
        <v>1.6717373446597419E+91</v>
      </c>
      <c r="JBK53" s="708">
        <f t="shared" si="141"/>
        <v>1.7218894649995344E+91</v>
      </c>
      <c r="JBL53" s="708">
        <f t="shared" si="141"/>
        <v>1.7735461489495205E+91</v>
      </c>
      <c r="JBM53" s="708">
        <f t="shared" si="141"/>
        <v>1.826752533418006E+91</v>
      </c>
      <c r="JBN53" s="708">
        <f t="shared" si="141"/>
        <v>1.8815551094205463E+91</v>
      </c>
      <c r="JBO53" s="708">
        <f t="shared" si="141"/>
        <v>1.9380017627031627E+91</v>
      </c>
      <c r="JBP53" s="708">
        <f t="shared" si="141"/>
        <v>1.9961418155842577E+91</v>
      </c>
      <c r="JBQ53" s="708">
        <f t="shared" si="141"/>
        <v>2.0560260700517855E+91</v>
      </c>
      <c r="JBR53" s="708">
        <f t="shared" si="141"/>
        <v>2.117706852153339E+91</v>
      </c>
      <c r="JBS53" s="708">
        <f t="shared" si="141"/>
        <v>2.1812380577179391E+91</v>
      </c>
      <c r="JBT53" s="708">
        <f t="shared" si="141"/>
        <v>2.2466751994494773E+91</v>
      </c>
      <c r="JBU53" s="708">
        <f t="shared" si="141"/>
        <v>2.3140754554329617E+91</v>
      </c>
      <c r="JBV53" s="708">
        <f t="shared" si="141"/>
        <v>2.3834977190959507E+91</v>
      </c>
      <c r="JBW53" s="708">
        <f t="shared" si="141"/>
        <v>2.4550026506688294E+91</v>
      </c>
      <c r="JBX53" s="708">
        <f t="shared" si="141"/>
        <v>2.5286527301888944E+91</v>
      </c>
      <c r="JBY53" s="708">
        <f t="shared" si="141"/>
        <v>2.6045123120945612E+91</v>
      </c>
      <c r="JBZ53" s="708">
        <f t="shared" si="141"/>
        <v>2.6826476814573981E+91</v>
      </c>
      <c r="JCA53" s="708">
        <f t="shared" si="141"/>
        <v>2.76312711190112E+91</v>
      </c>
      <c r="JCB53" s="708">
        <f t="shared" si="141"/>
        <v>2.8460209252581536E+91</v>
      </c>
      <c r="JCC53" s="708">
        <f t="shared" si="141"/>
        <v>2.9314015530158984E+91</v>
      </c>
      <c r="JCD53" s="708">
        <f t="shared" si="141"/>
        <v>3.0193435996063754E+91</v>
      </c>
      <c r="JCE53" s="708">
        <f t="shared" si="141"/>
        <v>3.1099239075945666E+91</v>
      </c>
      <c r="JCF53" s="708">
        <f t="shared" si="141"/>
        <v>3.2032216248224038E+91</v>
      </c>
      <c r="JCG53" s="708">
        <f t="shared" si="141"/>
        <v>3.2993182735670763E+91</v>
      </c>
      <c r="JCH53" s="708">
        <f t="shared" si="141"/>
        <v>3.3982978217740888E+91</v>
      </c>
      <c r="JCI53" s="708">
        <f t="shared" si="141"/>
        <v>3.5002467564273119E+91</v>
      </c>
      <c r="JCJ53" s="708">
        <f t="shared" si="141"/>
        <v>3.6052541591201316E+91</v>
      </c>
      <c r="JCK53" s="708">
        <f t="shared" si="141"/>
        <v>3.713411783893736E+91</v>
      </c>
      <c r="JCL53" s="708">
        <f t="shared" si="141"/>
        <v>3.8248141374105479E+91</v>
      </c>
      <c r="JCM53" s="708">
        <f t="shared" si="141"/>
        <v>3.9395585615328643E+91</v>
      </c>
      <c r="JCN53" s="708">
        <f t="shared" si="141"/>
        <v>4.0577453183788506E+91</v>
      </c>
      <c r="JCO53" s="708">
        <f t="shared" si="141"/>
        <v>4.1794776779302164E+91</v>
      </c>
      <c r="JCP53" s="708">
        <f t="shared" ref="JCP53:JFA53" si="142">JCO53*$C$53</f>
        <v>4.3048620082681233E+91</v>
      </c>
      <c r="JCQ53" s="708">
        <f t="shared" si="142"/>
        <v>4.4340078685161668E+91</v>
      </c>
      <c r="JCR53" s="708">
        <f t="shared" si="142"/>
        <v>4.5670281045716517E+91</v>
      </c>
      <c r="JCS53" s="708">
        <f t="shared" si="142"/>
        <v>4.7040389477088016E+91</v>
      </c>
      <c r="JCT53" s="708">
        <f t="shared" si="142"/>
        <v>4.8451601161400655E+91</v>
      </c>
      <c r="JCU53" s="708">
        <f t="shared" si="142"/>
        <v>4.9905149196242678E+91</v>
      </c>
      <c r="JCV53" s="708">
        <f t="shared" si="142"/>
        <v>5.1402303672129957E+91</v>
      </c>
      <c r="JCW53" s="708">
        <f t="shared" si="142"/>
        <v>5.2944372782293856E+91</v>
      </c>
      <c r="JCX53" s="708">
        <f t="shared" si="142"/>
        <v>5.453270396576267E+91</v>
      </c>
      <c r="JCY53" s="708">
        <f t="shared" si="142"/>
        <v>5.616868508473555E+91</v>
      </c>
      <c r="JCZ53" s="708">
        <f t="shared" si="142"/>
        <v>5.7853745637277618E+91</v>
      </c>
      <c r="JDA53" s="708">
        <f t="shared" si="142"/>
        <v>5.9589358006395947E+91</v>
      </c>
      <c r="JDB53" s="708">
        <f t="shared" si="142"/>
        <v>6.1377038746587826E+91</v>
      </c>
      <c r="JDC53" s="708">
        <f t="shared" si="142"/>
        <v>6.3218349908985463E+91</v>
      </c>
      <c r="JDD53" s="708">
        <f t="shared" si="142"/>
        <v>6.5114900406255025E+91</v>
      </c>
      <c r="JDE53" s="708">
        <f t="shared" si="142"/>
        <v>6.7068347418442683E+91</v>
      </c>
      <c r="JDF53" s="708">
        <f t="shared" si="142"/>
        <v>6.9080397840995963E+91</v>
      </c>
      <c r="JDG53" s="708">
        <f t="shared" si="142"/>
        <v>7.1152809776225847E+91</v>
      </c>
      <c r="JDH53" s="708">
        <f t="shared" si="142"/>
        <v>7.3287394069512623E+91</v>
      </c>
      <c r="JDI53" s="708">
        <f t="shared" si="142"/>
        <v>7.5486015891598008E+91</v>
      </c>
      <c r="JDJ53" s="708">
        <f t="shared" si="142"/>
        <v>7.7750596368345951E+91</v>
      </c>
      <c r="JDK53" s="708">
        <f t="shared" si="142"/>
        <v>8.0083114259396331E+91</v>
      </c>
      <c r="JDL53" s="708">
        <f t="shared" si="142"/>
        <v>8.2485607687178218E+91</v>
      </c>
      <c r="JDM53" s="708">
        <f t="shared" si="142"/>
        <v>8.496017591779357E+91</v>
      </c>
      <c r="JDN53" s="708">
        <f t="shared" si="142"/>
        <v>8.7508981195327379E+91</v>
      </c>
      <c r="JDO53" s="708">
        <f t="shared" si="142"/>
        <v>9.0134250631187201E+91</v>
      </c>
      <c r="JDP53" s="708">
        <f t="shared" si="142"/>
        <v>9.2838278150122824E+91</v>
      </c>
      <c r="JDQ53" s="708">
        <f t="shared" si="142"/>
        <v>9.5623426494626515E+91</v>
      </c>
      <c r="JDR53" s="708">
        <f t="shared" si="142"/>
        <v>9.8492129289465312E+91</v>
      </c>
      <c r="JDS53" s="708">
        <f t="shared" si="142"/>
        <v>1.0144689316814928E+92</v>
      </c>
      <c r="JDT53" s="708">
        <f t="shared" si="142"/>
        <v>1.0449029996319376E+92</v>
      </c>
      <c r="JDU53" s="708">
        <f t="shared" si="142"/>
        <v>1.0762500896208957E+92</v>
      </c>
      <c r="JDV53" s="708">
        <f t="shared" si="142"/>
        <v>1.1085375923095227E+92</v>
      </c>
      <c r="JDW53" s="708">
        <f t="shared" si="142"/>
        <v>1.1417937200788084E+92</v>
      </c>
      <c r="JDX53" s="708">
        <f t="shared" si="142"/>
        <v>1.1760475316811727E+92</v>
      </c>
      <c r="JDY53" s="708">
        <f t="shared" si="142"/>
        <v>1.2113289576316079E+92</v>
      </c>
      <c r="JDZ53" s="708">
        <f t="shared" si="142"/>
        <v>1.2476688263605561E+92</v>
      </c>
      <c r="JEA53" s="708">
        <f t="shared" si="142"/>
        <v>1.2850988911513727E+92</v>
      </c>
      <c r="JEB53" s="708">
        <f t="shared" si="142"/>
        <v>1.3236518578859139E+92</v>
      </c>
      <c r="JEC53" s="708">
        <f t="shared" si="142"/>
        <v>1.3633614136224913E+92</v>
      </c>
      <c r="JED53" s="708">
        <f t="shared" si="142"/>
        <v>1.404262256031166E+92</v>
      </c>
      <c r="JEE53" s="708">
        <f t="shared" si="142"/>
        <v>1.446390123712101E+92</v>
      </c>
      <c r="JEF53" s="708">
        <f t="shared" si="142"/>
        <v>1.4897818274234639E+92</v>
      </c>
      <c r="JEG53" s="708">
        <f t="shared" si="142"/>
        <v>1.5344752822461679E+92</v>
      </c>
      <c r="JEH53" s="708">
        <f t="shared" si="142"/>
        <v>1.5805095407135528E+92</v>
      </c>
      <c r="JEI53" s="708">
        <f t="shared" si="142"/>
        <v>1.6279248269349594E+92</v>
      </c>
      <c r="JEJ53" s="708">
        <f t="shared" si="142"/>
        <v>1.6767625717430082E+92</v>
      </c>
      <c r="JEK53" s="708">
        <f t="shared" si="142"/>
        <v>1.7270654488952984E+92</v>
      </c>
      <c r="JEL53" s="708">
        <f t="shared" si="142"/>
        <v>1.7788774123621574E+92</v>
      </c>
      <c r="JEM53" s="708">
        <f t="shared" si="142"/>
        <v>1.8322437347330221E+92</v>
      </c>
      <c r="JEN53" s="708">
        <f t="shared" si="142"/>
        <v>1.8872110467750129E+92</v>
      </c>
      <c r="JEO53" s="708">
        <f t="shared" si="142"/>
        <v>1.9438273781782633E+92</v>
      </c>
      <c r="JEP53" s="708">
        <f t="shared" si="142"/>
        <v>2.0021421995236114E+92</v>
      </c>
      <c r="JEQ53" s="708">
        <f t="shared" si="142"/>
        <v>2.0622064655093196E+92</v>
      </c>
      <c r="JER53" s="708">
        <f t="shared" si="142"/>
        <v>2.1240726594745994E+92</v>
      </c>
      <c r="JES53" s="708">
        <f t="shared" si="142"/>
        <v>2.1877948392588375E+92</v>
      </c>
      <c r="JET53" s="708">
        <f t="shared" si="142"/>
        <v>2.2534286844366027E+92</v>
      </c>
      <c r="JEU53" s="708">
        <f t="shared" si="142"/>
        <v>2.3210315449697008E+92</v>
      </c>
      <c r="JEV53" s="708">
        <f t="shared" si="142"/>
        <v>2.390662491318792E+92</v>
      </c>
      <c r="JEW53" s="708">
        <f t="shared" si="142"/>
        <v>2.4623823660583557E+92</v>
      </c>
      <c r="JEX53" s="708">
        <f t="shared" si="142"/>
        <v>2.5362538370401065E+92</v>
      </c>
      <c r="JEY53" s="708">
        <f t="shared" si="142"/>
        <v>2.6123414521513098E+92</v>
      </c>
      <c r="JEZ53" s="708">
        <f t="shared" si="142"/>
        <v>2.6907116957158494E+92</v>
      </c>
      <c r="JFA53" s="708">
        <f t="shared" si="142"/>
        <v>2.7714330465873252E+92</v>
      </c>
      <c r="JFB53" s="708">
        <f t="shared" ref="JFB53:JHM53" si="143">JFA53*$C$53</f>
        <v>2.8545760379849448E+92</v>
      </c>
      <c r="JFC53" s="708">
        <f t="shared" si="143"/>
        <v>2.9402133191244931E+92</v>
      </c>
      <c r="JFD53" s="708">
        <f t="shared" si="143"/>
        <v>3.028419718698228E+92</v>
      </c>
      <c r="JFE53" s="708">
        <f t="shared" si="143"/>
        <v>3.1192723102591751E+92</v>
      </c>
      <c r="JFF53" s="708">
        <f t="shared" si="143"/>
        <v>3.2128504795669506E+92</v>
      </c>
      <c r="JFG53" s="708">
        <f t="shared" si="143"/>
        <v>3.309235993953959E+92</v>
      </c>
      <c r="JFH53" s="708">
        <f t="shared" si="143"/>
        <v>3.4085130737725775E+92</v>
      </c>
      <c r="JFI53" s="708">
        <f t="shared" si="143"/>
        <v>3.5107684659857547E+92</v>
      </c>
      <c r="JFJ53" s="708">
        <f t="shared" si="143"/>
        <v>3.6160915199653273E+92</v>
      </c>
      <c r="JFK53" s="708">
        <f t="shared" si="143"/>
        <v>3.7245742655642875E+92</v>
      </c>
      <c r="JFL53" s="708">
        <f t="shared" si="143"/>
        <v>3.8363114935312163E+92</v>
      </c>
      <c r="JFM53" s="708">
        <f t="shared" si="143"/>
        <v>3.9514008383371527E+92</v>
      </c>
      <c r="JFN53" s="708">
        <f t="shared" si="143"/>
        <v>4.0699428634872673E+92</v>
      </c>
      <c r="JFO53" s="708">
        <f t="shared" si="143"/>
        <v>4.1920411493918855E+92</v>
      </c>
      <c r="JFP53" s="708">
        <f t="shared" si="143"/>
        <v>4.3178023838736421E+92</v>
      </c>
      <c r="JFQ53" s="708">
        <f t="shared" si="143"/>
        <v>4.4473364553898512E+92</v>
      </c>
      <c r="JFR53" s="708">
        <f t="shared" si="143"/>
        <v>4.5807565490515466E+92</v>
      </c>
      <c r="JFS53" s="708">
        <f t="shared" si="143"/>
        <v>4.7181792455230934E+92</v>
      </c>
      <c r="JFT53" s="708">
        <f t="shared" si="143"/>
        <v>4.8597246228887864E+92</v>
      </c>
      <c r="JFU53" s="708">
        <f t="shared" si="143"/>
        <v>5.0055163615754499E+92</v>
      </c>
      <c r="JFV53" s="708">
        <f t="shared" si="143"/>
        <v>5.1556818524227135E+92</v>
      </c>
      <c r="JFW53" s="708">
        <f t="shared" si="143"/>
        <v>5.310352307995395E+92</v>
      </c>
      <c r="JFX53" s="708">
        <f t="shared" si="143"/>
        <v>5.4696628772352568E+92</v>
      </c>
      <c r="JFY53" s="708">
        <f t="shared" si="143"/>
        <v>5.6337527635523149E+92</v>
      </c>
      <c r="JFZ53" s="708">
        <f t="shared" si="143"/>
        <v>5.8027653464588846E+92</v>
      </c>
      <c r="JGA53" s="708">
        <f t="shared" si="143"/>
        <v>5.9768483068526514E+92</v>
      </c>
      <c r="JGB53" s="708">
        <f t="shared" si="143"/>
        <v>6.1561537560582309E+92</v>
      </c>
      <c r="JGC53" s="708">
        <f t="shared" si="143"/>
        <v>6.3408383687399779E+92</v>
      </c>
      <c r="JGD53" s="708">
        <f t="shared" si="143"/>
        <v>6.5310635198021776E+92</v>
      </c>
      <c r="JGE53" s="708">
        <f t="shared" si="143"/>
        <v>6.7269954253962429E+92</v>
      </c>
      <c r="JGF53" s="708">
        <f t="shared" si="143"/>
        <v>6.9288052881581306E+92</v>
      </c>
      <c r="JGG53" s="708">
        <f t="shared" si="143"/>
        <v>7.1366694468028745E+92</v>
      </c>
      <c r="JGH53" s="708">
        <f t="shared" si="143"/>
        <v>7.350769530206961E+92</v>
      </c>
      <c r="JGI53" s="708">
        <f t="shared" si="143"/>
        <v>7.5712926161131697E+92</v>
      </c>
      <c r="JGJ53" s="708">
        <f t="shared" si="143"/>
        <v>7.7984313945965648E+92</v>
      </c>
      <c r="JGK53" s="708">
        <f t="shared" si="143"/>
        <v>8.0323843364344623E+92</v>
      </c>
      <c r="JGL53" s="708">
        <f t="shared" si="143"/>
        <v>8.2733558665274969E+92</v>
      </c>
      <c r="JGM53" s="708">
        <f t="shared" si="143"/>
        <v>8.5215565425233221E+92</v>
      </c>
      <c r="JGN53" s="708">
        <f t="shared" si="143"/>
        <v>8.7772032387990221E+92</v>
      </c>
      <c r="JGO53" s="708">
        <f t="shared" si="143"/>
        <v>9.0405193359629931E+92</v>
      </c>
      <c r="JGP53" s="708">
        <f t="shared" si="143"/>
        <v>9.3117349160418832E+92</v>
      </c>
      <c r="JGQ53" s="708">
        <f t="shared" si="143"/>
        <v>9.59108696352314E+92</v>
      </c>
      <c r="JGR53" s="708">
        <f t="shared" si="143"/>
        <v>9.8788195724288349E+92</v>
      </c>
      <c r="JGS53" s="708">
        <f t="shared" si="143"/>
        <v>1.0175184159601701E+93</v>
      </c>
      <c r="JGT53" s="708">
        <f t="shared" si="143"/>
        <v>1.0480439684389752E+93</v>
      </c>
      <c r="JGU53" s="708">
        <f t="shared" si="143"/>
        <v>1.0794852874921444E+93</v>
      </c>
      <c r="JGV53" s="708">
        <f t="shared" si="143"/>
        <v>1.1118698461169087E+93</v>
      </c>
      <c r="JGW53" s="708">
        <f t="shared" si="143"/>
        <v>1.1452259415004159E+93</v>
      </c>
      <c r="JGX53" s="708">
        <f t="shared" si="143"/>
        <v>1.1795827197454284E+93</v>
      </c>
      <c r="JGY53" s="708">
        <f t="shared" si="143"/>
        <v>1.2149702013377914E+93</v>
      </c>
      <c r="JGZ53" s="708">
        <f t="shared" si="143"/>
        <v>1.2514193073779251E+93</v>
      </c>
      <c r="JHA53" s="708">
        <f t="shared" si="143"/>
        <v>1.2889618865992629E+93</v>
      </c>
      <c r="JHB53" s="708">
        <f t="shared" si="143"/>
        <v>1.3276307431972409E+93</v>
      </c>
      <c r="JHC53" s="708">
        <f t="shared" si="143"/>
        <v>1.3674596654931581E+93</v>
      </c>
      <c r="JHD53" s="708">
        <f t="shared" si="143"/>
        <v>1.4084834554579529E+93</v>
      </c>
      <c r="JHE53" s="708">
        <f t="shared" si="143"/>
        <v>1.4507379591216915E+93</v>
      </c>
      <c r="JHF53" s="708">
        <f t="shared" si="143"/>
        <v>1.4942600978953423E+93</v>
      </c>
      <c r="JHG53" s="708">
        <f t="shared" si="143"/>
        <v>1.5390879008322027E+93</v>
      </c>
      <c r="JHH53" s="708">
        <f t="shared" si="143"/>
        <v>1.5852605378571688E+93</v>
      </c>
      <c r="JHI53" s="708">
        <f t="shared" si="143"/>
        <v>1.632818353992884E+93</v>
      </c>
      <c r="JHJ53" s="708">
        <f t="shared" si="143"/>
        <v>1.6818029046126704E+93</v>
      </c>
      <c r="JHK53" s="708">
        <f t="shared" si="143"/>
        <v>1.7322569917510506E+93</v>
      </c>
      <c r="JHL53" s="708">
        <f t="shared" si="143"/>
        <v>1.7842247015035822E+93</v>
      </c>
      <c r="JHM53" s="708">
        <f t="shared" si="143"/>
        <v>1.8377514425486896E+93</v>
      </c>
      <c r="JHN53" s="708">
        <f t="shared" ref="JHN53:JJY53" si="144">JHM53*$C$53</f>
        <v>1.8928839858251504E+93</v>
      </c>
      <c r="JHO53" s="708">
        <f t="shared" si="144"/>
        <v>1.9496705053999049E+93</v>
      </c>
      <c r="JHP53" s="708">
        <f t="shared" si="144"/>
        <v>2.0081606205619022E+93</v>
      </c>
      <c r="JHQ53" s="708">
        <f t="shared" si="144"/>
        <v>2.0684054391787593E+93</v>
      </c>
      <c r="JHR53" s="708">
        <f t="shared" si="144"/>
        <v>2.1304576023541219E+93</v>
      </c>
      <c r="JHS53" s="708">
        <f t="shared" si="144"/>
        <v>2.1943713304247454E+93</v>
      </c>
      <c r="JHT53" s="708">
        <f t="shared" si="144"/>
        <v>2.2602024703374878E+93</v>
      </c>
      <c r="JHU53" s="708">
        <f t="shared" si="144"/>
        <v>2.3280085444476126E+93</v>
      </c>
      <c r="JHV53" s="708">
        <f t="shared" si="144"/>
        <v>2.3978488007810413E+93</v>
      </c>
      <c r="JHW53" s="708">
        <f t="shared" si="144"/>
        <v>2.4697842648044724E+93</v>
      </c>
      <c r="JHX53" s="708">
        <f t="shared" si="144"/>
        <v>2.5438777927486067E+93</v>
      </c>
      <c r="JHY53" s="708">
        <f t="shared" si="144"/>
        <v>2.6201941265310648E+93</v>
      </c>
      <c r="JHZ53" s="708">
        <f t="shared" si="144"/>
        <v>2.6987999503269969E+93</v>
      </c>
      <c r="JIA53" s="708">
        <f t="shared" si="144"/>
        <v>2.7797639488368071E+93</v>
      </c>
      <c r="JIB53" s="708">
        <f t="shared" si="144"/>
        <v>2.8631568673019113E+93</v>
      </c>
      <c r="JIC53" s="708">
        <f t="shared" si="144"/>
        <v>2.9490515733209686E+93</v>
      </c>
      <c r="JID53" s="708">
        <f t="shared" si="144"/>
        <v>3.0375231205205978E+93</v>
      </c>
      <c r="JIE53" s="708">
        <f t="shared" si="144"/>
        <v>3.128648814136216E+93</v>
      </c>
      <c r="JIF53" s="708">
        <f t="shared" si="144"/>
        <v>3.2225082785603028E+93</v>
      </c>
      <c r="JIG53" s="708">
        <f t="shared" si="144"/>
        <v>3.3191835269171118E+93</v>
      </c>
      <c r="JIH53" s="708">
        <f t="shared" si="144"/>
        <v>3.4187590327246253E+93</v>
      </c>
      <c r="JII53" s="708">
        <f t="shared" si="144"/>
        <v>3.5213218037063643E+93</v>
      </c>
      <c r="JIJ53" s="708">
        <f t="shared" si="144"/>
        <v>3.6269614578175552E+93</v>
      </c>
      <c r="JIK53" s="708">
        <f t="shared" si="144"/>
        <v>3.7357703015520818E+93</v>
      </c>
      <c r="JIL53" s="708">
        <f t="shared" si="144"/>
        <v>3.8478434105986446E+93</v>
      </c>
      <c r="JIM53" s="708">
        <f t="shared" si="144"/>
        <v>3.9632787129166042E+93</v>
      </c>
      <c r="JIN53" s="708">
        <f t="shared" si="144"/>
        <v>4.0821770743041025E+93</v>
      </c>
      <c r="JIO53" s="708">
        <f t="shared" si="144"/>
        <v>4.2046423865332256E+93</v>
      </c>
      <c r="JIP53" s="708">
        <f t="shared" si="144"/>
        <v>4.3307816581292222E+93</v>
      </c>
      <c r="JIQ53" s="708">
        <f t="shared" si="144"/>
        <v>4.4607051078730992E+93</v>
      </c>
      <c r="JIR53" s="708">
        <f t="shared" si="144"/>
        <v>4.5945262611092925E+93</v>
      </c>
      <c r="JIS53" s="708">
        <f t="shared" si="144"/>
        <v>4.7323620489425714E+93</v>
      </c>
      <c r="JIT53" s="708">
        <f t="shared" si="144"/>
        <v>4.8743329104108489E+93</v>
      </c>
      <c r="JIU53" s="708">
        <f t="shared" si="144"/>
        <v>5.0205628977231747E+93</v>
      </c>
      <c r="JIV53" s="708">
        <f t="shared" si="144"/>
        <v>5.1711797846548698E+93</v>
      </c>
      <c r="JIW53" s="708">
        <f t="shared" si="144"/>
        <v>5.3263151781945162E+93</v>
      </c>
      <c r="JIX53" s="708">
        <f t="shared" si="144"/>
        <v>5.4861046335403521E+93</v>
      </c>
      <c r="JIY53" s="708">
        <f t="shared" si="144"/>
        <v>5.6506877725465629E+93</v>
      </c>
      <c r="JIZ53" s="708">
        <f t="shared" si="144"/>
        <v>5.8202084057229604E+93</v>
      </c>
      <c r="JJA53" s="708">
        <f t="shared" si="144"/>
        <v>5.9948146578946494E+93</v>
      </c>
      <c r="JJB53" s="708">
        <f t="shared" si="144"/>
        <v>6.174659097631489E+93</v>
      </c>
      <c r="JJC53" s="708">
        <f t="shared" si="144"/>
        <v>6.3598988705604343E+93</v>
      </c>
      <c r="JJD53" s="708">
        <f t="shared" si="144"/>
        <v>6.5506958366772472E+93</v>
      </c>
      <c r="JJE53" s="708">
        <f t="shared" si="144"/>
        <v>6.7472167117775651E+93</v>
      </c>
      <c r="JJF53" s="708">
        <f t="shared" si="144"/>
        <v>6.9496332131308918E+93</v>
      </c>
      <c r="JJG53" s="708">
        <f t="shared" si="144"/>
        <v>7.1581222095248188E+93</v>
      </c>
      <c r="JJH53" s="708">
        <f t="shared" si="144"/>
        <v>7.3728658758105631E+93</v>
      </c>
      <c r="JJI53" s="708">
        <f t="shared" si="144"/>
        <v>7.5940518520848799E+93</v>
      </c>
      <c r="JJJ53" s="708">
        <f t="shared" si="144"/>
        <v>7.8218734076474266E+93</v>
      </c>
      <c r="JJK53" s="708">
        <f t="shared" si="144"/>
        <v>8.0565296098768494E+93</v>
      </c>
      <c r="JJL53" s="708">
        <f t="shared" si="144"/>
        <v>8.2982254981731552E+93</v>
      </c>
      <c r="JJM53" s="708">
        <f t="shared" si="144"/>
        <v>8.5471722631183497E+93</v>
      </c>
      <c r="JJN53" s="708">
        <f t="shared" si="144"/>
        <v>8.8035874310119011E+93</v>
      </c>
      <c r="JJO53" s="708">
        <f t="shared" si="144"/>
        <v>9.067695053942258E+93</v>
      </c>
      <c r="JJP53" s="708">
        <f t="shared" si="144"/>
        <v>9.3397259055605259E+93</v>
      </c>
      <c r="JJQ53" s="708">
        <f t="shared" si="144"/>
        <v>9.6199176827273412E+93</v>
      </c>
      <c r="JJR53" s="708">
        <f t="shared" si="144"/>
        <v>9.9085152132091616E+93</v>
      </c>
      <c r="JJS53" s="708">
        <f t="shared" si="144"/>
        <v>1.0205770669605437E+94</v>
      </c>
      <c r="JJT53" s="708">
        <f t="shared" si="144"/>
        <v>1.0511943789693599E+94</v>
      </c>
      <c r="JJU53" s="708">
        <f t="shared" si="144"/>
        <v>1.0827302103384408E+94</v>
      </c>
      <c r="JJV53" s="708">
        <f t="shared" si="144"/>
        <v>1.115212116648594E+94</v>
      </c>
      <c r="JJW53" s="708">
        <f t="shared" si="144"/>
        <v>1.1486684801480519E+94</v>
      </c>
      <c r="JJX53" s="708">
        <f t="shared" si="144"/>
        <v>1.1831285345524934E+94</v>
      </c>
      <c r="JJY53" s="708">
        <f t="shared" si="144"/>
        <v>1.2186223905890682E+94</v>
      </c>
      <c r="JJZ53" s="708">
        <f t="shared" ref="JJZ53:JMK53" si="145">JJY53*$C$53</f>
        <v>1.2551810623067404E+94</v>
      </c>
      <c r="JKA53" s="708">
        <f t="shared" si="145"/>
        <v>1.2928364941759426E+94</v>
      </c>
      <c r="JKB53" s="708">
        <f t="shared" si="145"/>
        <v>1.331621589001221E+94</v>
      </c>
      <c r="JKC53" s="708">
        <f t="shared" si="145"/>
        <v>1.3715702366712578E+94</v>
      </c>
      <c r="JKD53" s="708">
        <f t="shared" si="145"/>
        <v>1.4127173437713956E+94</v>
      </c>
      <c r="JKE53" s="708">
        <f t="shared" si="145"/>
        <v>1.4550988640845375E+94</v>
      </c>
      <c r="JKF53" s="708">
        <f t="shared" si="145"/>
        <v>1.4987518300070737E+94</v>
      </c>
      <c r="JKG53" s="708">
        <f t="shared" si="145"/>
        <v>1.5437143849072858E+94</v>
      </c>
      <c r="JKH53" s="708">
        <f t="shared" si="145"/>
        <v>1.5900258164545044E+94</v>
      </c>
      <c r="JKI53" s="708">
        <f t="shared" si="145"/>
        <v>1.6377265909481396E+94</v>
      </c>
      <c r="JKJ53" s="708">
        <f t="shared" si="145"/>
        <v>1.6868583886765839E+94</v>
      </c>
      <c r="JKK53" s="708">
        <f t="shared" si="145"/>
        <v>1.7374641403368815E+94</v>
      </c>
      <c r="JKL53" s="708">
        <f t="shared" si="145"/>
        <v>1.7895880645469879E+94</v>
      </c>
      <c r="JKM53" s="708">
        <f t="shared" si="145"/>
        <v>1.8432757064833975E+94</v>
      </c>
      <c r="JKN53" s="708">
        <f t="shared" si="145"/>
        <v>1.8985739776778995E+94</v>
      </c>
      <c r="JKO53" s="708">
        <f t="shared" si="145"/>
        <v>1.9555311970082366E+94</v>
      </c>
      <c r="JKP53" s="708">
        <f t="shared" si="145"/>
        <v>2.014197132918484E+94</v>
      </c>
      <c r="JKQ53" s="708">
        <f t="shared" si="145"/>
        <v>2.0746230469060385E+94</v>
      </c>
      <c r="JKR53" s="708">
        <f t="shared" si="145"/>
        <v>2.1368617383132197E+94</v>
      </c>
      <c r="JKS53" s="708">
        <f t="shared" si="145"/>
        <v>2.2009675904626164E+94</v>
      </c>
      <c r="JKT53" s="708">
        <f t="shared" si="145"/>
        <v>2.266996618176495E+94</v>
      </c>
      <c r="JKU53" s="708">
        <f t="shared" si="145"/>
        <v>2.3350065167217898E+94</v>
      </c>
      <c r="JKV53" s="708">
        <f t="shared" si="145"/>
        <v>2.4050567122234435E+94</v>
      </c>
      <c r="JKW53" s="708">
        <f t="shared" si="145"/>
        <v>2.477208413590147E+94</v>
      </c>
      <c r="JKX53" s="708">
        <f t="shared" si="145"/>
        <v>2.5515246659978513E+94</v>
      </c>
      <c r="JKY53" s="708">
        <f t="shared" si="145"/>
        <v>2.6280704059777869E+94</v>
      </c>
      <c r="JKZ53" s="708">
        <f t="shared" si="145"/>
        <v>2.7069125181571206E+94</v>
      </c>
      <c r="JLA53" s="708">
        <f t="shared" si="145"/>
        <v>2.7881198937018342E+94</v>
      </c>
      <c r="JLB53" s="708">
        <f t="shared" si="145"/>
        <v>2.8717634905128895E+94</v>
      </c>
      <c r="JLC53" s="708">
        <f t="shared" si="145"/>
        <v>2.9579163952282764E+94</v>
      </c>
      <c r="JLD53" s="708">
        <f t="shared" si="145"/>
        <v>3.0466538870851249E+94</v>
      </c>
      <c r="JLE53" s="708">
        <f t="shared" si="145"/>
        <v>3.1380535036976785E+94</v>
      </c>
      <c r="JLF53" s="708">
        <f t="shared" si="145"/>
        <v>3.232195108808609E+94</v>
      </c>
      <c r="JLG53" s="708">
        <f t="shared" si="145"/>
        <v>3.3291609620728675E+94</v>
      </c>
      <c r="JLH53" s="708">
        <f t="shared" si="145"/>
        <v>3.4290357909350538E+94</v>
      </c>
      <c r="JLI53" s="708">
        <f t="shared" si="145"/>
        <v>3.5319068646631055E+94</v>
      </c>
      <c r="JLJ53" s="708">
        <f t="shared" si="145"/>
        <v>3.6378640706029984E+94</v>
      </c>
      <c r="JLK53" s="708">
        <f t="shared" si="145"/>
        <v>3.7469999927210887E+94</v>
      </c>
      <c r="JLL53" s="708">
        <f t="shared" si="145"/>
        <v>3.8594099925027211E+94</v>
      </c>
      <c r="JLM53" s="708">
        <f t="shared" si="145"/>
        <v>3.9751922922778029E+94</v>
      </c>
      <c r="JLN53" s="708">
        <f t="shared" si="145"/>
        <v>4.094448061046137E+94</v>
      </c>
      <c r="JLO53" s="708">
        <f t="shared" si="145"/>
        <v>4.2172815028775209E+94</v>
      </c>
      <c r="JLP53" s="708">
        <f t="shared" si="145"/>
        <v>4.3437999479638469E+94</v>
      </c>
      <c r="JLQ53" s="708">
        <f t="shared" si="145"/>
        <v>4.4741139464027626E+94</v>
      </c>
      <c r="JLR53" s="708">
        <f t="shared" si="145"/>
        <v>4.6083373647948459E+94</v>
      </c>
      <c r="JLS53" s="708">
        <f t="shared" si="145"/>
        <v>4.7465874857386913E+94</v>
      </c>
      <c r="JLT53" s="708">
        <f t="shared" si="145"/>
        <v>4.8889851103108522E+94</v>
      </c>
      <c r="JLU53" s="708">
        <f t="shared" si="145"/>
        <v>5.0356546636201776E+94</v>
      </c>
      <c r="JLV53" s="708">
        <f t="shared" si="145"/>
        <v>5.1867243035287832E+94</v>
      </c>
      <c r="JLW53" s="708">
        <f t="shared" si="145"/>
        <v>5.3423260326346465E+94</v>
      </c>
      <c r="JLX53" s="708">
        <f t="shared" si="145"/>
        <v>5.5025958136136858E+94</v>
      </c>
      <c r="JLY53" s="708">
        <f t="shared" si="145"/>
        <v>5.6676736880220962E+94</v>
      </c>
      <c r="JLZ53" s="708">
        <f t="shared" si="145"/>
        <v>5.8377038986627589E+94</v>
      </c>
      <c r="JMA53" s="708">
        <f t="shared" si="145"/>
        <v>6.0128350156226417E+94</v>
      </c>
      <c r="JMB53" s="708">
        <f t="shared" si="145"/>
        <v>6.193220066091321E+94</v>
      </c>
      <c r="JMC53" s="708">
        <f t="shared" si="145"/>
        <v>6.3790166680740605E+94</v>
      </c>
      <c r="JMD53" s="708">
        <f t="shared" si="145"/>
        <v>6.5703871681162825E+94</v>
      </c>
      <c r="JME53" s="708">
        <f t="shared" si="145"/>
        <v>6.7674987831597719E+94</v>
      </c>
      <c r="JMF53" s="708">
        <f t="shared" si="145"/>
        <v>6.9705237466545655E+94</v>
      </c>
      <c r="JMG53" s="708">
        <f t="shared" si="145"/>
        <v>7.1796394590542027E+94</v>
      </c>
      <c r="JMH53" s="708">
        <f t="shared" si="145"/>
        <v>7.3950286428258293E+94</v>
      </c>
      <c r="JMI53" s="708">
        <f t="shared" si="145"/>
        <v>7.6168795021106039E+94</v>
      </c>
      <c r="JMJ53" s="708">
        <f t="shared" si="145"/>
        <v>7.8453858871739228E+94</v>
      </c>
      <c r="JMK53" s="708">
        <f t="shared" si="145"/>
        <v>8.0807474637891402E+94</v>
      </c>
      <c r="JML53" s="708">
        <f t="shared" ref="JML53:JOW53" si="146">JMK53*$C$53</f>
        <v>8.3231698877028152E+94</v>
      </c>
      <c r="JMM53" s="708">
        <f t="shared" si="146"/>
        <v>8.5728649843339E+94</v>
      </c>
      <c r="JMN53" s="708">
        <f t="shared" si="146"/>
        <v>8.8300509338639176E+94</v>
      </c>
      <c r="JMO53" s="708">
        <f t="shared" si="146"/>
        <v>9.0949524618798354E+94</v>
      </c>
      <c r="JMP53" s="708">
        <f t="shared" si="146"/>
        <v>9.3678010357362301E+94</v>
      </c>
      <c r="JMQ53" s="708">
        <f t="shared" si="146"/>
        <v>9.648835066808317E+94</v>
      </c>
      <c r="JMR53" s="708">
        <f t="shared" si="146"/>
        <v>9.9383001188125662E+94</v>
      </c>
      <c r="JMS53" s="708">
        <f t="shared" si="146"/>
        <v>1.0236449122376944E+95</v>
      </c>
      <c r="JMT53" s="708">
        <f t="shared" si="146"/>
        <v>1.0543542596048252E+95</v>
      </c>
      <c r="JMU53" s="708">
        <f t="shared" si="146"/>
        <v>1.08598488739297E+95</v>
      </c>
      <c r="JMV53" s="708">
        <f t="shared" si="146"/>
        <v>1.1185644340147591E+95</v>
      </c>
      <c r="JMW53" s="708">
        <f t="shared" si="146"/>
        <v>1.1521213670352019E+95</v>
      </c>
      <c r="JMX53" s="708">
        <f t="shared" si="146"/>
        <v>1.186685008046258E+95</v>
      </c>
      <c r="JMY53" s="708">
        <f t="shared" si="146"/>
        <v>1.2222855582876457E+95</v>
      </c>
      <c r="JMZ53" s="708">
        <f t="shared" si="146"/>
        <v>1.2589541250362752E+95</v>
      </c>
      <c r="JNA53" s="708">
        <f t="shared" si="146"/>
        <v>1.2967227487873635E+95</v>
      </c>
      <c r="JNB53" s="708">
        <f t="shared" si="146"/>
        <v>1.3356244312509844E+95</v>
      </c>
      <c r="JNC53" s="708">
        <f t="shared" si="146"/>
        <v>1.3756931641885141E+95</v>
      </c>
      <c r="JND53" s="708">
        <f t="shared" si="146"/>
        <v>1.4169639591141696E+95</v>
      </c>
      <c r="JNE53" s="708">
        <f t="shared" si="146"/>
        <v>1.4594728778875948E+95</v>
      </c>
      <c r="JNF53" s="708">
        <f t="shared" si="146"/>
        <v>1.5032570642242228E+95</v>
      </c>
      <c r="JNG53" s="708">
        <f t="shared" si="146"/>
        <v>1.5483547761509495E+95</v>
      </c>
      <c r="JNH53" s="708">
        <f t="shared" si="146"/>
        <v>1.5948054194354779E+95</v>
      </c>
      <c r="JNI53" s="708">
        <f t="shared" si="146"/>
        <v>1.6426495820185424E+95</v>
      </c>
      <c r="JNJ53" s="708">
        <f t="shared" si="146"/>
        <v>1.6919290694790987E+95</v>
      </c>
      <c r="JNK53" s="708">
        <f t="shared" si="146"/>
        <v>1.7426869415634717E+95</v>
      </c>
      <c r="JNL53" s="708">
        <f t="shared" si="146"/>
        <v>1.7949675498103758E+95</v>
      </c>
      <c r="JNM53" s="708">
        <f t="shared" si="146"/>
        <v>1.848816576304687E+95</v>
      </c>
      <c r="JNN53" s="708">
        <f t="shared" si="146"/>
        <v>1.9042810735938277E+95</v>
      </c>
      <c r="JNO53" s="708">
        <f t="shared" si="146"/>
        <v>1.9614095058016424E+95</v>
      </c>
      <c r="JNP53" s="708">
        <f t="shared" si="146"/>
        <v>2.0202517909756918E+95</v>
      </c>
      <c r="JNQ53" s="708">
        <f t="shared" si="146"/>
        <v>2.0808593447049627E+95</v>
      </c>
      <c r="JNR53" s="708">
        <f t="shared" si="146"/>
        <v>2.1432851250461117E+95</v>
      </c>
      <c r="JNS53" s="708">
        <f t="shared" si="146"/>
        <v>2.2075836787974951E+95</v>
      </c>
      <c r="JNT53" s="708">
        <f t="shared" si="146"/>
        <v>2.27381118916142E+95</v>
      </c>
      <c r="JNU53" s="708">
        <f t="shared" si="146"/>
        <v>2.3420255248362626E+95</v>
      </c>
      <c r="JNV53" s="708">
        <f t="shared" si="146"/>
        <v>2.4122862905813507E+95</v>
      </c>
      <c r="JNW53" s="708">
        <f t="shared" si="146"/>
        <v>2.4846548792987912E+95</v>
      </c>
      <c r="JNX53" s="708">
        <f t="shared" si="146"/>
        <v>2.5591945256777551E+95</v>
      </c>
      <c r="JNY53" s="708">
        <f t="shared" si="146"/>
        <v>2.6359703614480878E+95</v>
      </c>
      <c r="JNZ53" s="708">
        <f t="shared" si="146"/>
        <v>2.7150494722915302E+95</v>
      </c>
      <c r="JOA53" s="708">
        <f t="shared" si="146"/>
        <v>2.796500956460276E+95</v>
      </c>
      <c r="JOB53" s="708">
        <f t="shared" si="146"/>
        <v>2.8803959851540843E+95</v>
      </c>
      <c r="JOC53" s="708">
        <f t="shared" si="146"/>
        <v>2.9668078647087068E+95</v>
      </c>
      <c r="JOD53" s="708">
        <f t="shared" si="146"/>
        <v>3.055812100649968E+95</v>
      </c>
      <c r="JOE53" s="708">
        <f t="shared" si="146"/>
        <v>3.1474864636694671E+95</v>
      </c>
      <c r="JOF53" s="708">
        <f t="shared" si="146"/>
        <v>3.2419110575795514E+95</v>
      </c>
      <c r="JOG53" s="708">
        <f t="shared" si="146"/>
        <v>3.339168389306938E+95</v>
      </c>
      <c r="JOH53" s="708">
        <f t="shared" si="146"/>
        <v>3.4393434409861465E+95</v>
      </c>
      <c r="JOI53" s="708">
        <f t="shared" si="146"/>
        <v>3.5425237442157307E+95</v>
      </c>
      <c r="JOJ53" s="708">
        <f t="shared" si="146"/>
        <v>3.6487994565422029E+95</v>
      </c>
      <c r="JOK53" s="708">
        <f t="shared" si="146"/>
        <v>3.7582634402384694E+95</v>
      </c>
      <c r="JOL53" s="708">
        <f t="shared" si="146"/>
        <v>3.8710113434456233E+95</v>
      </c>
      <c r="JOM53" s="708">
        <f t="shared" si="146"/>
        <v>3.9871416837489924E+95</v>
      </c>
      <c r="JON53" s="708">
        <f t="shared" si="146"/>
        <v>4.1067559342614621E+95</v>
      </c>
      <c r="JOO53" s="708">
        <f t="shared" si="146"/>
        <v>4.2299586122893062E+95</v>
      </c>
      <c r="JOP53" s="708">
        <f t="shared" si="146"/>
        <v>4.3568573706579857E+95</v>
      </c>
      <c r="JOQ53" s="708">
        <f t="shared" si="146"/>
        <v>4.4875630917777253E+95</v>
      </c>
      <c r="JOR53" s="708">
        <f t="shared" si="146"/>
        <v>4.6221899845310574E+95</v>
      </c>
      <c r="JOS53" s="708">
        <f t="shared" si="146"/>
        <v>4.7608556840669895E+95</v>
      </c>
      <c r="JOT53" s="708">
        <f t="shared" si="146"/>
        <v>4.9036813545889991E+95</v>
      </c>
      <c r="JOU53" s="708">
        <f t="shared" si="146"/>
        <v>5.0507917952266692E+95</v>
      </c>
      <c r="JOV53" s="708">
        <f t="shared" si="146"/>
        <v>5.2023155490834692E+95</v>
      </c>
      <c r="JOW53" s="708">
        <f t="shared" si="146"/>
        <v>5.3583850155559734E+95</v>
      </c>
      <c r="JOX53" s="708">
        <f t="shared" ref="JOX53:JRI53" si="147">JOW53*$C$53</f>
        <v>5.5191365660226532E+95</v>
      </c>
      <c r="JOY53" s="708">
        <f t="shared" si="147"/>
        <v>5.6847106630033331E+95</v>
      </c>
      <c r="JOZ53" s="708">
        <f t="shared" si="147"/>
        <v>5.8552519828934337E+95</v>
      </c>
      <c r="JPA53" s="708">
        <f t="shared" si="147"/>
        <v>6.0309095423802374E+95</v>
      </c>
      <c r="JPB53" s="708">
        <f t="shared" si="147"/>
        <v>6.2118368286516449E+95</v>
      </c>
      <c r="JPC53" s="708">
        <f t="shared" si="147"/>
        <v>6.3981919335111943E+95</v>
      </c>
      <c r="JPD53" s="708">
        <f t="shared" si="147"/>
        <v>6.5901376915165302E+95</v>
      </c>
      <c r="JPE53" s="708">
        <f t="shared" si="147"/>
        <v>6.7878418222620265E+95</v>
      </c>
      <c r="JPF53" s="708">
        <f t="shared" si="147"/>
        <v>6.9914770769298877E+95</v>
      </c>
      <c r="JPG53" s="708">
        <f t="shared" si="147"/>
        <v>7.2012213892377847E+95</v>
      </c>
      <c r="JPH53" s="708">
        <f t="shared" si="147"/>
        <v>7.4172580309149188E+95</v>
      </c>
      <c r="JPI53" s="708">
        <f t="shared" si="147"/>
        <v>7.6397757718423661E+95</v>
      </c>
      <c r="JPJ53" s="708">
        <f t="shared" si="147"/>
        <v>7.8689690449976376E+95</v>
      </c>
      <c r="JPK53" s="708">
        <f t="shared" si="147"/>
        <v>8.1050381163475668E+95</v>
      </c>
      <c r="JPL53" s="708">
        <f t="shared" si="147"/>
        <v>8.3481892598379945E+95</v>
      </c>
      <c r="JPM53" s="708">
        <f t="shared" si="147"/>
        <v>8.5986349376331346E+95</v>
      </c>
      <c r="JPN53" s="708">
        <f t="shared" si="147"/>
        <v>8.8565939857621289E+95</v>
      </c>
      <c r="JPO53" s="708">
        <f t="shared" si="147"/>
        <v>9.1222918053349935E+95</v>
      </c>
      <c r="JPP53" s="708">
        <f t="shared" si="147"/>
        <v>9.3959605594950434E+95</v>
      </c>
      <c r="JPQ53" s="708">
        <f t="shared" si="147"/>
        <v>9.6778393762798946E+95</v>
      </c>
      <c r="JPR53" s="708">
        <f t="shared" si="147"/>
        <v>9.9681745575682916E+95</v>
      </c>
      <c r="JPS53" s="708">
        <f t="shared" si="147"/>
        <v>1.026721979429534E+96</v>
      </c>
      <c r="JPT53" s="708">
        <f t="shared" si="147"/>
        <v>1.0575236388124201E+96</v>
      </c>
      <c r="JPU53" s="708">
        <f t="shared" si="147"/>
        <v>1.0892493479767927E+96</v>
      </c>
      <c r="JPV53" s="708">
        <f t="shared" si="147"/>
        <v>1.1219268284160966E+96</v>
      </c>
      <c r="JPW53" s="708">
        <f t="shared" si="147"/>
        <v>1.1555846332685795E+96</v>
      </c>
      <c r="JPX53" s="708">
        <f t="shared" si="147"/>
        <v>1.190252172266637E+96</v>
      </c>
      <c r="JPY53" s="708">
        <f t="shared" si="147"/>
        <v>1.2259597374346361E+96</v>
      </c>
      <c r="JPZ53" s="708">
        <f t="shared" si="147"/>
        <v>1.2627385295576751E+96</v>
      </c>
      <c r="JQA53" s="708">
        <f t="shared" si="147"/>
        <v>1.3006206854444053E+96</v>
      </c>
      <c r="JQB53" s="708">
        <f t="shared" si="147"/>
        <v>1.3396393060077374E+96</v>
      </c>
      <c r="JQC53" s="708">
        <f t="shared" si="147"/>
        <v>1.3798284851879697E+96</v>
      </c>
      <c r="JQD53" s="708">
        <f t="shared" si="147"/>
        <v>1.4212233397436088E+96</v>
      </c>
      <c r="JQE53" s="708">
        <f t="shared" si="147"/>
        <v>1.4638600399359172E+96</v>
      </c>
      <c r="JQF53" s="708">
        <f t="shared" si="147"/>
        <v>1.5077758411339946E+96</v>
      </c>
      <c r="JQG53" s="708">
        <f t="shared" si="147"/>
        <v>1.5530091163680145E+96</v>
      </c>
      <c r="JQH53" s="708">
        <f t="shared" si="147"/>
        <v>1.599599389859055E+96</v>
      </c>
      <c r="JQI53" s="708">
        <f t="shared" si="147"/>
        <v>1.6475873715548267E+96</v>
      </c>
      <c r="JQJ53" s="708">
        <f t="shared" si="147"/>
        <v>1.6970149927014716E+96</v>
      </c>
      <c r="JQK53" s="708">
        <f t="shared" si="147"/>
        <v>1.7479254424825158E+96</v>
      </c>
      <c r="JQL53" s="708">
        <f t="shared" si="147"/>
        <v>1.8003632057569913E+96</v>
      </c>
      <c r="JQM53" s="708">
        <f t="shared" si="147"/>
        <v>1.854374101929701E+96</v>
      </c>
      <c r="JQN53" s="708">
        <f t="shared" si="147"/>
        <v>1.9100053249875921E+96</v>
      </c>
      <c r="JQO53" s="708">
        <f t="shared" si="147"/>
        <v>1.9673054847372199E+96</v>
      </c>
      <c r="JQP53" s="708">
        <f t="shared" si="147"/>
        <v>2.0263246492793365E+96</v>
      </c>
      <c r="JQQ53" s="708">
        <f t="shared" si="147"/>
        <v>2.0871143887577165E+96</v>
      </c>
      <c r="JQR53" s="708">
        <f t="shared" si="147"/>
        <v>2.1497278204204482E+96</v>
      </c>
      <c r="JQS53" s="708">
        <f t="shared" si="147"/>
        <v>2.2142196550330615E+96</v>
      </c>
      <c r="JQT53" s="708">
        <f t="shared" si="147"/>
        <v>2.2806462446840535E+96</v>
      </c>
      <c r="JQU53" s="708">
        <f t="shared" si="147"/>
        <v>2.3490656320245751E+96</v>
      </c>
      <c r="JQV53" s="708">
        <f t="shared" si="147"/>
        <v>2.4195376009853124E+96</v>
      </c>
      <c r="JQW53" s="708">
        <f t="shared" si="147"/>
        <v>2.492123729014872E+96</v>
      </c>
      <c r="JQX53" s="708">
        <f t="shared" si="147"/>
        <v>2.5668874408853184E+96</v>
      </c>
      <c r="JQY53" s="708">
        <f t="shared" si="147"/>
        <v>2.6438940641118781E+96</v>
      </c>
      <c r="JQZ53" s="708">
        <f t="shared" si="147"/>
        <v>2.7232108860352345E+96</v>
      </c>
      <c r="JRA53" s="708">
        <f t="shared" si="147"/>
        <v>2.8049072126162917E+96</v>
      </c>
      <c r="JRB53" s="708">
        <f t="shared" si="147"/>
        <v>2.8890544289947806E+96</v>
      </c>
      <c r="JRC53" s="708">
        <f t="shared" si="147"/>
        <v>2.9757260618646241E+96</v>
      </c>
      <c r="JRD53" s="708">
        <f t="shared" si="147"/>
        <v>3.0649978437205627E+96</v>
      </c>
      <c r="JRE53" s="708">
        <f t="shared" si="147"/>
        <v>3.1569477790321799E+96</v>
      </c>
      <c r="JRF53" s="708">
        <f t="shared" si="147"/>
        <v>3.2516562124031451E+96</v>
      </c>
      <c r="JRG53" s="708">
        <f t="shared" si="147"/>
        <v>3.3492058987752394E+96</v>
      </c>
      <c r="JRH53" s="708">
        <f t="shared" si="147"/>
        <v>3.4496820757384965E+96</v>
      </c>
      <c r="JRI53" s="708">
        <f t="shared" si="147"/>
        <v>3.5531725380106517E+96</v>
      </c>
      <c r="JRJ53" s="708">
        <f t="shared" ref="JRJ53:JTU53" si="148">JRI53*$C$53</f>
        <v>3.6597677141509715E+96</v>
      </c>
      <c r="JRK53" s="708">
        <f t="shared" si="148"/>
        <v>3.7695607455755006E+96</v>
      </c>
      <c r="JRL53" s="708">
        <f t="shared" si="148"/>
        <v>3.8826475679427659E+96</v>
      </c>
      <c r="JRM53" s="708">
        <f t="shared" si="148"/>
        <v>3.9991269949810492E+96</v>
      </c>
      <c r="JRN53" s="708">
        <f t="shared" si="148"/>
        <v>4.119100804830481E+96</v>
      </c>
      <c r="JRO53" s="708">
        <f t="shared" si="148"/>
        <v>4.2426738289753957E+96</v>
      </c>
      <c r="JRP53" s="708">
        <f t="shared" si="148"/>
        <v>4.3699540438446579E+96</v>
      </c>
      <c r="JRQ53" s="708">
        <f t="shared" si="148"/>
        <v>4.5010526651599974E+96</v>
      </c>
      <c r="JRR53" s="708">
        <f t="shared" si="148"/>
        <v>4.6360842451147974E+96</v>
      </c>
      <c r="JRS53" s="708">
        <f t="shared" si="148"/>
        <v>4.7751667724682414E+96</v>
      </c>
      <c r="JRT53" s="708">
        <f t="shared" si="148"/>
        <v>4.9184217756422883E+96</v>
      </c>
      <c r="JRU53" s="708">
        <f t="shared" si="148"/>
        <v>5.0659744289115569E+96</v>
      </c>
      <c r="JRV53" s="708">
        <f t="shared" si="148"/>
        <v>5.2179536617789041E+96</v>
      </c>
      <c r="JRW53" s="708">
        <f t="shared" si="148"/>
        <v>5.374492271632271E+96</v>
      </c>
      <c r="JRX53" s="708">
        <f t="shared" si="148"/>
        <v>5.5357270397812389E+96</v>
      </c>
      <c r="JRY53" s="708">
        <f t="shared" si="148"/>
        <v>5.701798850974676E+96</v>
      </c>
      <c r="JRZ53" s="708">
        <f t="shared" si="148"/>
        <v>5.8728528165039161E+96</v>
      </c>
      <c r="JSA53" s="708">
        <f t="shared" si="148"/>
        <v>6.0490384009990341E+96</v>
      </c>
      <c r="JSB53" s="708">
        <f t="shared" si="148"/>
        <v>6.2305095530290057E+96</v>
      </c>
      <c r="JSC53" s="708">
        <f t="shared" si="148"/>
        <v>6.4174248396198763E+96</v>
      </c>
      <c r="JSD53" s="708">
        <f t="shared" si="148"/>
        <v>6.6099475848084731E+96</v>
      </c>
      <c r="JSE53" s="708">
        <f t="shared" si="148"/>
        <v>6.8082460123527279E+96</v>
      </c>
      <c r="JSF53" s="708">
        <f t="shared" si="148"/>
        <v>7.0124933927233098E+96</v>
      </c>
      <c r="JSG53" s="708">
        <f t="shared" si="148"/>
        <v>7.2228681945050091E+96</v>
      </c>
      <c r="JSH53" s="708">
        <f t="shared" si="148"/>
        <v>7.4395542403401598E+96</v>
      </c>
      <c r="JSI53" s="708">
        <f t="shared" si="148"/>
        <v>7.6627408675503647E+96</v>
      </c>
      <c r="JSJ53" s="708">
        <f t="shared" si="148"/>
        <v>7.8926230935768758E+96</v>
      </c>
      <c r="JSK53" s="708">
        <f t="shared" si="148"/>
        <v>8.1294017863841825E+96</v>
      </c>
      <c r="JSL53" s="708">
        <f t="shared" si="148"/>
        <v>8.3732838399757083E+96</v>
      </c>
      <c r="JSM53" s="708">
        <f t="shared" si="148"/>
        <v>8.6244823551749807E+96</v>
      </c>
      <c r="JSN53" s="708">
        <f t="shared" si="148"/>
        <v>8.8832168258302312E+96</v>
      </c>
      <c r="JSO53" s="708">
        <f t="shared" si="148"/>
        <v>9.1497133306051374E+96</v>
      </c>
      <c r="JSP53" s="708">
        <f t="shared" si="148"/>
        <v>9.4242047305232924E+96</v>
      </c>
      <c r="JSQ53" s="708">
        <f t="shared" si="148"/>
        <v>9.7069308724389911E+96</v>
      </c>
      <c r="JSR53" s="708">
        <f t="shared" si="148"/>
        <v>9.9981387986121612E+96</v>
      </c>
      <c r="JSS53" s="708">
        <f t="shared" si="148"/>
        <v>1.0298082962570527E+97</v>
      </c>
      <c r="JST53" s="708">
        <f t="shared" si="148"/>
        <v>1.0607025451447644E+97</v>
      </c>
      <c r="JSU53" s="708">
        <f t="shared" si="148"/>
        <v>1.0925236214991073E+97</v>
      </c>
      <c r="JSV53" s="708">
        <f t="shared" si="148"/>
        <v>1.1252993301440806E+97</v>
      </c>
      <c r="JSW53" s="708">
        <f t="shared" si="148"/>
        <v>1.159058310048403E+97</v>
      </c>
      <c r="JSX53" s="708">
        <f t="shared" si="148"/>
        <v>1.1938300593498551E+97</v>
      </c>
      <c r="JSY53" s="708">
        <f t="shared" si="148"/>
        <v>1.2296449611303507E+97</v>
      </c>
      <c r="JSZ53" s="708">
        <f t="shared" si="148"/>
        <v>1.2665343099642614E+97</v>
      </c>
      <c r="JTA53" s="708">
        <f t="shared" si="148"/>
        <v>1.3045303392631892E+97</v>
      </c>
      <c r="JTB53" s="708">
        <f t="shared" si="148"/>
        <v>1.3436662494410849E+97</v>
      </c>
      <c r="JTC53" s="708">
        <f t="shared" si="148"/>
        <v>1.3839762369243174E+97</v>
      </c>
      <c r="JTD53" s="708">
        <f t="shared" si="148"/>
        <v>1.4254955240320469E+97</v>
      </c>
      <c r="JTE53" s="708">
        <f t="shared" si="148"/>
        <v>1.4682603897530084E+97</v>
      </c>
      <c r="JTF53" s="708">
        <f t="shared" si="148"/>
        <v>1.5123082014455987E+97</v>
      </c>
      <c r="JTG53" s="708">
        <f t="shared" si="148"/>
        <v>1.5576774474889667E+97</v>
      </c>
      <c r="JTH53" s="708">
        <f t="shared" si="148"/>
        <v>1.6044077709136358E+97</v>
      </c>
      <c r="JTI53" s="708">
        <f t="shared" si="148"/>
        <v>1.6525400040410449E+97</v>
      </c>
      <c r="JTJ53" s="708">
        <f t="shared" si="148"/>
        <v>1.7021162041622762E+97</v>
      </c>
      <c r="JTK53" s="708">
        <f t="shared" si="148"/>
        <v>1.7531796902871445E+97</v>
      </c>
      <c r="JTL53" s="708">
        <f t="shared" si="148"/>
        <v>1.8057750809957588E+97</v>
      </c>
      <c r="JTM53" s="708">
        <f t="shared" si="148"/>
        <v>1.8599483334256315E+97</v>
      </c>
      <c r="JTN53" s="708">
        <f t="shared" si="148"/>
        <v>1.9157467834284007E+97</v>
      </c>
      <c r="JTO53" s="708">
        <f t="shared" si="148"/>
        <v>1.9732191869312526E+97</v>
      </c>
      <c r="JTP53" s="708">
        <f t="shared" si="148"/>
        <v>2.0324157625391904E+97</v>
      </c>
      <c r="JTQ53" s="708">
        <f t="shared" si="148"/>
        <v>2.0933882354153662E+97</v>
      </c>
      <c r="JTR53" s="708">
        <f t="shared" si="148"/>
        <v>2.1561898824778274E+97</v>
      </c>
      <c r="JTS53" s="708">
        <f t="shared" si="148"/>
        <v>2.2208755789521624E+97</v>
      </c>
      <c r="JTT53" s="708">
        <f t="shared" si="148"/>
        <v>2.2875018463207273E+97</v>
      </c>
      <c r="JTU53" s="708">
        <f t="shared" si="148"/>
        <v>2.3561269017103492E+97</v>
      </c>
      <c r="JTV53" s="708">
        <f t="shared" ref="JTV53:JWG53" si="149">JTU53*$C$53</f>
        <v>2.4268107087616596E+97</v>
      </c>
      <c r="JTW53" s="708">
        <f t="shared" si="149"/>
        <v>2.4996150300245093E+97</v>
      </c>
      <c r="JTX53" s="708">
        <f t="shared" si="149"/>
        <v>2.5746034809252447E+97</v>
      </c>
      <c r="JTY53" s="708">
        <f t="shared" si="149"/>
        <v>2.651841585353002E+97</v>
      </c>
      <c r="JTZ53" s="708">
        <f t="shared" si="149"/>
        <v>2.7313968329135921E+97</v>
      </c>
      <c r="JUA53" s="708">
        <f t="shared" si="149"/>
        <v>2.8133387379009998E+97</v>
      </c>
      <c r="JUB53" s="708">
        <f t="shared" si="149"/>
        <v>2.8977389000380298E+97</v>
      </c>
      <c r="JUC53" s="708">
        <f t="shared" si="149"/>
        <v>2.9846710670391707E+97</v>
      </c>
      <c r="JUD53" s="708">
        <f t="shared" si="149"/>
        <v>3.0742111990503458E+97</v>
      </c>
      <c r="JUE53" s="708">
        <f t="shared" si="149"/>
        <v>3.1664375350218562E+97</v>
      </c>
      <c r="JUF53" s="708">
        <f t="shared" si="149"/>
        <v>3.2614306610725118E+97</v>
      </c>
      <c r="JUG53" s="708">
        <f t="shared" si="149"/>
        <v>3.3592735809046872E+97</v>
      </c>
      <c r="JUH53" s="708">
        <f t="shared" si="149"/>
        <v>3.4600517883318277E+97</v>
      </c>
      <c r="JUI53" s="708">
        <f t="shared" si="149"/>
        <v>3.5638533419817827E+97</v>
      </c>
      <c r="JUJ53" s="708">
        <f t="shared" si="149"/>
        <v>3.6707689422412366E+97</v>
      </c>
      <c r="JUK53" s="708">
        <f t="shared" si="149"/>
        <v>3.780892010508474E+97</v>
      </c>
      <c r="JUL53" s="708">
        <f t="shared" si="149"/>
        <v>3.8943187708237283E+97</v>
      </c>
      <c r="JUM53" s="708">
        <f t="shared" si="149"/>
        <v>4.01114833394844E+97</v>
      </c>
      <c r="JUN53" s="708">
        <f t="shared" si="149"/>
        <v>4.131482783966893E+97</v>
      </c>
      <c r="JUO53" s="708">
        <f t="shared" si="149"/>
        <v>4.2554272674859003E+97</v>
      </c>
      <c r="JUP53" s="708">
        <f t="shared" si="149"/>
        <v>4.3830900855104777E+97</v>
      </c>
      <c r="JUQ53" s="708">
        <f t="shared" si="149"/>
        <v>4.514582788075792E+97</v>
      </c>
      <c r="JUR53" s="708">
        <f t="shared" si="149"/>
        <v>4.6500202717180658E+97</v>
      </c>
      <c r="JUS53" s="708">
        <f t="shared" si="149"/>
        <v>4.7895208798696077E+97</v>
      </c>
      <c r="JUT53" s="708">
        <f t="shared" si="149"/>
        <v>4.933206506265696E+97</v>
      </c>
      <c r="JUU53" s="708">
        <f t="shared" si="149"/>
        <v>5.0812027014536668E+97</v>
      </c>
      <c r="JUV53" s="708">
        <f t="shared" si="149"/>
        <v>5.2336387824972773E+97</v>
      </c>
      <c r="JUW53" s="708">
        <f t="shared" si="149"/>
        <v>5.3906479459721959E+97</v>
      </c>
      <c r="JUX53" s="708">
        <f t="shared" si="149"/>
        <v>5.552367384351362E+97</v>
      </c>
      <c r="JUY53" s="708">
        <f t="shared" si="149"/>
        <v>5.7189384058819033E+97</v>
      </c>
      <c r="JUZ53" s="708">
        <f t="shared" si="149"/>
        <v>5.8905065580583608E+97</v>
      </c>
      <c r="JVA53" s="708">
        <f t="shared" si="149"/>
        <v>6.0672217548001118E+97</v>
      </c>
      <c r="JVB53" s="708">
        <f t="shared" si="149"/>
        <v>6.2492384074441154E+97</v>
      </c>
      <c r="JVC53" s="708">
        <f t="shared" si="149"/>
        <v>6.4367155596674392E+97</v>
      </c>
      <c r="JVD53" s="708">
        <f t="shared" si="149"/>
        <v>6.6298170264574628E+97</v>
      </c>
      <c r="JVE53" s="708">
        <f t="shared" si="149"/>
        <v>6.828711537251187E+97</v>
      </c>
      <c r="JVF53" s="708">
        <f t="shared" si="149"/>
        <v>7.0335728833687226E+97</v>
      </c>
      <c r="JVG53" s="708">
        <f t="shared" si="149"/>
        <v>7.2445800698697843E+97</v>
      </c>
      <c r="JVH53" s="708">
        <f t="shared" si="149"/>
        <v>7.4619174719658787E+97</v>
      </c>
      <c r="JVI53" s="708">
        <f t="shared" si="149"/>
        <v>7.6857749961248553E+97</v>
      </c>
      <c r="JVJ53" s="708">
        <f t="shared" si="149"/>
        <v>7.9163482460086009E+97</v>
      </c>
      <c r="JVK53" s="708">
        <f t="shared" si="149"/>
        <v>8.1538386933888592E+97</v>
      </c>
      <c r="JVL53" s="708">
        <f t="shared" si="149"/>
        <v>8.3984538541905245E+97</v>
      </c>
      <c r="JVM53" s="708">
        <f t="shared" si="149"/>
        <v>8.65040746981624E+97</v>
      </c>
      <c r="JVN53" s="708">
        <f t="shared" si="149"/>
        <v>8.9099196939107271E+97</v>
      </c>
      <c r="JVO53" s="708">
        <f t="shared" si="149"/>
        <v>9.1772172847280493E+97</v>
      </c>
      <c r="JVP53" s="708">
        <f t="shared" si="149"/>
        <v>9.4525338032698917E+97</v>
      </c>
      <c r="JVQ53" s="708">
        <f t="shared" si="149"/>
        <v>9.7361098173679884E+97</v>
      </c>
      <c r="JVR53" s="708">
        <f t="shared" si="149"/>
        <v>1.0028193111889028E+98</v>
      </c>
      <c r="JVS53" s="708">
        <f t="shared" si="149"/>
        <v>1.0329038905245699E+98</v>
      </c>
      <c r="JVT53" s="708">
        <f t="shared" si="149"/>
        <v>1.063891007240307E+98</v>
      </c>
      <c r="JVU53" s="708">
        <f t="shared" si="149"/>
        <v>1.0958077374575163E+98</v>
      </c>
      <c r="JVV53" s="708">
        <f t="shared" si="149"/>
        <v>1.1286819695812419E+98</v>
      </c>
      <c r="JVW53" s="708">
        <f t="shared" si="149"/>
        <v>1.1625424286686791E+98</v>
      </c>
      <c r="JVX53" s="708">
        <f t="shared" si="149"/>
        <v>1.1974187015287395E+98</v>
      </c>
      <c r="JVY53" s="708">
        <f t="shared" si="149"/>
        <v>1.2333412625746017E+98</v>
      </c>
      <c r="JVZ53" s="708">
        <f t="shared" si="149"/>
        <v>1.2703415004518397E+98</v>
      </c>
      <c r="JWA53" s="708">
        <f t="shared" si="149"/>
        <v>1.308451745465395E+98</v>
      </c>
      <c r="JWB53" s="708">
        <f t="shared" si="149"/>
        <v>1.3477052978293569E+98</v>
      </c>
      <c r="JWC53" s="708">
        <f t="shared" si="149"/>
        <v>1.3881364567642375E+98</v>
      </c>
      <c r="JWD53" s="708">
        <f t="shared" si="149"/>
        <v>1.4297805504671647E+98</v>
      </c>
      <c r="JWE53" s="708">
        <f t="shared" si="149"/>
        <v>1.4726739669811797E+98</v>
      </c>
      <c r="JWF53" s="708">
        <f t="shared" si="149"/>
        <v>1.5168541859906152E+98</v>
      </c>
      <c r="JWG53" s="708">
        <f t="shared" si="149"/>
        <v>1.5623598115703337E+98</v>
      </c>
      <c r="JWH53" s="708">
        <f t="shared" ref="JWH53:JYS53" si="150">JWG53*$C$53</f>
        <v>1.6092306059174437E+98</v>
      </c>
      <c r="JWI53" s="708">
        <f t="shared" si="150"/>
        <v>1.657507524094967E+98</v>
      </c>
      <c r="JWJ53" s="708">
        <f t="shared" si="150"/>
        <v>1.7072327498178161E+98</v>
      </c>
      <c r="JWK53" s="708">
        <f t="shared" si="150"/>
        <v>1.7584497323123506E+98</v>
      </c>
      <c r="JWL53" s="708">
        <f t="shared" si="150"/>
        <v>1.811203224281721E+98</v>
      </c>
      <c r="JWM53" s="708">
        <f t="shared" si="150"/>
        <v>1.8655393210101728E+98</v>
      </c>
      <c r="JWN53" s="708">
        <f t="shared" si="150"/>
        <v>1.9215055006404782E+98</v>
      </c>
      <c r="JWO53" s="708">
        <f t="shared" si="150"/>
        <v>1.9791506656596925E+98</v>
      </c>
      <c r="JWP53" s="708">
        <f t="shared" si="150"/>
        <v>2.0385251856294832E+98</v>
      </c>
      <c r="JWQ53" s="708">
        <f t="shared" si="150"/>
        <v>2.0996809411983679E+98</v>
      </c>
      <c r="JWR53" s="708">
        <f t="shared" si="150"/>
        <v>2.1626713694343189E+98</v>
      </c>
      <c r="JWS53" s="708">
        <f t="shared" si="150"/>
        <v>2.2275515105173487E+98</v>
      </c>
      <c r="JWT53" s="708">
        <f t="shared" si="150"/>
        <v>2.2943780558328693E+98</v>
      </c>
      <c r="JWU53" s="708">
        <f t="shared" si="150"/>
        <v>2.3632093975078555E+98</v>
      </c>
      <c r="JWV53" s="708">
        <f t="shared" si="150"/>
        <v>2.4341056794330913E+98</v>
      </c>
      <c r="JWW53" s="708">
        <f t="shared" si="150"/>
        <v>2.5071288498160842E+98</v>
      </c>
      <c r="JWX53" s="708">
        <f t="shared" si="150"/>
        <v>2.5823427153105668E+98</v>
      </c>
      <c r="JWY53" s="708">
        <f t="shared" si="150"/>
        <v>2.6598129967698838E+98</v>
      </c>
      <c r="JWZ53" s="708">
        <f t="shared" si="150"/>
        <v>2.7396073866729801E+98</v>
      </c>
      <c r="JXA53" s="708">
        <f t="shared" si="150"/>
        <v>2.8217956082731694E+98</v>
      </c>
      <c r="JXB53" s="708">
        <f t="shared" si="150"/>
        <v>2.9064494765213648E+98</v>
      </c>
      <c r="JXC53" s="708">
        <f t="shared" si="150"/>
        <v>2.9936429608170057E+98</v>
      </c>
      <c r="JXD53" s="708">
        <f t="shared" si="150"/>
        <v>3.083452249641516E+98</v>
      </c>
      <c r="JXE53" s="708">
        <f t="shared" si="150"/>
        <v>3.1759558171307616E+98</v>
      </c>
      <c r="JXF53" s="708">
        <f t="shared" si="150"/>
        <v>3.2712344916446844E+98</v>
      </c>
      <c r="JXG53" s="708">
        <f t="shared" si="150"/>
        <v>3.369371526394025E+98</v>
      </c>
      <c r="JXH53" s="708">
        <f t="shared" si="150"/>
        <v>3.470452672185846E+98</v>
      </c>
      <c r="JXI53" s="708">
        <f t="shared" si="150"/>
        <v>3.5745662523514217E+98</v>
      </c>
      <c r="JXJ53" s="708">
        <f t="shared" si="150"/>
        <v>3.6818032399219647E+98</v>
      </c>
      <c r="JXK53" s="708">
        <f t="shared" si="150"/>
        <v>3.7922573371196239E+98</v>
      </c>
      <c r="JXL53" s="708">
        <f t="shared" si="150"/>
        <v>3.9060250572332126E+98</v>
      </c>
      <c r="JXM53" s="708">
        <f t="shared" si="150"/>
        <v>4.023205808950209E+98</v>
      </c>
      <c r="JXN53" s="708">
        <f t="shared" si="150"/>
        <v>4.1439019832187155E+98</v>
      </c>
      <c r="JXO53" s="708">
        <f t="shared" si="150"/>
        <v>4.2682190427152773E+98</v>
      </c>
      <c r="JXP53" s="708">
        <f t="shared" si="150"/>
        <v>4.3962656139967359E+98</v>
      </c>
      <c r="JXQ53" s="708">
        <f t="shared" si="150"/>
        <v>4.5281535824166381E+98</v>
      </c>
      <c r="JXR53" s="708">
        <f t="shared" si="150"/>
        <v>4.6639981898891374E+98</v>
      </c>
      <c r="JXS53" s="708">
        <f t="shared" si="150"/>
        <v>4.8039181355858114E+98</v>
      </c>
      <c r="JXT53" s="708">
        <f t="shared" si="150"/>
        <v>4.9480356796533861E+98</v>
      </c>
      <c r="JXU53" s="708">
        <f t="shared" si="150"/>
        <v>5.096476750042988E+98</v>
      </c>
      <c r="JXV53" s="708">
        <f t="shared" si="150"/>
        <v>5.2493710525442777E+98</v>
      </c>
      <c r="JXW53" s="708">
        <f t="shared" si="150"/>
        <v>5.4068521841206063E+98</v>
      </c>
      <c r="JXX53" s="708">
        <f t="shared" si="150"/>
        <v>5.5690577496442243E+98</v>
      </c>
      <c r="JXY53" s="708">
        <f t="shared" si="150"/>
        <v>5.736129482133551E+98</v>
      </c>
      <c r="JXZ53" s="708">
        <f t="shared" si="150"/>
        <v>5.9082133665975578E+98</v>
      </c>
      <c r="JYA53" s="708">
        <f t="shared" si="150"/>
        <v>6.0854597675954852E+98</v>
      </c>
      <c r="JYB53" s="708">
        <f t="shared" si="150"/>
        <v>6.2680235606233501E+98</v>
      </c>
      <c r="JYC53" s="708">
        <f t="shared" si="150"/>
        <v>6.4560642674420512E+98</v>
      </c>
      <c r="JYD53" s="708">
        <f t="shared" si="150"/>
        <v>6.6497461954653134E+98</v>
      </c>
      <c r="JYE53" s="708">
        <f t="shared" si="150"/>
        <v>6.8492385813292736E+98</v>
      </c>
      <c r="JYF53" s="708">
        <f t="shared" si="150"/>
        <v>7.0547157387691518E+98</v>
      </c>
      <c r="JYG53" s="708">
        <f t="shared" si="150"/>
        <v>7.2663572109322272E+98</v>
      </c>
      <c r="JYH53" s="708">
        <f t="shared" si="150"/>
        <v>7.4843479272601944E+98</v>
      </c>
      <c r="JYI53" s="708">
        <f t="shared" si="150"/>
        <v>7.7088783650780001E+98</v>
      </c>
      <c r="JYJ53" s="708">
        <f t="shared" si="150"/>
        <v>7.94014471603034E+98</v>
      </c>
      <c r="JYK53" s="708">
        <f t="shared" si="150"/>
        <v>8.1783490575112502E+98</v>
      </c>
      <c r="JYL53" s="708">
        <f t="shared" si="150"/>
        <v>8.4236995292365883E+98</v>
      </c>
      <c r="JYM53" s="708">
        <f t="shared" si="150"/>
        <v>8.6764105151136856E+98</v>
      </c>
      <c r="JYN53" s="708">
        <f t="shared" si="150"/>
        <v>8.9367028305670967E+98</v>
      </c>
      <c r="JYO53" s="708">
        <f t="shared" si="150"/>
        <v>9.2048039154841094E+98</v>
      </c>
      <c r="JYP53" s="708">
        <f t="shared" si="150"/>
        <v>9.4809480329486324E+98</v>
      </c>
      <c r="JYQ53" s="708">
        <f t="shared" si="150"/>
        <v>9.7653764739370911E+98</v>
      </c>
      <c r="JYR53" s="708">
        <f t="shared" si="150"/>
        <v>1.0058337768155204E+99</v>
      </c>
      <c r="JYS53" s="708">
        <f t="shared" si="150"/>
        <v>1.036008790119986E+99</v>
      </c>
      <c r="JYT53" s="708">
        <f t="shared" ref="JYT53:KBE53" si="151">JYS53*$C$53</f>
        <v>1.0670890538235856E+99</v>
      </c>
      <c r="JYU53" s="708">
        <f t="shared" si="151"/>
        <v>1.0991017254382933E+99</v>
      </c>
      <c r="JYV53" s="708">
        <f t="shared" si="151"/>
        <v>1.1320747772014421E+99</v>
      </c>
      <c r="JYW53" s="708">
        <f t="shared" si="151"/>
        <v>1.1660370205174855E+99</v>
      </c>
      <c r="JYX53" s="708">
        <f t="shared" si="151"/>
        <v>1.2010181311330099E+99</v>
      </c>
      <c r="JYY53" s="708">
        <f t="shared" si="151"/>
        <v>1.2370486750670004E+99</v>
      </c>
      <c r="JYZ53" s="708">
        <f t="shared" si="151"/>
        <v>1.2741601353190104E+99</v>
      </c>
      <c r="JZA53" s="708">
        <f t="shared" si="151"/>
        <v>1.3123849393785808E+99</v>
      </c>
      <c r="JZB53" s="708">
        <f t="shared" si="151"/>
        <v>1.3517564875599382E+99</v>
      </c>
      <c r="JZC53" s="708">
        <f t="shared" si="151"/>
        <v>1.3923091821867362E+99</v>
      </c>
      <c r="JZD53" s="708">
        <f t="shared" si="151"/>
        <v>1.4340784576523384E+99</v>
      </c>
      <c r="JZE53" s="708">
        <f t="shared" si="151"/>
        <v>1.4771008113819087E+99</v>
      </c>
      <c r="JZF53" s="708">
        <f t="shared" si="151"/>
        <v>1.521413835723366E+99</v>
      </c>
      <c r="JZG53" s="708">
        <f t="shared" si="151"/>
        <v>1.5670562507950671E+99</v>
      </c>
      <c r="JZH53" s="708">
        <f t="shared" si="151"/>
        <v>1.6140679383189191E+99</v>
      </c>
      <c r="JZI53" s="708">
        <f t="shared" si="151"/>
        <v>1.6624899764684867E+99</v>
      </c>
      <c r="JZJ53" s="708">
        <f t="shared" si="151"/>
        <v>1.7123646757625413E+99</v>
      </c>
      <c r="JZK53" s="708">
        <f t="shared" si="151"/>
        <v>1.7637356160354177E+99</v>
      </c>
      <c r="JZL53" s="708">
        <f t="shared" si="151"/>
        <v>1.8166476845164804E+99</v>
      </c>
      <c r="JZM53" s="708">
        <f t="shared" si="151"/>
        <v>1.8711471150519748E+99</v>
      </c>
      <c r="JZN53" s="708">
        <f t="shared" si="151"/>
        <v>1.927281528503534E+99</v>
      </c>
      <c r="JZO53" s="708">
        <f t="shared" si="151"/>
        <v>1.9850999743586401E+99</v>
      </c>
      <c r="JZP53" s="708">
        <f t="shared" si="151"/>
        <v>2.0446529735893994E+99</v>
      </c>
      <c r="JZQ53" s="708">
        <f t="shared" si="151"/>
        <v>2.1059925627970815E+99</v>
      </c>
      <c r="JZR53" s="708">
        <f t="shared" si="151"/>
        <v>2.1691723396809939E+99</v>
      </c>
      <c r="JZS53" s="708">
        <f t="shared" si="151"/>
        <v>2.2342475098714238E+99</v>
      </c>
      <c r="JZT53" s="708">
        <f t="shared" si="151"/>
        <v>2.3012749351675664E+99</v>
      </c>
      <c r="JZU53" s="708">
        <f t="shared" si="151"/>
        <v>2.3703131832225933E+99</v>
      </c>
      <c r="JZV53" s="708">
        <f t="shared" si="151"/>
        <v>2.4414225787192711E+99</v>
      </c>
      <c r="JZW53" s="708">
        <f t="shared" si="151"/>
        <v>2.5146652560808492E+99</v>
      </c>
      <c r="JZX53" s="708">
        <f t="shared" si="151"/>
        <v>2.590105213763275E+99</v>
      </c>
      <c r="JZY53" s="708">
        <f t="shared" si="151"/>
        <v>2.6678083701761731E+99</v>
      </c>
      <c r="JZZ53" s="708">
        <f t="shared" si="151"/>
        <v>2.7478426212814581E+99</v>
      </c>
      <c r="KAA53" s="708">
        <f t="shared" si="151"/>
        <v>2.8302778999199018E+99</v>
      </c>
      <c r="KAB53" s="708">
        <f t="shared" si="151"/>
        <v>2.9151862369174989E+99</v>
      </c>
      <c r="KAC53" s="708">
        <f t="shared" si="151"/>
        <v>3.0026418240250239E+99</v>
      </c>
      <c r="KAD53" s="708">
        <f t="shared" si="151"/>
        <v>3.0927210787457748E+99</v>
      </c>
      <c r="KAE53" s="708">
        <f t="shared" si="151"/>
        <v>3.1855027111081482E+99</v>
      </c>
      <c r="KAF53" s="708">
        <f t="shared" si="151"/>
        <v>3.2810677924413927E+99</v>
      </c>
      <c r="KAG53" s="708">
        <f t="shared" si="151"/>
        <v>3.3794998262146347E+99</v>
      </c>
      <c r="KAH53" s="708">
        <f t="shared" si="151"/>
        <v>3.480884821001074E+99</v>
      </c>
      <c r="KAI53" s="708">
        <f t="shared" si="151"/>
        <v>3.5853113656311064E+99</v>
      </c>
      <c r="KAJ53" s="708">
        <f t="shared" si="151"/>
        <v>3.6928707066000398E+99</v>
      </c>
      <c r="KAK53" s="708">
        <f t="shared" si="151"/>
        <v>3.8036568277980413E+99</v>
      </c>
      <c r="KAL53" s="708">
        <f t="shared" si="151"/>
        <v>3.9177665326319829E+99</v>
      </c>
      <c r="KAM53" s="708">
        <f t="shared" si="151"/>
        <v>4.0352995286109427E+99</v>
      </c>
      <c r="KAN53" s="708">
        <f t="shared" si="151"/>
        <v>4.1563585144692709E+99</v>
      </c>
      <c r="KAO53" s="708">
        <f t="shared" si="151"/>
        <v>4.2810492699033493E+99</v>
      </c>
      <c r="KAP53" s="708">
        <f t="shared" si="151"/>
        <v>4.4094807480004495E+99</v>
      </c>
      <c r="KAQ53" s="708">
        <f t="shared" si="151"/>
        <v>4.5417651704404628E+99</v>
      </c>
      <c r="KAR53" s="708">
        <f t="shared" si="151"/>
        <v>4.6780181255536765E+99</v>
      </c>
      <c r="KAS53" s="708">
        <f t="shared" si="151"/>
        <v>4.8183586693202868E+99</v>
      </c>
      <c r="KAT53" s="708">
        <f t="shared" si="151"/>
        <v>4.9629094293998951E+99</v>
      </c>
      <c r="KAU53" s="708">
        <f t="shared" si="151"/>
        <v>5.1117967122818917E+99</v>
      </c>
      <c r="KAV53" s="708">
        <f t="shared" si="151"/>
        <v>5.2651506136503483E+99</v>
      </c>
      <c r="KAW53" s="708">
        <f t="shared" si="151"/>
        <v>5.4231051320598591E+99</v>
      </c>
      <c r="KAX53" s="708">
        <f t="shared" si="151"/>
        <v>5.5857982860216554E+99</v>
      </c>
      <c r="KAY53" s="708">
        <f t="shared" si="151"/>
        <v>5.7533722346023054E+99</v>
      </c>
      <c r="KAZ53" s="708">
        <f t="shared" si="151"/>
        <v>5.9259734016403751E+99</v>
      </c>
      <c r="KBA53" s="708">
        <f t="shared" si="151"/>
        <v>6.1037526036895869E+99</v>
      </c>
      <c r="KBB53" s="708">
        <f t="shared" si="151"/>
        <v>6.286865181800275E+99</v>
      </c>
      <c r="KBC53" s="708">
        <f t="shared" si="151"/>
        <v>6.4754711372542834E+99</v>
      </c>
      <c r="KBD53" s="708">
        <f t="shared" si="151"/>
        <v>6.6697352713719122E+99</v>
      </c>
      <c r="KBE53" s="708">
        <f t="shared" si="151"/>
        <v>6.86982732951307E+99</v>
      </c>
      <c r="KBF53" s="708">
        <f t="shared" ref="KBF53:KDQ53" si="152">KBE53*$C$53</f>
        <v>7.0759221493984618E+99</v>
      </c>
      <c r="KBG53" s="708">
        <f t="shared" si="152"/>
        <v>7.2881998138804158E+99</v>
      </c>
      <c r="KBH53" s="708">
        <f t="shared" si="152"/>
        <v>7.5068458082968286E+99</v>
      </c>
      <c r="KBI53" s="708">
        <f t="shared" si="152"/>
        <v>7.7320511825457338E+99</v>
      </c>
      <c r="KBJ53" s="708">
        <f t="shared" si="152"/>
        <v>7.9640127180221056E+99</v>
      </c>
      <c r="KBK53" s="708">
        <f t="shared" si="152"/>
        <v>8.2029330995627692E+99</v>
      </c>
      <c r="KBL53" s="708">
        <f t="shared" si="152"/>
        <v>8.4490210925496522E+99</v>
      </c>
      <c r="KBM53" s="708">
        <f t="shared" si="152"/>
        <v>8.7024917253261423E+99</v>
      </c>
      <c r="KBN53" s="708">
        <f t="shared" si="152"/>
        <v>8.9635664770859277E+99</v>
      </c>
      <c r="KBO53" s="708">
        <f t="shared" si="152"/>
        <v>9.2324734713985063E+99</v>
      </c>
      <c r="KBP53" s="708">
        <f t="shared" si="152"/>
        <v>9.5094476755404617E+99</v>
      </c>
      <c r="KBQ53" s="708">
        <f t="shared" si="152"/>
        <v>9.7947311058066751E+99</v>
      </c>
      <c r="KBR53" s="708">
        <f t="shared" si="152"/>
        <v>1.0088573038980875E+100</v>
      </c>
      <c r="KBS53" s="708">
        <f t="shared" si="152"/>
        <v>1.0391230230150302E+100</v>
      </c>
      <c r="KBT53" s="708">
        <f t="shared" si="152"/>
        <v>1.0702967137054812E+100</v>
      </c>
      <c r="KBU53" s="708">
        <f t="shared" si="152"/>
        <v>1.1024056151166456E+100</v>
      </c>
      <c r="KBV53" s="708">
        <f t="shared" si="152"/>
        <v>1.135477783570145E+100</v>
      </c>
      <c r="KBW53" s="708">
        <f t="shared" si="152"/>
        <v>1.1695421170772494E+100</v>
      </c>
      <c r="KBX53" s="708">
        <f t="shared" si="152"/>
        <v>1.2046283805895668E+100</v>
      </c>
      <c r="KBY53" s="708">
        <f t="shared" si="152"/>
        <v>1.2407672320072538E+100</v>
      </c>
      <c r="KBZ53" s="708">
        <f t="shared" si="152"/>
        <v>1.2779902489674716E+100</v>
      </c>
      <c r="KCA53" s="708">
        <f t="shared" si="152"/>
        <v>1.3163299564364956E+100</v>
      </c>
      <c r="KCB53" s="708">
        <f t="shared" si="152"/>
        <v>1.3558198551295905E+100</v>
      </c>
      <c r="KCC53" s="708">
        <f t="shared" si="152"/>
        <v>1.3964944507834782E+100</v>
      </c>
      <c r="KCD53" s="708">
        <f t="shared" si="152"/>
        <v>1.4383892843069827E+100</v>
      </c>
      <c r="KCE53" s="708">
        <f t="shared" si="152"/>
        <v>1.4815409628361922E+100</v>
      </c>
      <c r="KCF53" s="708">
        <f t="shared" si="152"/>
        <v>1.5259871917212781E+100</v>
      </c>
      <c r="KCG53" s="708">
        <f t="shared" si="152"/>
        <v>1.5717668074729164E+100</v>
      </c>
      <c r="KCH53" s="708">
        <f t="shared" si="152"/>
        <v>1.618919811697104E+100</v>
      </c>
      <c r="KCI53" s="708">
        <f t="shared" si="152"/>
        <v>1.6674874060480172E+100</v>
      </c>
      <c r="KCJ53" s="708">
        <f t="shared" si="152"/>
        <v>1.7175120282294578E+100</v>
      </c>
      <c r="KCK53" s="708">
        <f t="shared" si="152"/>
        <v>1.7690373890763415E+100</v>
      </c>
      <c r="KCL53" s="708">
        <f t="shared" si="152"/>
        <v>1.822108510748632E+100</v>
      </c>
      <c r="KCM53" s="708">
        <f t="shared" si="152"/>
        <v>1.8767717660710909E+100</v>
      </c>
      <c r="KCN53" s="708">
        <f t="shared" si="152"/>
        <v>1.9330749190532238E+100</v>
      </c>
      <c r="KCO53" s="708">
        <f t="shared" si="152"/>
        <v>1.9910671666248206E+100</v>
      </c>
      <c r="KCP53" s="708">
        <f t="shared" si="152"/>
        <v>2.0507991816235653E+100</v>
      </c>
      <c r="KCQ53" s="708">
        <f t="shared" si="152"/>
        <v>2.1123231570722722E+100</v>
      </c>
      <c r="KCR53" s="708">
        <f t="shared" si="152"/>
        <v>2.1756928517844405E+100</v>
      </c>
      <c r="KCS53" s="708">
        <f t="shared" si="152"/>
        <v>2.2409636373379737E+100</v>
      </c>
      <c r="KCT53" s="708">
        <f t="shared" si="152"/>
        <v>2.3081925464581131E+100</v>
      </c>
      <c r="KCU53" s="708">
        <f t="shared" si="152"/>
        <v>2.3774383228518565E+100</v>
      </c>
      <c r="KCV53" s="708">
        <f t="shared" si="152"/>
        <v>2.4487614725374121E+100</v>
      </c>
      <c r="KCW53" s="708">
        <f t="shared" si="152"/>
        <v>2.5222243167135345E+100</v>
      </c>
      <c r="KCX53" s="708">
        <f t="shared" si="152"/>
        <v>2.5978910462149407E+100</v>
      </c>
      <c r="KCY53" s="708">
        <f t="shared" si="152"/>
        <v>2.6758277776013892E+100</v>
      </c>
      <c r="KCZ53" s="708">
        <f t="shared" si="152"/>
        <v>2.7561026109294309E+100</v>
      </c>
      <c r="KDA53" s="708">
        <f t="shared" si="152"/>
        <v>2.838785689257314E+100</v>
      </c>
      <c r="KDB53" s="708">
        <f t="shared" si="152"/>
        <v>2.9239492599350335E+100</v>
      </c>
      <c r="KDC53" s="708">
        <f t="shared" si="152"/>
        <v>3.0116677377330844E+100</v>
      </c>
      <c r="KDD53" s="708">
        <f t="shared" si="152"/>
        <v>3.1020177698650769E+100</v>
      </c>
      <c r="KDE53" s="708">
        <f t="shared" si="152"/>
        <v>3.1950783029610292E+100</v>
      </c>
      <c r="KDF53" s="708">
        <f t="shared" si="152"/>
        <v>3.29093065204986E+100</v>
      </c>
      <c r="KDG53" s="708">
        <f t="shared" si="152"/>
        <v>3.389658571611356E+100</v>
      </c>
      <c r="KDH53" s="708">
        <f t="shared" si="152"/>
        <v>3.4913483287596968E+100</v>
      </c>
      <c r="KDI53" s="708">
        <f t="shared" si="152"/>
        <v>3.5960887786224875E+100</v>
      </c>
      <c r="KDJ53" s="708">
        <f t="shared" si="152"/>
        <v>3.7039714419811625E+100</v>
      </c>
      <c r="KDK53" s="708">
        <f t="shared" si="152"/>
        <v>3.8150905852405972E+100</v>
      </c>
      <c r="KDL53" s="708">
        <f t="shared" si="152"/>
        <v>3.9295433027978155E+100</v>
      </c>
      <c r="KDM53" s="708">
        <f t="shared" si="152"/>
        <v>4.0474296018817498E+100</v>
      </c>
      <c r="KDN53" s="708">
        <f t="shared" si="152"/>
        <v>4.1688524899382025E+100</v>
      </c>
      <c r="KDO53" s="708">
        <f t="shared" si="152"/>
        <v>4.2939180646363489E+100</v>
      </c>
      <c r="KDP53" s="708">
        <f t="shared" si="152"/>
        <v>4.4227356065754391E+100</v>
      </c>
      <c r="KDQ53" s="708">
        <f t="shared" si="152"/>
        <v>4.5554176747727021E+100</v>
      </c>
      <c r="KDR53" s="708">
        <f t="shared" ref="KDR53:KGC53" si="153">KDQ53*$C$53</f>
        <v>4.6920802050158835E+100</v>
      </c>
      <c r="KDS53" s="708">
        <f t="shared" si="153"/>
        <v>4.8328426111663603E+100</v>
      </c>
      <c r="KDT53" s="708">
        <f t="shared" si="153"/>
        <v>4.977827889501351E+100</v>
      </c>
      <c r="KDU53" s="708">
        <f t="shared" si="153"/>
        <v>5.1271627261863913E+100</v>
      </c>
      <c r="KDV53" s="708">
        <f t="shared" si="153"/>
        <v>5.2809776079719833E+100</v>
      </c>
      <c r="KDW53" s="708">
        <f t="shared" si="153"/>
        <v>5.439406936211143E+100</v>
      </c>
      <c r="KDX53" s="708">
        <f t="shared" si="153"/>
        <v>5.6025891442974771E+100</v>
      </c>
      <c r="KDY53" s="708">
        <f t="shared" si="153"/>
        <v>5.7706668186264018E+100</v>
      </c>
      <c r="KDZ53" s="708">
        <f t="shared" si="153"/>
        <v>5.9437868231851943E+100</v>
      </c>
      <c r="KEA53" s="708">
        <f t="shared" si="153"/>
        <v>6.1221004278807504E+100</v>
      </c>
      <c r="KEB53" s="708">
        <f t="shared" si="153"/>
        <v>6.3057634407171732E+100</v>
      </c>
      <c r="KEC53" s="708">
        <f t="shared" si="153"/>
        <v>6.4949363439386885E+100</v>
      </c>
      <c r="KED53" s="708">
        <f t="shared" si="153"/>
        <v>6.6897844342568492E+100</v>
      </c>
      <c r="KEE53" s="708">
        <f t="shared" si="153"/>
        <v>6.890477967284555E+100</v>
      </c>
      <c r="KEF53" s="708">
        <f t="shared" si="153"/>
        <v>7.0971923063030918E+100</v>
      </c>
      <c r="KEG53" s="708">
        <f t="shared" si="153"/>
        <v>7.3101080754921843E+100</v>
      </c>
      <c r="KEH53" s="708">
        <f t="shared" si="153"/>
        <v>7.5294113177569506E+100</v>
      </c>
      <c r="KEI53" s="708">
        <f t="shared" si="153"/>
        <v>7.75529365728966E+100</v>
      </c>
      <c r="KEJ53" s="708">
        <f t="shared" si="153"/>
        <v>7.9879524670083498E+100</v>
      </c>
      <c r="KEK53" s="708">
        <f t="shared" si="153"/>
        <v>8.2275910410186001E+100</v>
      </c>
      <c r="KEL53" s="708">
        <f t="shared" si="153"/>
        <v>8.4744187722491578E+100</v>
      </c>
      <c r="KEM53" s="708">
        <f t="shared" si="153"/>
        <v>8.7286513354166332E+100</v>
      </c>
      <c r="KEN53" s="708">
        <f t="shared" si="153"/>
        <v>8.990510875479133E+100</v>
      </c>
      <c r="KEO53" s="708">
        <f t="shared" si="153"/>
        <v>9.260226201743507E+100</v>
      </c>
      <c r="KEP53" s="708">
        <f t="shared" si="153"/>
        <v>9.5380329877958121E+100</v>
      </c>
      <c r="KEQ53" s="708">
        <f t="shared" si="153"/>
        <v>9.8241739774296867E+100</v>
      </c>
      <c r="KER53" s="708">
        <f t="shared" si="153"/>
        <v>1.0118899196752578E+101</v>
      </c>
      <c r="KES53" s="708">
        <f t="shared" si="153"/>
        <v>1.0422466172655154E+101</v>
      </c>
      <c r="KET53" s="708">
        <f t="shared" si="153"/>
        <v>1.0735140157834809E+101</v>
      </c>
      <c r="KEU53" s="708">
        <f t="shared" si="153"/>
        <v>1.1057194362569853E+101</v>
      </c>
      <c r="KEV53" s="708">
        <f t="shared" si="153"/>
        <v>1.1388910193446949E+101</v>
      </c>
      <c r="KEW53" s="708">
        <f t="shared" si="153"/>
        <v>1.1730577499250358E+101</v>
      </c>
      <c r="KEX53" s="708">
        <f t="shared" si="153"/>
        <v>1.2082494824227869E+101</v>
      </c>
      <c r="KEY53" s="708">
        <f t="shared" si="153"/>
        <v>1.2444969668954705E+101</v>
      </c>
      <c r="KEZ53" s="708">
        <f t="shared" si="153"/>
        <v>1.2818318759023346E+101</v>
      </c>
      <c r="KFA53" s="708">
        <f t="shared" si="153"/>
        <v>1.3202868321794048E+101</v>
      </c>
      <c r="KFB53" s="708">
        <f t="shared" si="153"/>
        <v>1.359895437144787E+101</v>
      </c>
      <c r="KFC53" s="708">
        <f t="shared" si="153"/>
        <v>1.4006923002591305E+101</v>
      </c>
      <c r="KFD53" s="708">
        <f t="shared" si="153"/>
        <v>1.4427130692669044E+101</v>
      </c>
      <c r="KFE53" s="708">
        <f t="shared" si="153"/>
        <v>1.4859944613449117E+101</v>
      </c>
      <c r="KFF53" s="708">
        <f t="shared" si="153"/>
        <v>1.5305742951852592E+101</v>
      </c>
      <c r="KFG53" s="708">
        <f t="shared" si="153"/>
        <v>1.5764915240408169E+101</v>
      </c>
      <c r="KFH53" s="708">
        <f t="shared" si="153"/>
        <v>1.6237862697620413E+101</v>
      </c>
      <c r="KFI53" s="708">
        <f t="shared" si="153"/>
        <v>1.6724998578549026E+101</v>
      </c>
      <c r="KFJ53" s="708">
        <f t="shared" si="153"/>
        <v>1.7226748535905498E+101</v>
      </c>
      <c r="KFK53" s="708">
        <f t="shared" si="153"/>
        <v>1.7743550991982663E+101</v>
      </c>
      <c r="KFL53" s="708">
        <f t="shared" si="153"/>
        <v>1.8275857521742143E+101</v>
      </c>
      <c r="KFM53" s="708">
        <f t="shared" si="153"/>
        <v>1.8824133247394406E+101</v>
      </c>
      <c r="KFN53" s="708">
        <f t="shared" si="153"/>
        <v>1.9388857244816237E+101</v>
      </c>
      <c r="KFO53" s="708">
        <f t="shared" si="153"/>
        <v>1.9970522962160725E+101</v>
      </c>
      <c r="KFP53" s="708">
        <f t="shared" si="153"/>
        <v>2.0569638651025549E+101</v>
      </c>
      <c r="KFQ53" s="708">
        <f t="shared" si="153"/>
        <v>2.1186727810556314E+101</v>
      </c>
      <c r="KFR53" s="708">
        <f t="shared" si="153"/>
        <v>2.1822329644873003E+101</v>
      </c>
      <c r="KFS53" s="708">
        <f t="shared" si="153"/>
        <v>2.2476999534219193E+101</v>
      </c>
      <c r="KFT53" s="708">
        <f t="shared" si="153"/>
        <v>2.315130952024577E+101</v>
      </c>
      <c r="KFU53" s="708">
        <f t="shared" si="153"/>
        <v>2.3845848805853143E+101</v>
      </c>
      <c r="KFV53" s="708">
        <f t="shared" si="153"/>
        <v>2.4561224270028739E+101</v>
      </c>
      <c r="KFW53" s="708">
        <f t="shared" si="153"/>
        <v>2.5298060998129601E+101</v>
      </c>
      <c r="KFX53" s="708">
        <f t="shared" si="153"/>
        <v>2.605700282807349E+101</v>
      </c>
      <c r="KFY53" s="708">
        <f t="shared" si="153"/>
        <v>2.6838712912915694E+101</v>
      </c>
      <c r="KFZ53" s="708">
        <f t="shared" si="153"/>
        <v>2.7643874300303166E+101</v>
      </c>
      <c r="KGA53" s="708">
        <f t="shared" si="153"/>
        <v>2.847319052931226E+101</v>
      </c>
      <c r="KGB53" s="708">
        <f t="shared" si="153"/>
        <v>2.9327386245191629E+101</v>
      </c>
      <c r="KGC53" s="708">
        <f t="shared" si="153"/>
        <v>3.0207207832547381E+101</v>
      </c>
      <c r="KGD53" s="708">
        <f t="shared" ref="KGD53:KIO53" si="154">KGC53*$C$53</f>
        <v>3.1113424067523805E+101</v>
      </c>
      <c r="KGE53" s="708">
        <f t="shared" si="154"/>
        <v>3.2046826789549522E+101</v>
      </c>
      <c r="KGF53" s="708">
        <f t="shared" si="154"/>
        <v>3.3008231593236009E+101</v>
      </c>
      <c r="KGG53" s="708">
        <f t="shared" si="154"/>
        <v>3.399847854103309E+101</v>
      </c>
      <c r="KGH53" s="708">
        <f t="shared" si="154"/>
        <v>3.5018432897264086E+101</v>
      </c>
      <c r="KGI53" s="708">
        <f t="shared" si="154"/>
        <v>3.6068985884182012E+101</v>
      </c>
      <c r="KGJ53" s="708">
        <f t="shared" si="154"/>
        <v>3.7151055460707474E+101</v>
      </c>
      <c r="KGK53" s="708">
        <f t="shared" si="154"/>
        <v>3.8265587124528699E+101</v>
      </c>
      <c r="KGL53" s="708">
        <f t="shared" si="154"/>
        <v>3.941355473826456E+101</v>
      </c>
      <c r="KGM53" s="708">
        <f t="shared" si="154"/>
        <v>4.0595961380412496E+101</v>
      </c>
      <c r="KGN53" s="708">
        <f t="shared" si="154"/>
        <v>4.1813840221824871E+101</v>
      </c>
      <c r="KGO53" s="708">
        <f t="shared" si="154"/>
        <v>4.3068255428479617E+101</v>
      </c>
      <c r="KGP53" s="708">
        <f t="shared" si="154"/>
        <v>4.4360303091334007E+101</v>
      </c>
      <c r="KGQ53" s="708">
        <f t="shared" si="154"/>
        <v>4.5691112184074025E+101</v>
      </c>
      <c r="KGR53" s="708">
        <f t="shared" si="154"/>
        <v>4.7061845549596249E+101</v>
      </c>
      <c r="KGS53" s="708">
        <f t="shared" si="154"/>
        <v>4.8473700916084139E+101</v>
      </c>
      <c r="KGT53" s="708">
        <f t="shared" si="154"/>
        <v>4.9927911943566662E+101</v>
      </c>
      <c r="KGU53" s="708">
        <f t="shared" si="154"/>
        <v>5.1425749301873664E+101</v>
      </c>
      <c r="KGV53" s="708">
        <f t="shared" si="154"/>
        <v>5.2968521780929872E+101</v>
      </c>
      <c r="KGW53" s="708">
        <f t="shared" si="154"/>
        <v>5.4557577434357771E+101</v>
      </c>
      <c r="KGX53" s="708">
        <f t="shared" si="154"/>
        <v>5.6194304757388511E+101</v>
      </c>
      <c r="KGY53" s="708">
        <f t="shared" si="154"/>
        <v>5.7880133900110171E+101</v>
      </c>
      <c r="KGZ53" s="708">
        <f t="shared" si="154"/>
        <v>5.9616537917113481E+101</v>
      </c>
      <c r="KHA53" s="708">
        <f t="shared" si="154"/>
        <v>6.1405034054626881E+101</v>
      </c>
      <c r="KHB53" s="708">
        <f t="shared" si="154"/>
        <v>6.3247185076265685E+101</v>
      </c>
      <c r="KHC53" s="708">
        <f t="shared" si="154"/>
        <v>6.5144600628553657E+101</v>
      </c>
      <c r="KHD53" s="708">
        <f t="shared" si="154"/>
        <v>6.7098938647410263E+101</v>
      </c>
      <c r="KHE53" s="708">
        <f t="shared" si="154"/>
        <v>6.9111906806832574E+101</v>
      </c>
      <c r="KHF53" s="708">
        <f t="shared" si="154"/>
        <v>7.1185264011037553E+101</v>
      </c>
      <c r="KHG53" s="708">
        <f t="shared" si="154"/>
        <v>7.332082193136868E+101</v>
      </c>
      <c r="KHH53" s="708">
        <f t="shared" si="154"/>
        <v>7.5520446589309737E+101</v>
      </c>
      <c r="KHI53" s="708">
        <f t="shared" si="154"/>
        <v>7.7786059986989034E+101</v>
      </c>
      <c r="KHJ53" s="708">
        <f t="shared" si="154"/>
        <v>8.0119641786598704E+101</v>
      </c>
      <c r="KHK53" s="708">
        <f t="shared" si="154"/>
        <v>8.2523231040196665E+101</v>
      </c>
      <c r="KHL53" s="708">
        <f t="shared" si="154"/>
        <v>8.4998927971402567E+101</v>
      </c>
      <c r="KHM53" s="708">
        <f t="shared" si="154"/>
        <v>8.7548895810544646E+101</v>
      </c>
      <c r="KHN53" s="708">
        <f t="shared" si="154"/>
        <v>9.0175362684860985E+101</v>
      </c>
      <c r="KHO53" s="708">
        <f t="shared" si="154"/>
        <v>9.2880623565406813E+101</v>
      </c>
      <c r="KHP53" s="708">
        <f t="shared" si="154"/>
        <v>9.5667042272369022E+101</v>
      </c>
      <c r="KHQ53" s="708">
        <f t="shared" si="154"/>
        <v>9.85370535405401E+101</v>
      </c>
      <c r="KHR53" s="708">
        <f t="shared" si="154"/>
        <v>1.014931651467563E+102</v>
      </c>
      <c r="KHS53" s="708">
        <f t="shared" si="154"/>
        <v>1.04537960101159E+102</v>
      </c>
      <c r="KHT53" s="708">
        <f t="shared" si="154"/>
        <v>1.0767409890419377E+102</v>
      </c>
      <c r="KHU53" s="708">
        <f t="shared" si="154"/>
        <v>1.1090432187131958E+102</v>
      </c>
      <c r="KHV53" s="708">
        <f t="shared" si="154"/>
        <v>1.1423145152745917E+102</v>
      </c>
      <c r="KHW53" s="708">
        <f t="shared" si="154"/>
        <v>1.1765839507328294E+102</v>
      </c>
      <c r="KHX53" s="708">
        <f t="shared" si="154"/>
        <v>1.2118814692548142E+102</v>
      </c>
      <c r="KHY53" s="708">
        <f t="shared" si="154"/>
        <v>1.2482379133324586E+102</v>
      </c>
      <c r="KHZ53" s="708">
        <f t="shared" si="154"/>
        <v>1.2856850507324324E+102</v>
      </c>
      <c r="KIA53" s="708">
        <f t="shared" si="154"/>
        <v>1.3242556022544054E+102</v>
      </c>
      <c r="KIB53" s="708">
        <f t="shared" si="154"/>
        <v>1.3639832703220376E+102</v>
      </c>
      <c r="KIC53" s="708">
        <f t="shared" si="154"/>
        <v>1.4049027684316989E+102</v>
      </c>
      <c r="KID53" s="708">
        <f t="shared" si="154"/>
        <v>1.44704985148465E+102</v>
      </c>
      <c r="KIE53" s="708">
        <f t="shared" si="154"/>
        <v>1.4904613470291895E+102</v>
      </c>
      <c r="KIF53" s="708">
        <f t="shared" si="154"/>
        <v>1.5351751874400653E+102</v>
      </c>
      <c r="KIG53" s="708">
        <f t="shared" si="154"/>
        <v>1.5812304430632672E+102</v>
      </c>
      <c r="KIH53" s="708">
        <f t="shared" si="154"/>
        <v>1.6286673563551652E+102</v>
      </c>
      <c r="KII53" s="708">
        <f t="shared" si="154"/>
        <v>1.6775273770458203E+102</v>
      </c>
      <c r="KIJ53" s="708">
        <f t="shared" si="154"/>
        <v>1.7278531983571949E+102</v>
      </c>
      <c r="KIK53" s="708">
        <f t="shared" si="154"/>
        <v>1.7796887943079107E+102</v>
      </c>
      <c r="KIL53" s="708">
        <f t="shared" si="154"/>
        <v>1.833079458137148E+102</v>
      </c>
      <c r="KIM53" s="708">
        <f t="shared" si="154"/>
        <v>1.8880718418812625E+102</v>
      </c>
      <c r="KIN53" s="708">
        <f t="shared" si="154"/>
        <v>1.9447139971377004E+102</v>
      </c>
      <c r="KIO53" s="708">
        <f t="shared" si="154"/>
        <v>2.0030554170518315E+102</v>
      </c>
      <c r="KIP53" s="708">
        <f t="shared" ref="KIP53:KLA53" si="155">KIO53*$C$53</f>
        <v>2.0631470795633864E+102</v>
      </c>
      <c r="KIQ53" s="708">
        <f t="shared" si="155"/>
        <v>2.1250414919502879E+102</v>
      </c>
      <c r="KIR53" s="708">
        <f t="shared" si="155"/>
        <v>2.1887927367087967E+102</v>
      </c>
      <c r="KIS53" s="708">
        <f t="shared" si="155"/>
        <v>2.2544565188100607E+102</v>
      </c>
      <c r="KIT53" s="708">
        <f t="shared" si="155"/>
        <v>2.3220902143743625E+102</v>
      </c>
      <c r="KIU53" s="708">
        <f t="shared" si="155"/>
        <v>2.3917529208055933E+102</v>
      </c>
      <c r="KIV53" s="708">
        <f t="shared" si="155"/>
        <v>2.4635055084297609E+102</v>
      </c>
      <c r="KIW53" s="708">
        <f t="shared" si="155"/>
        <v>2.5374106736826536E+102</v>
      </c>
      <c r="KIX53" s="708">
        <f t="shared" si="155"/>
        <v>2.6135329938931333E+102</v>
      </c>
      <c r="KIY53" s="708">
        <f t="shared" si="155"/>
        <v>2.6919389837099274E+102</v>
      </c>
      <c r="KIZ53" s="708">
        <f t="shared" si="155"/>
        <v>2.7726971532212255E+102</v>
      </c>
      <c r="KJA53" s="708">
        <f t="shared" si="155"/>
        <v>2.8558780678178623E+102</v>
      </c>
      <c r="KJB53" s="708">
        <f t="shared" si="155"/>
        <v>2.9415544098523982E+102</v>
      </c>
      <c r="KJC53" s="708">
        <f t="shared" si="155"/>
        <v>3.0298010421479702E+102</v>
      </c>
      <c r="KJD53" s="708">
        <f t="shared" si="155"/>
        <v>3.1206950734124096E+102</v>
      </c>
      <c r="KJE53" s="708">
        <f t="shared" si="155"/>
        <v>3.214315925614782E+102</v>
      </c>
      <c r="KJF53" s="708">
        <f t="shared" si="155"/>
        <v>3.3107454033832256E+102</v>
      </c>
      <c r="KJG53" s="708">
        <f t="shared" si="155"/>
        <v>3.4100677654847225E+102</v>
      </c>
      <c r="KJH53" s="708">
        <f t="shared" si="155"/>
        <v>3.5123697984492644E+102</v>
      </c>
      <c r="KJI53" s="708">
        <f t="shared" si="155"/>
        <v>3.6177408924027423E+102</v>
      </c>
      <c r="KJJ53" s="708">
        <f t="shared" si="155"/>
        <v>3.7262731191748246E+102</v>
      </c>
      <c r="KJK53" s="708">
        <f t="shared" si="155"/>
        <v>3.8380613127500693E+102</v>
      </c>
      <c r="KJL53" s="708">
        <f t="shared" si="155"/>
        <v>3.9532031521325715E+102</v>
      </c>
      <c r="KJM53" s="708">
        <f t="shared" si="155"/>
        <v>4.0717992466965489E+102</v>
      </c>
      <c r="KJN53" s="708">
        <f t="shared" si="155"/>
        <v>4.1939532240974454E+102</v>
      </c>
      <c r="KJO53" s="708">
        <f t="shared" si="155"/>
        <v>4.3197718208203691E+102</v>
      </c>
      <c r="KJP53" s="708">
        <f t="shared" si="155"/>
        <v>4.4493649754449805E+102</v>
      </c>
      <c r="KJQ53" s="708">
        <f t="shared" si="155"/>
        <v>4.5828459247083295E+102</v>
      </c>
      <c r="KJR53" s="708">
        <f t="shared" si="155"/>
        <v>4.7203313024495795E+102</v>
      </c>
      <c r="KJS53" s="708">
        <f t="shared" si="155"/>
        <v>4.8619412415230667E+102</v>
      </c>
      <c r="KJT53" s="708">
        <f t="shared" si="155"/>
        <v>5.0077994787687585E+102</v>
      </c>
      <c r="KJU53" s="708">
        <f t="shared" si="155"/>
        <v>5.1580334631318215E+102</v>
      </c>
      <c r="KJV53" s="708">
        <f t="shared" si="155"/>
        <v>5.3127744670257763E+102</v>
      </c>
      <c r="KJW53" s="708">
        <f t="shared" si="155"/>
        <v>5.47215770103655E+102</v>
      </c>
      <c r="KJX53" s="708">
        <f t="shared" si="155"/>
        <v>5.6363224320676464E+102</v>
      </c>
      <c r="KJY53" s="708">
        <f t="shared" si="155"/>
        <v>5.8054121050296755E+102</v>
      </c>
      <c r="KJZ53" s="708">
        <f t="shared" si="155"/>
        <v>5.9795744681805655E+102</v>
      </c>
      <c r="KKA53" s="708">
        <f t="shared" si="155"/>
        <v>6.1589617022259825E+102</v>
      </c>
      <c r="KKB53" s="708">
        <f t="shared" si="155"/>
        <v>6.3437305532927618E+102</v>
      </c>
      <c r="KKC53" s="708">
        <f t="shared" si="155"/>
        <v>6.5340424698915453E+102</v>
      </c>
      <c r="KKD53" s="708">
        <f t="shared" si="155"/>
        <v>6.7300637439882914E+102</v>
      </c>
      <c r="KKE53" s="708">
        <f t="shared" si="155"/>
        <v>6.9319656563079401E+102</v>
      </c>
      <c r="KKF53" s="708">
        <f t="shared" si="155"/>
        <v>7.1399246259971787E+102</v>
      </c>
      <c r="KKG53" s="708">
        <f t="shared" si="155"/>
        <v>7.3541223647770948E+102</v>
      </c>
      <c r="KKH53" s="708">
        <f t="shared" si="155"/>
        <v>7.5747460357204075E+102</v>
      </c>
      <c r="KKI53" s="708">
        <f t="shared" si="155"/>
        <v>7.80198841679202E+102</v>
      </c>
      <c r="KKJ53" s="708">
        <f t="shared" si="155"/>
        <v>8.0360480692957809E+102</v>
      </c>
      <c r="KKK53" s="708">
        <f t="shared" si="155"/>
        <v>8.2771295113746544E+102</v>
      </c>
      <c r="KKL53" s="708">
        <f t="shared" si="155"/>
        <v>8.5254433967158938E+102</v>
      </c>
      <c r="KKM53" s="708">
        <f t="shared" si="155"/>
        <v>8.7812066986173707E+102</v>
      </c>
      <c r="KKN53" s="708">
        <f t="shared" si="155"/>
        <v>9.0446428995758918E+102</v>
      </c>
      <c r="KKO53" s="708">
        <f t="shared" si="155"/>
        <v>9.3159821865631683E+102</v>
      </c>
      <c r="KKP53" s="708">
        <f t="shared" si="155"/>
        <v>9.5954616521600639E+102</v>
      </c>
      <c r="KKQ53" s="708">
        <f t="shared" si="155"/>
        <v>9.8833255017248651E+102</v>
      </c>
      <c r="KKR53" s="708">
        <f t="shared" si="155"/>
        <v>1.0179825266776612E+103</v>
      </c>
      <c r="KKS53" s="708">
        <f t="shared" si="155"/>
        <v>1.0485220024779911E+103</v>
      </c>
      <c r="KKT53" s="708">
        <f t="shared" si="155"/>
        <v>1.079977662552331E+103</v>
      </c>
      <c r="KKU53" s="708">
        <f t="shared" si="155"/>
        <v>1.1123769924289009E+103</v>
      </c>
      <c r="KKV53" s="708">
        <f t="shared" si="155"/>
        <v>1.145748302201768E+103</v>
      </c>
      <c r="KKW53" s="708">
        <f t="shared" si="155"/>
        <v>1.1801207512678211E+103</v>
      </c>
      <c r="KKX53" s="708">
        <f t="shared" si="155"/>
        <v>1.2155243738058557E+103</v>
      </c>
      <c r="KKY53" s="708">
        <f t="shared" si="155"/>
        <v>1.2519901050200315E+103</v>
      </c>
      <c r="KKZ53" s="708">
        <f t="shared" si="155"/>
        <v>1.2895498081706325E+103</v>
      </c>
      <c r="KLA53" s="708">
        <f t="shared" si="155"/>
        <v>1.3282363024157515E+103</v>
      </c>
      <c r="KLB53" s="708">
        <f t="shared" ref="KLB53:KNM53" si="156">KLA53*$C$53</f>
        <v>1.3680833914882241E+103</v>
      </c>
      <c r="KLC53" s="708">
        <f t="shared" si="156"/>
        <v>1.4091258932328709E+103</v>
      </c>
      <c r="KLD53" s="708">
        <f t="shared" si="156"/>
        <v>1.451399670029857E+103</v>
      </c>
      <c r="KLE53" s="708">
        <f t="shared" si="156"/>
        <v>1.4949416601307527E+103</v>
      </c>
      <c r="KLF53" s="708">
        <f t="shared" si="156"/>
        <v>1.5397899099346753E+103</v>
      </c>
      <c r="KLG53" s="708">
        <f t="shared" si="156"/>
        <v>1.5859836072327156E+103</v>
      </c>
      <c r="KLH53" s="708">
        <f t="shared" si="156"/>
        <v>1.6335631154496971E+103</v>
      </c>
      <c r="KLI53" s="708">
        <f t="shared" si="156"/>
        <v>1.682570008913188E+103</v>
      </c>
      <c r="KLJ53" s="708">
        <f t="shared" si="156"/>
        <v>1.7330471091805838E+103</v>
      </c>
      <c r="KLK53" s="708">
        <f t="shared" si="156"/>
        <v>1.7850385224560014E+103</v>
      </c>
      <c r="KLL53" s="708">
        <f t="shared" si="156"/>
        <v>1.8385896781296814E+103</v>
      </c>
      <c r="KLM53" s="708">
        <f t="shared" si="156"/>
        <v>1.8937473684735717E+103</v>
      </c>
      <c r="KLN53" s="708">
        <f t="shared" si="156"/>
        <v>1.9505597895277789E+103</v>
      </c>
      <c r="KLO53" s="708">
        <f t="shared" si="156"/>
        <v>2.0090765832136124E+103</v>
      </c>
      <c r="KLP53" s="708">
        <f t="shared" si="156"/>
        <v>2.069348880710021E+103</v>
      </c>
      <c r="KLQ53" s="708">
        <f t="shared" si="156"/>
        <v>2.1314293471313215E+103</v>
      </c>
      <c r="KLR53" s="708">
        <f t="shared" si="156"/>
        <v>2.1953722275452611E+103</v>
      </c>
      <c r="KLS53" s="708">
        <f t="shared" si="156"/>
        <v>2.2612333943716188E+103</v>
      </c>
      <c r="KLT53" s="708">
        <f t="shared" si="156"/>
        <v>2.3290703962027674E+103</v>
      </c>
      <c r="KLU53" s="708">
        <f t="shared" si="156"/>
        <v>2.3989425080888504E+103</v>
      </c>
      <c r="KLV53" s="708">
        <f t="shared" si="156"/>
        <v>2.470910783331516E+103</v>
      </c>
      <c r="KLW53" s="708">
        <f t="shared" si="156"/>
        <v>2.5450381068314616E+103</v>
      </c>
      <c r="KLX53" s="708">
        <f t="shared" si="156"/>
        <v>2.6213892500364054E+103</v>
      </c>
      <c r="KLY53" s="708">
        <f t="shared" si="156"/>
        <v>2.7000309275374978E+103</v>
      </c>
      <c r="KLZ53" s="708">
        <f t="shared" si="156"/>
        <v>2.7810318553636228E+103</v>
      </c>
      <c r="KMA53" s="708">
        <f t="shared" si="156"/>
        <v>2.8644628110245316E+103</v>
      </c>
      <c r="KMB53" s="708">
        <f t="shared" si="156"/>
        <v>2.9503966953552675E+103</v>
      </c>
      <c r="KMC53" s="708">
        <f t="shared" si="156"/>
        <v>3.0389085962159255E+103</v>
      </c>
      <c r="KMD53" s="708">
        <f t="shared" si="156"/>
        <v>3.1300758541024034E+103</v>
      </c>
      <c r="KME53" s="708">
        <f t="shared" si="156"/>
        <v>3.2239781297254757E+103</v>
      </c>
      <c r="KMF53" s="708">
        <f t="shared" si="156"/>
        <v>3.32069747361724E+103</v>
      </c>
      <c r="KMG53" s="708">
        <f t="shared" si="156"/>
        <v>3.4203183978257574E+103</v>
      </c>
      <c r="KMH53" s="708">
        <f t="shared" si="156"/>
        <v>3.5229279497605303E+103</v>
      </c>
      <c r="KMI53" s="708">
        <f t="shared" si="156"/>
        <v>3.6286157882533461E+103</v>
      </c>
      <c r="KMJ53" s="708">
        <f t="shared" si="156"/>
        <v>3.7374742619009462E+103</v>
      </c>
      <c r="KMK53" s="708">
        <f t="shared" si="156"/>
        <v>3.8495984897579748E+103</v>
      </c>
      <c r="KML53" s="708">
        <f t="shared" si="156"/>
        <v>3.9650864444507141E+103</v>
      </c>
      <c r="KMM53" s="708">
        <f t="shared" si="156"/>
        <v>4.0840390377842357E+103</v>
      </c>
      <c r="KMN53" s="708">
        <f t="shared" si="156"/>
        <v>4.2065602089177628E+103</v>
      </c>
      <c r="KMO53" s="708">
        <f t="shared" si="156"/>
        <v>4.3327570151852961E+103</v>
      </c>
      <c r="KMP53" s="708">
        <f t="shared" si="156"/>
        <v>4.4627397256408549E+103</v>
      </c>
      <c r="KMQ53" s="708">
        <f t="shared" si="156"/>
        <v>4.5966219174100806E+103</v>
      </c>
      <c r="KMR53" s="708">
        <f t="shared" si="156"/>
        <v>4.7345205749323835E+103</v>
      </c>
      <c r="KMS53" s="708">
        <f t="shared" si="156"/>
        <v>4.8765561921803552E+103</v>
      </c>
      <c r="KMT53" s="708">
        <f t="shared" si="156"/>
        <v>5.0228528779457657E+103</v>
      </c>
      <c r="KMU53" s="708">
        <f t="shared" si="156"/>
        <v>5.1735384642841391E+103</v>
      </c>
      <c r="KMV53" s="708">
        <f t="shared" si="156"/>
        <v>5.3287446182126634E+103</v>
      </c>
      <c r="KMW53" s="708">
        <f t="shared" si="156"/>
        <v>5.4886069567590433E+103</v>
      </c>
      <c r="KMX53" s="708">
        <f t="shared" si="156"/>
        <v>5.6532651654618151E+103</v>
      </c>
      <c r="KMY53" s="708">
        <f t="shared" si="156"/>
        <v>5.8228631204256699E+103</v>
      </c>
      <c r="KMZ53" s="708">
        <f t="shared" si="156"/>
        <v>5.9975490140384402E+103</v>
      </c>
      <c r="KNA53" s="708">
        <f t="shared" si="156"/>
        <v>6.1774754844595939E+103</v>
      </c>
      <c r="KNB53" s="708">
        <f t="shared" si="156"/>
        <v>6.3627997489933819E+103</v>
      </c>
      <c r="KNC53" s="708">
        <f t="shared" si="156"/>
        <v>6.5536837414631839E+103</v>
      </c>
      <c r="KND53" s="708">
        <f t="shared" si="156"/>
        <v>6.7502942537070797E+103</v>
      </c>
      <c r="KNE53" s="708">
        <f t="shared" si="156"/>
        <v>6.9528030813182925E+103</v>
      </c>
      <c r="KNF53" s="708">
        <f t="shared" si="156"/>
        <v>7.1613871737578415E+103</v>
      </c>
      <c r="KNG53" s="708">
        <f t="shared" si="156"/>
        <v>7.3762287889705768E+103</v>
      </c>
      <c r="KNH53" s="708">
        <f t="shared" si="156"/>
        <v>7.597515652639695E+103</v>
      </c>
      <c r="KNI53" s="708">
        <f t="shared" si="156"/>
        <v>7.8254411222188865E+103</v>
      </c>
      <c r="KNJ53" s="708">
        <f t="shared" si="156"/>
        <v>8.0602043558854527E+103</v>
      </c>
      <c r="KNK53" s="708">
        <f t="shared" si="156"/>
        <v>8.302010486562017E+103</v>
      </c>
      <c r="KNL53" s="708">
        <f t="shared" si="156"/>
        <v>8.5510708011588778E+103</v>
      </c>
      <c r="KNM53" s="708">
        <f t="shared" si="156"/>
        <v>8.8076029251936438E+103</v>
      </c>
      <c r="KNN53" s="708">
        <f t="shared" ref="KNN53:KPY53" si="157">KNM53*$C$53</f>
        <v>9.0718310129494528E+103</v>
      </c>
      <c r="KNO53" s="708">
        <f t="shared" si="157"/>
        <v>9.3439859433379367E+103</v>
      </c>
      <c r="KNP53" s="708">
        <f t="shared" si="157"/>
        <v>9.6243055216380757E+103</v>
      </c>
      <c r="KNQ53" s="708">
        <f t="shared" si="157"/>
        <v>9.9130346872872182E+103</v>
      </c>
      <c r="KNR53" s="708">
        <f t="shared" si="157"/>
        <v>1.0210425727905836E+104</v>
      </c>
      <c r="KNS53" s="708">
        <f t="shared" si="157"/>
        <v>1.0516738499743011E+104</v>
      </c>
      <c r="KNT53" s="708">
        <f t="shared" si="157"/>
        <v>1.0832240654735302E+104</v>
      </c>
      <c r="KNU53" s="708">
        <f t="shared" si="157"/>
        <v>1.1157207874377361E+104</v>
      </c>
      <c r="KNV53" s="708">
        <f t="shared" si="157"/>
        <v>1.1491924110608682E+104</v>
      </c>
      <c r="KNW53" s="708">
        <f t="shared" si="157"/>
        <v>1.1836681833926942E+104</v>
      </c>
      <c r="KNX53" s="708">
        <f t="shared" si="157"/>
        <v>1.2191782288944751E+104</v>
      </c>
      <c r="KNY53" s="708">
        <f t="shared" si="157"/>
        <v>1.2557535757613094E+104</v>
      </c>
      <c r="KNZ53" s="708">
        <f t="shared" si="157"/>
        <v>1.2934261830341488E+104</v>
      </c>
      <c r="KOA53" s="708">
        <f t="shared" si="157"/>
        <v>1.3322289685251732E+104</v>
      </c>
      <c r="KOB53" s="708">
        <f t="shared" si="157"/>
        <v>1.3721958375809285E+104</v>
      </c>
      <c r="KOC53" s="708">
        <f t="shared" si="157"/>
        <v>1.4133617127083564E+104</v>
      </c>
      <c r="KOD53" s="708">
        <f t="shared" si="157"/>
        <v>1.4557625640896071E+104</v>
      </c>
      <c r="KOE53" s="708">
        <f t="shared" si="157"/>
        <v>1.4994354410122953E+104</v>
      </c>
      <c r="KOF53" s="708">
        <f t="shared" si="157"/>
        <v>1.5444185042426641E+104</v>
      </c>
      <c r="KOG53" s="708">
        <f t="shared" si="157"/>
        <v>1.590751059369944E+104</v>
      </c>
      <c r="KOH53" s="708">
        <f t="shared" si="157"/>
        <v>1.6384735911510424E+104</v>
      </c>
      <c r="KOI53" s="708">
        <f t="shared" si="157"/>
        <v>1.6876277988855738E+104</v>
      </c>
      <c r="KOJ53" s="708">
        <f t="shared" si="157"/>
        <v>1.738256632852141E+104</v>
      </c>
      <c r="KOK53" s="708">
        <f t="shared" si="157"/>
        <v>1.7904043318377054E+104</v>
      </c>
      <c r="KOL53" s="708">
        <f t="shared" si="157"/>
        <v>1.8441164617928365E+104</v>
      </c>
      <c r="KOM53" s="708">
        <f t="shared" si="157"/>
        <v>1.8994399556466217E+104</v>
      </c>
      <c r="KON53" s="708">
        <f t="shared" si="157"/>
        <v>1.9564231543160206E+104</v>
      </c>
      <c r="KOO53" s="708">
        <f t="shared" si="157"/>
        <v>2.0151158489455012E+104</v>
      </c>
      <c r="KOP53" s="708">
        <f t="shared" si="157"/>
        <v>2.0755693244138663E+104</v>
      </c>
      <c r="KOQ53" s="708">
        <f t="shared" si="157"/>
        <v>2.1378364041462824E+104</v>
      </c>
      <c r="KOR53" s="708">
        <f t="shared" si="157"/>
        <v>2.2019714962706709E+104</v>
      </c>
      <c r="KOS53" s="708">
        <f t="shared" si="157"/>
        <v>2.2680306411587911E+104</v>
      </c>
      <c r="KOT53" s="708">
        <f t="shared" si="157"/>
        <v>2.336071560393555E+104</v>
      </c>
      <c r="KOU53" s="708">
        <f t="shared" si="157"/>
        <v>2.4061537072053617E+104</v>
      </c>
      <c r="KOV53" s="708">
        <f t="shared" si="157"/>
        <v>2.4783383184215227E+104</v>
      </c>
      <c r="KOW53" s="708">
        <f t="shared" si="157"/>
        <v>2.5526884679741683E+104</v>
      </c>
      <c r="KOX53" s="708">
        <f t="shared" si="157"/>
        <v>2.6292691220133934E+104</v>
      </c>
      <c r="KOY53" s="708">
        <f t="shared" si="157"/>
        <v>2.7081471956737953E+104</v>
      </c>
      <c r="KOZ53" s="708">
        <f t="shared" si="157"/>
        <v>2.7893916115440093E+104</v>
      </c>
      <c r="KPA53" s="708">
        <f t="shared" si="157"/>
        <v>2.8730733598903295E+104</v>
      </c>
      <c r="KPB53" s="708">
        <f t="shared" si="157"/>
        <v>2.9592655606870397E+104</v>
      </c>
      <c r="KPC53" s="708">
        <f t="shared" si="157"/>
        <v>3.048043527507651E+104</v>
      </c>
      <c r="KPD53" s="708">
        <f t="shared" si="157"/>
        <v>3.1394848333328805E+104</v>
      </c>
      <c r="KPE53" s="708">
        <f t="shared" si="157"/>
        <v>3.2336693783328666E+104</v>
      </c>
      <c r="KPF53" s="708">
        <f t="shared" si="157"/>
        <v>3.330679459682853E+104</v>
      </c>
      <c r="KPG53" s="708">
        <f t="shared" si="157"/>
        <v>3.430599843473339E+104</v>
      </c>
      <c r="KPH53" s="708">
        <f t="shared" si="157"/>
        <v>3.533517838777539E+104</v>
      </c>
      <c r="KPI53" s="708">
        <f t="shared" si="157"/>
        <v>3.639523373940865E+104</v>
      </c>
      <c r="KPJ53" s="708">
        <f t="shared" si="157"/>
        <v>3.7487090751590911E+104</v>
      </c>
      <c r="KPK53" s="708">
        <f t="shared" si="157"/>
        <v>3.8611703474138642E+104</v>
      </c>
      <c r="KPL53" s="708">
        <f t="shared" si="157"/>
        <v>3.9770054578362799E+104</v>
      </c>
      <c r="KPM53" s="708">
        <f t="shared" si="157"/>
        <v>4.0963156215713685E+104</v>
      </c>
      <c r="KPN53" s="708">
        <f t="shared" si="157"/>
        <v>4.2192050902185097E+104</v>
      </c>
      <c r="KPO53" s="708">
        <f t="shared" si="157"/>
        <v>4.345781242925065E+104</v>
      </c>
      <c r="KPP53" s="708">
        <f t="shared" si="157"/>
        <v>4.476154680212817E+104</v>
      </c>
      <c r="KPQ53" s="708">
        <f t="shared" si="157"/>
        <v>4.6104393206192016E+104</v>
      </c>
      <c r="KPR53" s="708">
        <f t="shared" si="157"/>
        <v>4.7487525002377778E+104</v>
      </c>
      <c r="KPS53" s="708">
        <f t="shared" si="157"/>
        <v>4.8912150752449113E+104</v>
      </c>
      <c r="KPT53" s="708">
        <f t="shared" si="157"/>
        <v>5.0379515275022586E+104</v>
      </c>
      <c r="KPU53" s="708">
        <f t="shared" si="157"/>
        <v>5.1890900733273263E+104</v>
      </c>
      <c r="KPV53" s="708">
        <f t="shared" si="157"/>
        <v>5.3447627755271462E+104</v>
      </c>
      <c r="KPW53" s="708">
        <f t="shared" si="157"/>
        <v>5.5051056587929607E+104</v>
      </c>
      <c r="KPX53" s="708">
        <f t="shared" si="157"/>
        <v>5.6702588285567496E+104</v>
      </c>
      <c r="KPY53" s="708">
        <f t="shared" si="157"/>
        <v>5.8403665934134527E+104</v>
      </c>
      <c r="KPZ53" s="708">
        <f t="shared" ref="KPZ53:KSK53" si="158">KPY53*$C$53</f>
        <v>6.0155775912158566E+104</v>
      </c>
      <c r="KQA53" s="708">
        <f t="shared" si="158"/>
        <v>6.196044918952332E+104</v>
      </c>
      <c r="KQB53" s="708">
        <f t="shared" si="158"/>
        <v>6.3819262665209016E+104</v>
      </c>
      <c r="KQC53" s="708">
        <f t="shared" si="158"/>
        <v>6.5733840545165293E+104</v>
      </c>
      <c r="KQD53" s="708">
        <f t="shared" si="158"/>
        <v>6.7705855761520252E+104</v>
      </c>
      <c r="KQE53" s="708">
        <f t="shared" si="158"/>
        <v>6.9737031434365868E+104</v>
      </c>
      <c r="KQF53" s="708">
        <f t="shared" si="158"/>
        <v>7.1829142377396848E+104</v>
      </c>
      <c r="KQG53" s="708">
        <f t="shared" si="158"/>
        <v>7.3984016648718753E+104</v>
      </c>
      <c r="KQH53" s="708">
        <f t="shared" si="158"/>
        <v>7.620353714818032E+104</v>
      </c>
      <c r="KQI53" s="708">
        <f t="shared" si="158"/>
        <v>7.8489643262625727E+104</v>
      </c>
      <c r="KQJ53" s="708">
        <f t="shared" si="158"/>
        <v>8.0844332560504503E+104</v>
      </c>
      <c r="KQK53" s="708">
        <f t="shared" si="158"/>
        <v>8.3269662537319639E+104</v>
      </c>
      <c r="KQL53" s="708">
        <f t="shared" si="158"/>
        <v>8.5767752413439225E+104</v>
      </c>
      <c r="KQM53" s="708">
        <f t="shared" si="158"/>
        <v>8.8340784985842399E+104</v>
      </c>
      <c r="KQN53" s="708">
        <f t="shared" si="158"/>
        <v>9.0991008535417674E+104</v>
      </c>
      <c r="KQO53" s="708">
        <f t="shared" si="158"/>
        <v>9.3720738791480205E+104</v>
      </c>
      <c r="KQP53" s="708">
        <f t="shared" si="158"/>
        <v>9.6532360955224615E+104</v>
      </c>
      <c r="KQQ53" s="708">
        <f t="shared" si="158"/>
        <v>9.9428331783881351E+104</v>
      </c>
      <c r="KQR53" s="708">
        <f t="shared" si="158"/>
        <v>1.0241118173739779E+105</v>
      </c>
      <c r="KQS53" s="708">
        <f t="shared" si="158"/>
        <v>1.0548351718951972E+105</v>
      </c>
      <c r="KQT53" s="708">
        <f t="shared" si="158"/>
        <v>1.0864802270520532E+105</v>
      </c>
      <c r="KQU53" s="708">
        <f t="shared" si="158"/>
        <v>1.1190746338636148E+105</v>
      </c>
      <c r="KQV53" s="708">
        <f t="shared" si="158"/>
        <v>1.1526468728795234E+105</v>
      </c>
      <c r="KQW53" s="708">
        <f t="shared" si="158"/>
        <v>1.1872262790659092E+105</v>
      </c>
      <c r="KQX53" s="708">
        <f t="shared" si="158"/>
        <v>1.2228430674378866E+105</v>
      </c>
      <c r="KQY53" s="708">
        <f t="shared" si="158"/>
        <v>1.2595283594610232E+105</v>
      </c>
      <c r="KQZ53" s="708">
        <f t="shared" si="158"/>
        <v>1.297314210244854E+105</v>
      </c>
      <c r="KRA53" s="708">
        <f t="shared" si="158"/>
        <v>1.3362336365521998E+105</v>
      </c>
      <c r="KRB53" s="708">
        <f t="shared" si="158"/>
        <v>1.3763206456487657E+105</v>
      </c>
      <c r="KRC53" s="708">
        <f t="shared" si="158"/>
        <v>1.4176102650182287E+105</v>
      </c>
      <c r="KRD53" s="708">
        <f t="shared" si="158"/>
        <v>1.4601385729687756E+105</v>
      </c>
      <c r="KRE53" s="708">
        <f t="shared" si="158"/>
        <v>1.5039427301578388E+105</v>
      </c>
      <c r="KRF53" s="708">
        <f t="shared" si="158"/>
        <v>1.549061012062574E+105</v>
      </c>
      <c r="KRG53" s="708">
        <f t="shared" si="158"/>
        <v>1.5955328424244513E+105</v>
      </c>
      <c r="KRH53" s="708">
        <f t="shared" si="158"/>
        <v>1.6433988276971849E+105</v>
      </c>
      <c r="KRI53" s="708">
        <f t="shared" si="158"/>
        <v>1.6927007925281006E+105</v>
      </c>
      <c r="KRJ53" s="708">
        <f t="shared" si="158"/>
        <v>1.7434818163039437E+105</v>
      </c>
      <c r="KRK53" s="708">
        <f t="shared" si="158"/>
        <v>1.7957862707930621E+105</v>
      </c>
      <c r="KRL53" s="708">
        <f t="shared" si="158"/>
        <v>1.8496598589168539E+105</v>
      </c>
      <c r="KRM53" s="708">
        <f t="shared" si="158"/>
        <v>1.9051496546843596E+105</v>
      </c>
      <c r="KRN53" s="708">
        <f t="shared" si="158"/>
        <v>1.9623041443248904E+105</v>
      </c>
      <c r="KRO53" s="708">
        <f t="shared" si="158"/>
        <v>2.021173268654637E+105</v>
      </c>
      <c r="KRP53" s="708">
        <f t="shared" si="158"/>
        <v>2.0818084667142761E+105</v>
      </c>
      <c r="KRQ53" s="708">
        <f t="shared" si="158"/>
        <v>2.1442627207157044E+105</v>
      </c>
      <c r="KRR53" s="708">
        <f t="shared" si="158"/>
        <v>2.2085906023371756E+105</v>
      </c>
      <c r="KRS53" s="708">
        <f t="shared" si="158"/>
        <v>2.274848320407291E+105</v>
      </c>
      <c r="KRT53" s="708">
        <f t="shared" si="158"/>
        <v>2.3430937700195099E+105</v>
      </c>
      <c r="KRU53" s="708">
        <f t="shared" si="158"/>
        <v>2.4133865831200951E+105</v>
      </c>
      <c r="KRV53" s="708">
        <f t="shared" si="158"/>
        <v>2.4857881806136981E+105</v>
      </c>
      <c r="KRW53" s="708">
        <f t="shared" si="158"/>
        <v>2.5603618260321088E+105</v>
      </c>
      <c r="KRX53" s="708">
        <f t="shared" si="158"/>
        <v>2.6371726808130722E+105</v>
      </c>
      <c r="KRY53" s="708">
        <f t="shared" si="158"/>
        <v>2.7162878612374645E+105</v>
      </c>
      <c r="KRZ53" s="708">
        <f t="shared" si="158"/>
        <v>2.7977764970745887E+105</v>
      </c>
      <c r="KSA53" s="708">
        <f t="shared" si="158"/>
        <v>2.8817097919868263E+105</v>
      </c>
      <c r="KSB53" s="708">
        <f t="shared" si="158"/>
        <v>2.9681610857464311E+105</v>
      </c>
      <c r="KSC53" s="708">
        <f t="shared" si="158"/>
        <v>3.0572059183188242E+105</v>
      </c>
      <c r="KSD53" s="708">
        <f t="shared" si="158"/>
        <v>3.1489220958683891E+105</v>
      </c>
      <c r="KSE53" s="708">
        <f t="shared" si="158"/>
        <v>3.243389758744441E+105</v>
      </c>
      <c r="KSF53" s="708">
        <f t="shared" si="158"/>
        <v>3.3406914515067743E+105</v>
      </c>
      <c r="KSG53" s="708">
        <f t="shared" si="158"/>
        <v>3.4409121950519777E+105</v>
      </c>
      <c r="KSH53" s="708">
        <f t="shared" si="158"/>
        <v>3.544139560903537E+105</v>
      </c>
      <c r="KSI53" s="708">
        <f t="shared" si="158"/>
        <v>3.6504637477306434E+105</v>
      </c>
      <c r="KSJ53" s="708">
        <f t="shared" si="158"/>
        <v>3.7599776601625627E+105</v>
      </c>
      <c r="KSK53" s="708">
        <f t="shared" si="158"/>
        <v>3.8727769899674397E+105</v>
      </c>
      <c r="KSL53" s="708">
        <f t="shared" ref="KSL53:KUW53" si="159">KSK53*$C$53</f>
        <v>3.9889602996664631E+105</v>
      </c>
      <c r="KSM53" s="708">
        <f t="shared" si="159"/>
        <v>4.1086291086564573E+105</v>
      </c>
      <c r="KSN53" s="708">
        <f t="shared" si="159"/>
        <v>4.2318879819161509E+105</v>
      </c>
      <c r="KSO53" s="708">
        <f t="shared" si="159"/>
        <v>4.3588446213736356E+105</v>
      </c>
      <c r="KSP53" s="708">
        <f t="shared" si="159"/>
        <v>4.4896099600148449E+105</v>
      </c>
      <c r="KSQ53" s="708">
        <f t="shared" si="159"/>
        <v>4.62429825881529E+105</v>
      </c>
      <c r="KSR53" s="708">
        <f t="shared" si="159"/>
        <v>4.7630272065797489E+105</v>
      </c>
      <c r="KSS53" s="708">
        <f t="shared" si="159"/>
        <v>4.9059180227771418E+105</v>
      </c>
      <c r="KST53" s="708">
        <f t="shared" si="159"/>
        <v>5.0530955634604564E+105</v>
      </c>
      <c r="KSU53" s="708">
        <f t="shared" si="159"/>
        <v>5.2046884303642701E+105</v>
      </c>
      <c r="KSV53" s="708">
        <f t="shared" si="159"/>
        <v>5.3608290832751987E+105</v>
      </c>
      <c r="KSW53" s="708">
        <f t="shared" si="159"/>
        <v>5.521653955773455E+105</v>
      </c>
      <c r="KSX53" s="708">
        <f t="shared" si="159"/>
        <v>5.6873035744466588E+105</v>
      </c>
      <c r="KSY53" s="708">
        <f t="shared" si="159"/>
        <v>5.8579226816800586E+105</v>
      </c>
      <c r="KSZ53" s="708">
        <f t="shared" si="159"/>
        <v>6.0336603621304609E+105</v>
      </c>
      <c r="KTA53" s="708">
        <f t="shared" si="159"/>
        <v>6.2146701729943754E+105</v>
      </c>
      <c r="KTB53" s="708">
        <f t="shared" si="159"/>
        <v>6.4011102781842064E+105</v>
      </c>
      <c r="KTC53" s="708">
        <f t="shared" si="159"/>
        <v>6.5931435865297323E+105</v>
      </c>
      <c r="KTD53" s="708">
        <f t="shared" si="159"/>
        <v>6.790937894125625E+105</v>
      </c>
      <c r="KTE53" s="708">
        <f t="shared" si="159"/>
        <v>6.9946660309493939E+105</v>
      </c>
      <c r="KTF53" s="708">
        <f t="shared" si="159"/>
        <v>7.2045060118778758E+105</v>
      </c>
      <c r="KTG53" s="708">
        <f t="shared" si="159"/>
        <v>7.4206411922342118E+105</v>
      </c>
      <c r="KTH53" s="708">
        <f t="shared" si="159"/>
        <v>7.6432604280012386E+105</v>
      </c>
      <c r="KTI53" s="708">
        <f t="shared" si="159"/>
        <v>7.8725582408412763E+105</v>
      </c>
      <c r="KTJ53" s="708">
        <f t="shared" si="159"/>
        <v>8.1087349880665145E+105</v>
      </c>
      <c r="KTK53" s="708">
        <f t="shared" si="159"/>
        <v>8.3519970377085097E+105</v>
      </c>
      <c r="KTL53" s="708">
        <f t="shared" si="159"/>
        <v>8.6025569488397651E+105</v>
      </c>
      <c r="KTM53" s="708">
        <f t="shared" si="159"/>
        <v>8.8606336573049581E+105</v>
      </c>
      <c r="KTN53" s="708">
        <f t="shared" si="159"/>
        <v>9.1264526670241066E+105</v>
      </c>
      <c r="KTO53" s="708">
        <f t="shared" si="159"/>
        <v>9.4002462470348295E+105</v>
      </c>
      <c r="KTP53" s="708">
        <f t="shared" si="159"/>
        <v>9.6822536344458754E+105</v>
      </c>
      <c r="KTQ53" s="708">
        <f t="shared" si="159"/>
        <v>9.9727212434792512E+105</v>
      </c>
      <c r="KTR53" s="708">
        <f t="shared" si="159"/>
        <v>1.027190288078363E+106</v>
      </c>
      <c r="KTS53" s="708">
        <f t="shared" si="159"/>
        <v>1.058005996720714E+106</v>
      </c>
      <c r="KTT53" s="708">
        <f t="shared" si="159"/>
        <v>1.0897461766223354E+106</v>
      </c>
      <c r="KTU53" s="708">
        <f t="shared" si="159"/>
        <v>1.1224385619210056E+106</v>
      </c>
      <c r="KTV53" s="708">
        <f t="shared" si="159"/>
        <v>1.1561117187786358E+106</v>
      </c>
      <c r="KTW53" s="708">
        <f t="shared" si="159"/>
        <v>1.1907950703419949E+106</v>
      </c>
      <c r="KTX53" s="708">
        <f t="shared" si="159"/>
        <v>1.2265189224522548E+106</v>
      </c>
      <c r="KTY53" s="708">
        <f t="shared" si="159"/>
        <v>1.2633144901258224E+106</v>
      </c>
      <c r="KTZ53" s="708">
        <f t="shared" si="159"/>
        <v>1.301213924829597E+106</v>
      </c>
      <c r="KUA53" s="708">
        <f t="shared" si="159"/>
        <v>1.3402503425744851E+106</v>
      </c>
      <c r="KUB53" s="708">
        <f t="shared" si="159"/>
        <v>1.3804578528517195E+106</v>
      </c>
      <c r="KUC53" s="708">
        <f t="shared" si="159"/>
        <v>1.4218715884372711E+106</v>
      </c>
      <c r="KUD53" s="708">
        <f t="shared" si="159"/>
        <v>1.4645277360903892E+106</v>
      </c>
      <c r="KUE53" s="708">
        <f t="shared" si="159"/>
        <v>1.5084635681731008E+106</v>
      </c>
      <c r="KUF53" s="708">
        <f t="shared" si="159"/>
        <v>1.5537174752182939E+106</v>
      </c>
      <c r="KUG53" s="708">
        <f t="shared" si="159"/>
        <v>1.6003289994748427E+106</v>
      </c>
      <c r="KUH53" s="708">
        <f t="shared" si="159"/>
        <v>1.648338869459088E+106</v>
      </c>
      <c r="KUI53" s="708">
        <f t="shared" si="159"/>
        <v>1.6977890355428607E+106</v>
      </c>
      <c r="KUJ53" s="708">
        <f t="shared" si="159"/>
        <v>1.7487227066091466E+106</v>
      </c>
      <c r="KUK53" s="708">
        <f t="shared" si="159"/>
        <v>1.8011843878074211E+106</v>
      </c>
      <c r="KUL53" s="708">
        <f t="shared" si="159"/>
        <v>1.8552199194416437E+106</v>
      </c>
      <c r="KUM53" s="708">
        <f t="shared" si="159"/>
        <v>1.910876517024893E+106</v>
      </c>
      <c r="KUN53" s="708">
        <f t="shared" si="159"/>
        <v>1.9682028125356399E+106</v>
      </c>
      <c r="KUO53" s="708">
        <f t="shared" si="159"/>
        <v>2.0272488969117092E+106</v>
      </c>
      <c r="KUP53" s="708">
        <f t="shared" si="159"/>
        <v>2.0880663638190607E+106</v>
      </c>
      <c r="KUQ53" s="708">
        <f t="shared" si="159"/>
        <v>2.1507083547336325E+106</v>
      </c>
      <c r="KUR53" s="708">
        <f t="shared" si="159"/>
        <v>2.2152296053756417E+106</v>
      </c>
      <c r="KUS53" s="708">
        <f t="shared" si="159"/>
        <v>2.2816864935369112E+106</v>
      </c>
      <c r="KUT53" s="708">
        <f t="shared" si="159"/>
        <v>2.3501370883430185E+106</v>
      </c>
      <c r="KUU53" s="708">
        <f t="shared" si="159"/>
        <v>2.420641200993309E+106</v>
      </c>
      <c r="KUV53" s="708">
        <f t="shared" si="159"/>
        <v>2.4932604370231085E+106</v>
      </c>
      <c r="KUW53" s="708">
        <f t="shared" si="159"/>
        <v>2.568058250133802E+106</v>
      </c>
      <c r="KUX53" s="708">
        <f t="shared" ref="KUX53:KXI53" si="160">KUW53*$C$53</f>
        <v>2.6450999976378163E+106</v>
      </c>
      <c r="KUY53" s="708">
        <f t="shared" si="160"/>
        <v>2.724452997566951E+106</v>
      </c>
      <c r="KUZ53" s="708">
        <f t="shared" si="160"/>
        <v>2.8061865874939596E+106</v>
      </c>
      <c r="KVA53" s="708">
        <f t="shared" si="160"/>
        <v>2.8903721851187784E+106</v>
      </c>
      <c r="KVB53" s="708">
        <f t="shared" si="160"/>
        <v>2.977083350672342E+106</v>
      </c>
      <c r="KVC53" s="708">
        <f t="shared" si="160"/>
        <v>3.0663958511925123E+106</v>
      </c>
      <c r="KVD53" s="708">
        <f t="shared" si="160"/>
        <v>3.1583877267282879E+106</v>
      </c>
      <c r="KVE53" s="708">
        <f t="shared" si="160"/>
        <v>3.2531393585301367E+106</v>
      </c>
      <c r="KVF53" s="708">
        <f t="shared" si="160"/>
        <v>3.3507335392860408E+106</v>
      </c>
      <c r="KVG53" s="708">
        <f t="shared" si="160"/>
        <v>3.4512555454646223E+106</v>
      </c>
      <c r="KVH53" s="708">
        <f t="shared" si="160"/>
        <v>3.554793211828561E+106</v>
      </c>
      <c r="KVI53" s="708">
        <f t="shared" si="160"/>
        <v>3.661437008183418E+106</v>
      </c>
      <c r="KVJ53" s="708">
        <f t="shared" si="160"/>
        <v>3.7712801184289209E+106</v>
      </c>
      <c r="KVK53" s="708">
        <f t="shared" si="160"/>
        <v>3.8844185219817886E+106</v>
      </c>
      <c r="KVL53" s="708">
        <f t="shared" si="160"/>
        <v>4.0009510776412424E+106</v>
      </c>
      <c r="KVM53" s="708">
        <f t="shared" si="160"/>
        <v>4.1209796099704797E+106</v>
      </c>
      <c r="KVN53" s="708">
        <f t="shared" si="160"/>
        <v>4.2446089982695946E+106</v>
      </c>
      <c r="KVO53" s="708">
        <f t="shared" si="160"/>
        <v>4.3719472682176825E+106</v>
      </c>
      <c r="KVP53" s="708">
        <f t="shared" si="160"/>
        <v>4.5031056862642133E+106</v>
      </c>
      <c r="KVQ53" s="708">
        <f t="shared" si="160"/>
        <v>4.6381988568521396E+106</v>
      </c>
      <c r="KVR53" s="708">
        <f t="shared" si="160"/>
        <v>4.7773448225577041E+106</v>
      </c>
      <c r="KVS53" s="708">
        <f t="shared" si="160"/>
        <v>4.9206651672344355E+106</v>
      </c>
      <c r="KVT53" s="708">
        <f t="shared" si="160"/>
        <v>5.0682851222514691E+106</v>
      </c>
      <c r="KVU53" s="708">
        <f t="shared" si="160"/>
        <v>5.2203336759190133E+106</v>
      </c>
      <c r="KVV53" s="708">
        <f t="shared" si="160"/>
        <v>5.376943686196584E+106</v>
      </c>
      <c r="KVW53" s="708">
        <f t="shared" si="160"/>
        <v>5.538251996782482E+106</v>
      </c>
      <c r="KVX53" s="708">
        <f t="shared" si="160"/>
        <v>5.7043995566859562E+106</v>
      </c>
      <c r="KVY53" s="708">
        <f t="shared" si="160"/>
        <v>5.8755315433865349E+106</v>
      </c>
      <c r="KVZ53" s="708">
        <f t="shared" si="160"/>
        <v>6.0517974896881307E+106</v>
      </c>
      <c r="KWA53" s="708">
        <f t="shared" si="160"/>
        <v>6.2333514143787747E+106</v>
      </c>
      <c r="KWB53" s="708">
        <f t="shared" si="160"/>
        <v>6.420351956810138E+106</v>
      </c>
      <c r="KWC53" s="708">
        <f t="shared" si="160"/>
        <v>6.6129625155144422E+106</v>
      </c>
      <c r="KWD53" s="708">
        <f t="shared" si="160"/>
        <v>6.8113513909798757E+106</v>
      </c>
      <c r="KWE53" s="708">
        <f t="shared" si="160"/>
        <v>7.0156919327092719E+106</v>
      </c>
      <c r="KWF53" s="708">
        <f t="shared" si="160"/>
        <v>7.22616269069055E+106</v>
      </c>
      <c r="KWG53" s="708">
        <f t="shared" si="160"/>
        <v>7.4429475714112664E+106</v>
      </c>
      <c r="KWH53" s="708">
        <f t="shared" si="160"/>
        <v>7.6662359985536038E+106</v>
      </c>
      <c r="KWI53" s="708">
        <f t="shared" si="160"/>
        <v>7.8962230785102114E+106</v>
      </c>
      <c r="KWJ53" s="708">
        <f t="shared" si="160"/>
        <v>8.1331097708655187E+106</v>
      </c>
      <c r="KWK53" s="708">
        <f t="shared" si="160"/>
        <v>8.3771030639914846E+106</v>
      </c>
      <c r="KWL53" s="708">
        <f t="shared" si="160"/>
        <v>8.628416155911229E+106</v>
      </c>
      <c r="KWM53" s="708">
        <f t="shared" si="160"/>
        <v>8.8872686405885654E+106</v>
      </c>
      <c r="KWN53" s="708">
        <f t="shared" si="160"/>
        <v>9.1538866998062219E+106</v>
      </c>
      <c r="KWO53" s="708">
        <f t="shared" si="160"/>
        <v>9.4285033008004096E+106</v>
      </c>
      <c r="KWP53" s="708">
        <f t="shared" si="160"/>
        <v>9.7113583998244219E+106</v>
      </c>
      <c r="KWQ53" s="708">
        <f t="shared" si="160"/>
        <v>1.0002699151819155E+107</v>
      </c>
      <c r="KWR53" s="708">
        <f t="shared" si="160"/>
        <v>1.0302780126373731E+107</v>
      </c>
      <c r="KWS53" s="708">
        <f t="shared" si="160"/>
        <v>1.0611863530164943E+107</v>
      </c>
      <c r="KWT53" s="708">
        <f t="shared" si="160"/>
        <v>1.0930219436069891E+107</v>
      </c>
      <c r="KWU53" s="708">
        <f t="shared" si="160"/>
        <v>1.1258126019151989E+107</v>
      </c>
      <c r="KWV53" s="708">
        <f t="shared" si="160"/>
        <v>1.1595869799726548E+107</v>
      </c>
      <c r="KWW53" s="708">
        <f t="shared" si="160"/>
        <v>1.1943745893718345E+107</v>
      </c>
      <c r="KWX53" s="708">
        <f t="shared" si="160"/>
        <v>1.2302058270529895E+107</v>
      </c>
      <c r="KWY53" s="708">
        <f t="shared" si="160"/>
        <v>1.2671120018645792E+107</v>
      </c>
      <c r="KWZ53" s="708">
        <f t="shared" si="160"/>
        <v>1.3051253619205166E+107</v>
      </c>
      <c r="KXA53" s="708">
        <f t="shared" si="160"/>
        <v>1.3442791227781322E+107</v>
      </c>
      <c r="KXB53" s="708">
        <f t="shared" si="160"/>
        <v>1.3846074964614761E+107</v>
      </c>
      <c r="KXC53" s="708">
        <f t="shared" si="160"/>
        <v>1.4261457213553204E+107</v>
      </c>
      <c r="KXD53" s="708">
        <f t="shared" si="160"/>
        <v>1.46893009299598E+107</v>
      </c>
      <c r="KXE53" s="708">
        <f t="shared" si="160"/>
        <v>1.5129979957858595E+107</v>
      </c>
      <c r="KXF53" s="708">
        <f t="shared" si="160"/>
        <v>1.5583879356594352E+107</v>
      </c>
      <c r="KXG53" s="708">
        <f t="shared" si="160"/>
        <v>1.6051395737292182E+107</v>
      </c>
      <c r="KXH53" s="708">
        <f t="shared" si="160"/>
        <v>1.6532937609410948E+107</v>
      </c>
      <c r="KXI53" s="708">
        <f t="shared" si="160"/>
        <v>1.7028925737693277E+107</v>
      </c>
      <c r="KXJ53" s="708">
        <f t="shared" ref="KXJ53:KZU53" si="161">KXI53*$C$53</f>
        <v>1.7539793509824076E+107</v>
      </c>
      <c r="KXK53" s="708">
        <f t="shared" si="161"/>
        <v>1.8065987315118798E+107</v>
      </c>
      <c r="KXL53" s="708">
        <f t="shared" si="161"/>
        <v>1.8607966934572364E+107</v>
      </c>
      <c r="KXM53" s="708">
        <f t="shared" si="161"/>
        <v>1.9166205942609536E+107</v>
      </c>
      <c r="KXN53" s="708">
        <f t="shared" si="161"/>
        <v>1.9741192120887822E+107</v>
      </c>
      <c r="KXO53" s="708">
        <f t="shared" si="161"/>
        <v>2.0333427884514457E+107</v>
      </c>
      <c r="KXP53" s="708">
        <f t="shared" si="161"/>
        <v>2.0943430721049892E+107</v>
      </c>
      <c r="KXQ53" s="708">
        <f t="shared" si="161"/>
        <v>2.157173364268139E+107</v>
      </c>
      <c r="KXR53" s="708">
        <f t="shared" si="161"/>
        <v>2.2218885651961832E+107</v>
      </c>
      <c r="KXS53" s="708">
        <f t="shared" si="161"/>
        <v>2.2885452221520687E+107</v>
      </c>
      <c r="KXT53" s="708">
        <f t="shared" si="161"/>
        <v>2.3572015788166308E+107</v>
      </c>
      <c r="KXU53" s="708">
        <f t="shared" si="161"/>
        <v>2.42791762618113E+107</v>
      </c>
      <c r="KXV53" s="708">
        <f t="shared" si="161"/>
        <v>2.5007551549665641E+107</v>
      </c>
      <c r="KXW53" s="708">
        <f t="shared" si="161"/>
        <v>2.5757778096155612E+107</v>
      </c>
      <c r="KXX53" s="708">
        <f t="shared" si="161"/>
        <v>2.6530511439040282E+107</v>
      </c>
      <c r="KXY53" s="708">
        <f t="shared" si="161"/>
        <v>2.7326426782211492E+107</v>
      </c>
      <c r="KXZ53" s="708">
        <f t="shared" si="161"/>
        <v>2.8146219585677837E+107</v>
      </c>
      <c r="KYA53" s="708">
        <f t="shared" si="161"/>
        <v>2.8990606173248171E+107</v>
      </c>
      <c r="KYB53" s="708">
        <f t="shared" si="161"/>
        <v>2.9860324358445616E+107</v>
      </c>
      <c r="KYC53" s="708">
        <f t="shared" si="161"/>
        <v>3.0756134089198987E+107</v>
      </c>
      <c r="KYD53" s="708">
        <f t="shared" si="161"/>
        <v>3.1678818111874955E+107</v>
      </c>
      <c r="KYE53" s="708">
        <f t="shared" si="161"/>
        <v>3.2629182655231207E+107</v>
      </c>
      <c r="KYF53" s="708">
        <f t="shared" si="161"/>
        <v>3.3608058134888141E+107</v>
      </c>
      <c r="KYG53" s="708">
        <f t="shared" si="161"/>
        <v>3.4616299878934787E+107</v>
      </c>
      <c r="KYH53" s="708">
        <f t="shared" si="161"/>
        <v>3.565478887530283E+107</v>
      </c>
      <c r="KYI53" s="708">
        <f t="shared" si="161"/>
        <v>3.6724432541561913E+107</v>
      </c>
      <c r="KYJ53" s="708">
        <f t="shared" si="161"/>
        <v>3.7826165517808774E+107</v>
      </c>
      <c r="KYK53" s="708">
        <f t="shared" si="161"/>
        <v>3.8960950483343039E+107</v>
      </c>
      <c r="KYL53" s="708">
        <f t="shared" si="161"/>
        <v>4.0129778997843333E+107</v>
      </c>
      <c r="KYM53" s="708">
        <f t="shared" si="161"/>
        <v>4.1333672367778633E+107</v>
      </c>
      <c r="KYN53" s="708">
        <f t="shared" si="161"/>
        <v>4.2573682538811995E+107</v>
      </c>
      <c r="KYO53" s="708">
        <f t="shared" si="161"/>
        <v>4.3850893014976354E+107</v>
      </c>
      <c r="KYP53" s="708">
        <f t="shared" si="161"/>
        <v>4.5166419805425648E+107</v>
      </c>
      <c r="KYQ53" s="708">
        <f t="shared" si="161"/>
        <v>4.6521412399588417E+107</v>
      </c>
      <c r="KYR53" s="708">
        <f t="shared" si="161"/>
        <v>4.7917054771576072E+107</v>
      </c>
      <c r="KYS53" s="708">
        <f t="shared" si="161"/>
        <v>4.9354566414723353E+107</v>
      </c>
      <c r="KYT53" s="708">
        <f t="shared" si="161"/>
        <v>5.0835203407165053E+107</v>
      </c>
      <c r="KYU53" s="708">
        <f t="shared" si="161"/>
        <v>5.2360259509380005E+107</v>
      </c>
      <c r="KYV53" s="708">
        <f t="shared" si="161"/>
        <v>5.3931067294661404E+107</v>
      </c>
      <c r="KYW53" s="708">
        <f t="shared" si="161"/>
        <v>5.5548999313501246E+107</v>
      </c>
      <c r="KYX53" s="708">
        <f t="shared" si="161"/>
        <v>5.7215469292906288E+107</v>
      </c>
      <c r="KYY53" s="708">
        <f t="shared" si="161"/>
        <v>5.8931933371693472E+107</v>
      </c>
      <c r="KYZ53" s="708">
        <f t="shared" si="161"/>
        <v>6.0699891372844275E+107</v>
      </c>
      <c r="KZA53" s="708">
        <f t="shared" si="161"/>
        <v>6.2520888114029602E+107</v>
      </c>
      <c r="KZB53" s="708">
        <f t="shared" si="161"/>
        <v>6.4396514757450487E+107</v>
      </c>
      <c r="KZC53" s="708">
        <f t="shared" si="161"/>
        <v>6.6328410200173999E+107</v>
      </c>
      <c r="KZD53" s="708">
        <f t="shared" si="161"/>
        <v>6.8318262506179216E+107</v>
      </c>
      <c r="KZE53" s="708">
        <f t="shared" si="161"/>
        <v>7.036781038136459E+107</v>
      </c>
      <c r="KZF53" s="708">
        <f t="shared" si="161"/>
        <v>7.2478844692805526E+107</v>
      </c>
      <c r="KZG53" s="708">
        <f t="shared" si="161"/>
        <v>7.4653210033589697E+107</v>
      </c>
      <c r="KZH53" s="708">
        <f t="shared" si="161"/>
        <v>7.689280633459739E+107</v>
      </c>
      <c r="KZI53" s="708">
        <f t="shared" si="161"/>
        <v>7.9199590524635317E+107</v>
      </c>
      <c r="KZJ53" s="708">
        <f t="shared" si="161"/>
        <v>8.1575578240374379E+107</v>
      </c>
      <c r="KZK53" s="708">
        <f t="shared" si="161"/>
        <v>8.4022845587585613E+107</v>
      </c>
      <c r="KZL53" s="708">
        <f t="shared" si="161"/>
        <v>8.6543530955213181E+107</v>
      </c>
      <c r="KZM53" s="708">
        <f t="shared" si="161"/>
        <v>8.9139836883869585E+107</v>
      </c>
      <c r="KZN53" s="708">
        <f t="shared" si="161"/>
        <v>9.1814031990385672E+107</v>
      </c>
      <c r="KZO53" s="708">
        <f t="shared" si="161"/>
        <v>9.4568452950097243E+107</v>
      </c>
      <c r="KZP53" s="708">
        <f t="shared" si="161"/>
        <v>9.7405506538600161E+107</v>
      </c>
      <c r="KZQ53" s="708">
        <f t="shared" si="161"/>
        <v>1.0032767173475817E+108</v>
      </c>
      <c r="KZR53" s="708">
        <f t="shared" si="161"/>
        <v>1.0333750188680091E+108</v>
      </c>
      <c r="KZS53" s="708">
        <f t="shared" si="161"/>
        <v>1.0643762694340494E+108</v>
      </c>
      <c r="KZT53" s="708">
        <f t="shared" si="161"/>
        <v>1.0963075575170709E+108</v>
      </c>
      <c r="KZU53" s="708">
        <f t="shared" si="161"/>
        <v>1.129196784242583E+108</v>
      </c>
      <c r="KZV53" s="708">
        <f t="shared" ref="KZV53:LCG53" si="162">KZU53*$C$53</f>
        <v>1.1630726877698605E+108</v>
      </c>
      <c r="KZW53" s="708">
        <f t="shared" si="162"/>
        <v>1.1979648684029562E+108</v>
      </c>
      <c r="KZX53" s="708">
        <f t="shared" si="162"/>
        <v>1.233903814455045E+108</v>
      </c>
      <c r="KZY53" s="708">
        <f t="shared" si="162"/>
        <v>1.2709209288886965E+108</v>
      </c>
      <c r="KZZ53" s="708">
        <f t="shared" si="162"/>
        <v>1.3090485567553575E+108</v>
      </c>
      <c r="LAA53" s="708">
        <f t="shared" si="162"/>
        <v>1.3483200134580182E+108</v>
      </c>
      <c r="LAB53" s="708">
        <f t="shared" si="162"/>
        <v>1.3887696138617587E+108</v>
      </c>
      <c r="LAC53" s="708">
        <f t="shared" si="162"/>
        <v>1.4304327022776115E+108</v>
      </c>
      <c r="LAD53" s="708">
        <f t="shared" si="162"/>
        <v>1.4733456833459399E+108</v>
      </c>
      <c r="LAE53" s="708">
        <f t="shared" si="162"/>
        <v>1.5175460538463181E+108</v>
      </c>
      <c r="LAF53" s="708">
        <f t="shared" si="162"/>
        <v>1.5630724354617077E+108</v>
      </c>
      <c r="LAG53" s="708">
        <f t="shared" si="162"/>
        <v>1.6099646085255589E+108</v>
      </c>
      <c r="LAH53" s="708">
        <f t="shared" si="162"/>
        <v>1.6582635467813258E+108</v>
      </c>
      <c r="LAI53" s="708">
        <f t="shared" si="162"/>
        <v>1.7080114531847656E+108</v>
      </c>
      <c r="LAJ53" s="708">
        <f t="shared" si="162"/>
        <v>1.7592517967803086E+108</v>
      </c>
      <c r="LAK53" s="708">
        <f t="shared" si="162"/>
        <v>1.812029350683718E+108</v>
      </c>
      <c r="LAL53" s="708">
        <f t="shared" si="162"/>
        <v>1.8663902312042295E+108</v>
      </c>
      <c r="LAM53" s="708">
        <f t="shared" si="162"/>
        <v>1.9223819381403565E+108</v>
      </c>
      <c r="LAN53" s="708">
        <f t="shared" si="162"/>
        <v>1.9800533962845673E+108</v>
      </c>
      <c r="LAO53" s="708">
        <f t="shared" si="162"/>
        <v>2.0394549981731044E+108</v>
      </c>
      <c r="LAP53" s="708">
        <f t="shared" si="162"/>
        <v>2.1006386481182976E+108</v>
      </c>
      <c r="LAQ53" s="708">
        <f t="shared" si="162"/>
        <v>2.1636578075618466E+108</v>
      </c>
      <c r="LAR53" s="708">
        <f t="shared" si="162"/>
        <v>2.2285675417887019E+108</v>
      </c>
      <c r="LAS53" s="708">
        <f t="shared" si="162"/>
        <v>2.295424568042363E+108</v>
      </c>
      <c r="LAT53" s="708">
        <f t="shared" si="162"/>
        <v>2.3642873050836341E+108</v>
      </c>
      <c r="LAU53" s="708">
        <f t="shared" si="162"/>
        <v>2.4352159242361433E+108</v>
      </c>
      <c r="LAV53" s="708">
        <f t="shared" si="162"/>
        <v>2.5082724019632274E+108</v>
      </c>
      <c r="LAW53" s="708">
        <f t="shared" si="162"/>
        <v>2.5835205740221244E+108</v>
      </c>
      <c r="LAX53" s="708">
        <f t="shared" si="162"/>
        <v>2.661026191242788E+108</v>
      </c>
      <c r="LAY53" s="708">
        <f t="shared" si="162"/>
        <v>2.7408569769800715E+108</v>
      </c>
      <c r="LAZ53" s="708">
        <f t="shared" si="162"/>
        <v>2.8230826862894739E+108</v>
      </c>
      <c r="LBA53" s="708">
        <f t="shared" si="162"/>
        <v>2.9077751668781581E+108</v>
      </c>
      <c r="LBB53" s="708">
        <f t="shared" si="162"/>
        <v>2.995008421884503E+108</v>
      </c>
      <c r="LBC53" s="708">
        <f t="shared" si="162"/>
        <v>3.084858674541038E+108</v>
      </c>
      <c r="LBD53" s="708">
        <f t="shared" si="162"/>
        <v>3.1774044347772694E+108</v>
      </c>
      <c r="LBE53" s="708">
        <f t="shared" si="162"/>
        <v>3.2727265678205877E+108</v>
      </c>
      <c r="LBF53" s="708">
        <f t="shared" si="162"/>
        <v>3.3709083648552056E+108</v>
      </c>
      <c r="LBG53" s="708">
        <f t="shared" si="162"/>
        <v>3.4720356158008617E+108</v>
      </c>
      <c r="LBH53" s="708">
        <f t="shared" si="162"/>
        <v>3.5761966842748874E+108</v>
      </c>
      <c r="LBI53" s="708">
        <f t="shared" si="162"/>
        <v>3.683482584803134E+108</v>
      </c>
      <c r="LBJ53" s="708">
        <f t="shared" si="162"/>
        <v>3.7939870623472282E+108</v>
      </c>
      <c r="LBK53" s="708">
        <f t="shared" si="162"/>
        <v>3.9078066742176451E+108</v>
      </c>
      <c r="LBL53" s="708">
        <f t="shared" si="162"/>
        <v>4.0250408744441747E+108</v>
      </c>
      <c r="LBM53" s="708">
        <f t="shared" si="162"/>
        <v>4.1457921006775002E+108</v>
      </c>
      <c r="LBN53" s="708">
        <f t="shared" si="162"/>
        <v>4.2701658636978254E+108</v>
      </c>
      <c r="LBO53" s="708">
        <f t="shared" si="162"/>
        <v>4.3982708396087602E+108</v>
      </c>
      <c r="LBP53" s="708">
        <f t="shared" si="162"/>
        <v>4.530218964797023E+108</v>
      </c>
      <c r="LBQ53" s="708">
        <f t="shared" si="162"/>
        <v>4.666125533740934E+108</v>
      </c>
      <c r="LBR53" s="708">
        <f t="shared" si="162"/>
        <v>4.8061092997531624E+108</v>
      </c>
      <c r="LBS53" s="708">
        <f t="shared" si="162"/>
        <v>4.9502925787457575E+108</v>
      </c>
      <c r="LBT53" s="708">
        <f t="shared" si="162"/>
        <v>5.0988013561081306E+108</v>
      </c>
      <c r="LBU53" s="708">
        <f t="shared" si="162"/>
        <v>5.2517653967913742E+108</v>
      </c>
      <c r="LBV53" s="708">
        <f t="shared" si="162"/>
        <v>5.4093183586951152E+108</v>
      </c>
      <c r="LBW53" s="708">
        <f t="shared" si="162"/>
        <v>5.5715979094559682E+108</v>
      </c>
      <c r="LBX53" s="708">
        <f t="shared" si="162"/>
        <v>5.7387458467396478E+108</v>
      </c>
      <c r="LBY53" s="708">
        <f t="shared" si="162"/>
        <v>5.9109082221418371E+108</v>
      </c>
      <c r="LBZ53" s="708">
        <f t="shared" si="162"/>
        <v>6.0882354688060919E+108</v>
      </c>
      <c r="LCA53" s="708">
        <f t="shared" si="162"/>
        <v>6.2708825328702751E+108</v>
      </c>
      <c r="LCB53" s="708">
        <f t="shared" si="162"/>
        <v>6.4590090088563833E+108</v>
      </c>
      <c r="LCC53" s="708">
        <f t="shared" si="162"/>
        <v>6.6527792791220748E+108</v>
      </c>
      <c r="LCD53" s="708">
        <f t="shared" si="162"/>
        <v>6.8523626574957375E+108</v>
      </c>
      <c r="LCE53" s="708">
        <f t="shared" si="162"/>
        <v>7.0579335372206103E+108</v>
      </c>
      <c r="LCF53" s="708">
        <f t="shared" si="162"/>
        <v>7.2696715433372287E+108</v>
      </c>
      <c r="LCG53" s="708">
        <f t="shared" si="162"/>
        <v>7.4877616896373456E+108</v>
      </c>
      <c r="LCH53" s="708">
        <f t="shared" ref="LCH53:LES53" si="163">LCG53*$C$53</f>
        <v>7.7123945403264662E+108</v>
      </c>
      <c r="LCI53" s="708">
        <f t="shared" si="163"/>
        <v>7.94376637653626E+108</v>
      </c>
      <c r="LCJ53" s="708">
        <f t="shared" si="163"/>
        <v>8.1820793678323485E+108</v>
      </c>
      <c r="LCK53" s="708">
        <f t="shared" si="163"/>
        <v>8.4275417488673196E+108</v>
      </c>
      <c r="LCL53" s="708">
        <f t="shared" si="163"/>
        <v>8.6803680013333395E+108</v>
      </c>
      <c r="LCM53" s="708">
        <f t="shared" si="163"/>
        <v>8.9407790413733401E+108</v>
      </c>
      <c r="LCN53" s="708">
        <f t="shared" si="163"/>
        <v>9.2090024126145409E+108</v>
      </c>
      <c r="LCO53" s="708">
        <f t="shared" si="163"/>
        <v>9.4852724849929772E+108</v>
      </c>
      <c r="LCP53" s="708">
        <f t="shared" si="163"/>
        <v>9.7698306595427659E+108</v>
      </c>
      <c r="LCQ53" s="708">
        <f t="shared" si="163"/>
        <v>1.0062925579329049E+109</v>
      </c>
      <c r="LCR53" s="708">
        <f t="shared" si="163"/>
        <v>1.0364813346708921E+109</v>
      </c>
      <c r="LCS53" s="708">
        <f t="shared" si="163"/>
        <v>1.0675757747110188E+109</v>
      </c>
      <c r="LCT53" s="708">
        <f t="shared" si="163"/>
        <v>1.0996030479523493E+109</v>
      </c>
      <c r="LCU53" s="708">
        <f t="shared" si="163"/>
        <v>1.1325911393909199E+109</v>
      </c>
      <c r="LCV53" s="708">
        <f t="shared" si="163"/>
        <v>1.1665688735726476E+109</v>
      </c>
      <c r="LCW53" s="708">
        <f t="shared" si="163"/>
        <v>1.2015659397798269E+109</v>
      </c>
      <c r="LCX53" s="708">
        <f t="shared" si="163"/>
        <v>1.2376129179732218E+109</v>
      </c>
      <c r="LCY53" s="708">
        <f t="shared" si="163"/>
        <v>1.2747413055124185E+109</v>
      </c>
      <c r="LCZ53" s="708">
        <f t="shared" si="163"/>
        <v>1.312983544677791E+109</v>
      </c>
      <c r="LDA53" s="708">
        <f t="shared" si="163"/>
        <v>1.3523730510181248E+109</v>
      </c>
      <c r="LDB53" s="708">
        <f t="shared" si="163"/>
        <v>1.3929442425486686E+109</v>
      </c>
      <c r="LDC53" s="708">
        <f t="shared" si="163"/>
        <v>1.4347325698251286E+109</v>
      </c>
      <c r="LDD53" s="708">
        <f t="shared" si="163"/>
        <v>1.4777745469198826E+109</v>
      </c>
      <c r="LDE53" s="708">
        <f t="shared" si="163"/>
        <v>1.5221077833274791E+109</v>
      </c>
      <c r="LDF53" s="708">
        <f t="shared" si="163"/>
        <v>1.5677710168273036E+109</v>
      </c>
      <c r="LDG53" s="708">
        <f t="shared" si="163"/>
        <v>1.6148041473321228E+109</v>
      </c>
      <c r="LDH53" s="708">
        <f t="shared" si="163"/>
        <v>1.6632482717520865E+109</v>
      </c>
      <c r="LDI53" s="708">
        <f t="shared" si="163"/>
        <v>1.7131457199046491E+109</v>
      </c>
      <c r="LDJ53" s="708">
        <f t="shared" si="163"/>
        <v>1.7645400915017887E+109</v>
      </c>
      <c r="LDK53" s="708">
        <f t="shared" si="163"/>
        <v>1.8174762942468423E+109</v>
      </c>
      <c r="LDL53" s="708">
        <f t="shared" si="163"/>
        <v>1.8720005830742477E+109</v>
      </c>
      <c r="LDM53" s="708">
        <f t="shared" si="163"/>
        <v>1.9281606005664753E+109</v>
      </c>
      <c r="LDN53" s="708">
        <f t="shared" si="163"/>
        <v>1.9860054185834694E+109</v>
      </c>
      <c r="LDO53" s="708">
        <f t="shared" si="163"/>
        <v>2.0455855811409733E+109</v>
      </c>
      <c r="LDP53" s="708">
        <f t="shared" si="163"/>
        <v>2.1069531485752027E+109</v>
      </c>
      <c r="LDQ53" s="708">
        <f t="shared" si="163"/>
        <v>2.170161743032459E+109</v>
      </c>
      <c r="LDR53" s="708">
        <f t="shared" si="163"/>
        <v>2.2352665953234329E+109</v>
      </c>
      <c r="LDS53" s="708">
        <f t="shared" si="163"/>
        <v>2.3023245931831359E+109</v>
      </c>
      <c r="LDT53" s="708">
        <f t="shared" si="163"/>
        <v>2.3713943309786301E+109</v>
      </c>
      <c r="LDU53" s="708">
        <f t="shared" si="163"/>
        <v>2.4425361609079892E+109</v>
      </c>
      <c r="LDV53" s="708">
        <f t="shared" si="163"/>
        <v>2.5158122457352288E+109</v>
      </c>
      <c r="LDW53" s="708">
        <f t="shared" si="163"/>
        <v>2.5912866131072858E+109</v>
      </c>
      <c r="LDX53" s="708">
        <f t="shared" si="163"/>
        <v>2.6690252115005046E+109</v>
      </c>
      <c r="LDY53" s="708">
        <f t="shared" si="163"/>
        <v>2.7490959678455196E+109</v>
      </c>
      <c r="LDZ53" s="708">
        <f t="shared" si="163"/>
        <v>2.8315688468808854E+109</v>
      </c>
      <c r="LEA53" s="708">
        <f t="shared" si="163"/>
        <v>2.9165159122873121E+109</v>
      </c>
      <c r="LEB53" s="708">
        <f t="shared" si="163"/>
        <v>3.0040113896559315E+109</v>
      </c>
      <c r="LEC53" s="708">
        <f t="shared" si="163"/>
        <v>3.0941317313456097E+109</v>
      </c>
      <c r="LED53" s="708">
        <f t="shared" si="163"/>
        <v>3.1869556832859778E+109</v>
      </c>
      <c r="LEE53" s="708">
        <f t="shared" si="163"/>
        <v>3.2825643537845571E+109</v>
      </c>
      <c r="LEF53" s="708">
        <f t="shared" si="163"/>
        <v>3.3810412843980937E+109</v>
      </c>
      <c r="LEG53" s="708">
        <f t="shared" si="163"/>
        <v>3.4824725229300364E+109</v>
      </c>
      <c r="LEH53" s="708">
        <f t="shared" si="163"/>
        <v>3.5869466986179377E+109</v>
      </c>
      <c r="LEI53" s="708">
        <f t="shared" si="163"/>
        <v>3.694555099576476E+109</v>
      </c>
      <c r="LEJ53" s="708">
        <f t="shared" si="163"/>
        <v>3.8053917525637702E+109</v>
      </c>
      <c r="LEK53" s="708">
        <f t="shared" si="163"/>
        <v>3.9195535051406832E+109</v>
      </c>
      <c r="LEL53" s="708">
        <f t="shared" si="163"/>
        <v>4.037140110294904E+109</v>
      </c>
      <c r="LEM53" s="708">
        <f t="shared" si="163"/>
        <v>4.1582543136037513E+109</v>
      </c>
      <c r="LEN53" s="708">
        <f t="shared" si="163"/>
        <v>4.2830019430118642E+109</v>
      </c>
      <c r="LEO53" s="708">
        <f t="shared" si="163"/>
        <v>4.4114920013022198E+109</v>
      </c>
      <c r="LEP53" s="708">
        <f t="shared" si="163"/>
        <v>4.5438367613412867E+109</v>
      </c>
      <c r="LEQ53" s="708">
        <f t="shared" si="163"/>
        <v>4.6801518641815257E+109</v>
      </c>
      <c r="LER53" s="708">
        <f t="shared" si="163"/>
        <v>4.8205564201069717E+109</v>
      </c>
      <c r="LES53" s="708">
        <f t="shared" si="163"/>
        <v>4.9651731127101808E+109</v>
      </c>
      <c r="LET53" s="708">
        <f t="shared" ref="LET53:LHE53" si="164">LES53*$C$53</f>
        <v>5.1141283060914866E+109</v>
      </c>
      <c r="LEU53" s="708">
        <f t="shared" si="164"/>
        <v>5.2675521552742315E+109</v>
      </c>
      <c r="LEV53" s="708">
        <f t="shared" si="164"/>
        <v>5.4255787199324587E+109</v>
      </c>
      <c r="LEW53" s="708">
        <f t="shared" si="164"/>
        <v>5.588346081530433E+109</v>
      </c>
      <c r="LEX53" s="708">
        <f t="shared" si="164"/>
        <v>5.7559964639763464E+109</v>
      </c>
      <c r="LEY53" s="708">
        <f t="shared" si="164"/>
        <v>5.9286763578956368E+109</v>
      </c>
      <c r="LEZ53" s="708">
        <f t="shared" si="164"/>
        <v>6.1065366486325061E+109</v>
      </c>
      <c r="LFA53" s="708">
        <f t="shared" si="164"/>
        <v>6.2897327480914816E+109</v>
      </c>
      <c r="LFB53" s="708">
        <f t="shared" si="164"/>
        <v>6.4784247305342259E+109</v>
      </c>
      <c r="LFC53" s="708">
        <f t="shared" si="164"/>
        <v>6.672777472450253E+109</v>
      </c>
      <c r="LFD53" s="708">
        <f t="shared" si="164"/>
        <v>6.8729607966237604E+109</v>
      </c>
      <c r="LFE53" s="708">
        <f t="shared" si="164"/>
        <v>7.0791496205224734E+109</v>
      </c>
      <c r="LFF53" s="708">
        <f t="shared" si="164"/>
        <v>7.2915241091381481E+109</v>
      </c>
      <c r="LFG53" s="708">
        <f t="shared" si="164"/>
        <v>7.5102698324122927E+109</v>
      </c>
      <c r="LFH53" s="708">
        <f t="shared" si="164"/>
        <v>7.7355779273846622E+109</v>
      </c>
      <c r="LFI53" s="708">
        <f t="shared" si="164"/>
        <v>7.9676452652062019E+109</v>
      </c>
      <c r="LFJ53" s="708">
        <f t="shared" si="164"/>
        <v>8.2066746231623881E+109</v>
      </c>
      <c r="LFK53" s="708">
        <f t="shared" si="164"/>
        <v>8.4528748618572605E+109</v>
      </c>
      <c r="LFL53" s="708">
        <f t="shared" si="164"/>
        <v>8.706461107712978E+109</v>
      </c>
      <c r="LFM53" s="708">
        <f t="shared" si="164"/>
        <v>8.9676549409443672E+109</v>
      </c>
      <c r="LFN53" s="708">
        <f t="shared" si="164"/>
        <v>9.2366845891726993E+109</v>
      </c>
      <c r="LFO53" s="708">
        <f t="shared" si="164"/>
        <v>9.5137851268478805E+109</v>
      </c>
      <c r="LFP53" s="708">
        <f t="shared" si="164"/>
        <v>9.799198680653318E+109</v>
      </c>
      <c r="LFQ53" s="708">
        <f t="shared" si="164"/>
        <v>1.0093174641072917E+110</v>
      </c>
      <c r="LFR53" s="708">
        <f t="shared" si="164"/>
        <v>1.0395969880305105E+110</v>
      </c>
      <c r="LFS53" s="708">
        <f t="shared" si="164"/>
        <v>1.0707848976714258E+110</v>
      </c>
      <c r="LFT53" s="708">
        <f t="shared" si="164"/>
        <v>1.1029084446015686E+110</v>
      </c>
      <c r="LFU53" s="708">
        <f t="shared" si="164"/>
        <v>1.1359956979396156E+110</v>
      </c>
      <c r="LFV53" s="708">
        <f t="shared" si="164"/>
        <v>1.1700755688778041E+110</v>
      </c>
      <c r="LFW53" s="708">
        <f t="shared" si="164"/>
        <v>1.2051778359441384E+110</v>
      </c>
      <c r="LFX53" s="708">
        <f t="shared" si="164"/>
        <v>1.2413331710224626E+110</v>
      </c>
      <c r="LFY53" s="708">
        <f t="shared" si="164"/>
        <v>1.2785731661531366E+110</v>
      </c>
      <c r="LFZ53" s="708">
        <f t="shared" si="164"/>
        <v>1.3169303611377306E+110</v>
      </c>
      <c r="LGA53" s="708">
        <f t="shared" si="164"/>
        <v>1.3564382719718625E+110</v>
      </c>
      <c r="LGB53" s="708">
        <f t="shared" si="164"/>
        <v>1.3971314201310184E+110</v>
      </c>
      <c r="LGC53" s="708">
        <f t="shared" si="164"/>
        <v>1.4390453627349489E+110</v>
      </c>
      <c r="LGD53" s="708">
        <f t="shared" si="164"/>
        <v>1.4822167236169975E+110</v>
      </c>
      <c r="LGE53" s="708">
        <f t="shared" si="164"/>
        <v>1.5266832253255075E+110</v>
      </c>
      <c r="LGF53" s="708">
        <f t="shared" si="164"/>
        <v>1.5724837220852728E+110</v>
      </c>
      <c r="LGG53" s="708">
        <f t="shared" si="164"/>
        <v>1.619658233747831E+110</v>
      </c>
      <c r="LGH53" s="708">
        <f t="shared" si="164"/>
        <v>1.6682479807602659E+110</v>
      </c>
      <c r="LGI53" s="708">
        <f t="shared" si="164"/>
        <v>1.7182954201830738E+110</v>
      </c>
      <c r="LGJ53" s="708">
        <f t="shared" si="164"/>
        <v>1.7698442827885659E+110</v>
      </c>
      <c r="LGK53" s="708">
        <f t="shared" si="164"/>
        <v>1.8229396112722228E+110</v>
      </c>
      <c r="LGL53" s="708">
        <f t="shared" si="164"/>
        <v>1.8776277996103895E+110</v>
      </c>
      <c r="LGM53" s="708">
        <f t="shared" si="164"/>
        <v>1.9339566335987011E+110</v>
      </c>
      <c r="LGN53" s="708">
        <f t="shared" si="164"/>
        <v>1.9919753326066622E+110</v>
      </c>
      <c r="LGO53" s="708">
        <f t="shared" si="164"/>
        <v>2.0517345925848621E+110</v>
      </c>
      <c r="LGP53" s="708">
        <f t="shared" si="164"/>
        <v>2.113286630362408E+110</v>
      </c>
      <c r="LGQ53" s="708">
        <f t="shared" si="164"/>
        <v>2.1766852292732803E+110</v>
      </c>
      <c r="LGR53" s="708">
        <f t="shared" si="164"/>
        <v>2.2419857861514789E+110</v>
      </c>
      <c r="LGS53" s="708">
        <f t="shared" si="164"/>
        <v>2.3092453597360234E+110</v>
      </c>
      <c r="LGT53" s="708">
        <f t="shared" si="164"/>
        <v>2.3785227205281043E+110</v>
      </c>
      <c r="LGU53" s="708">
        <f t="shared" si="164"/>
        <v>2.4498784021439475E+110</v>
      </c>
      <c r="LGV53" s="708">
        <f t="shared" si="164"/>
        <v>2.523374754208266E+110</v>
      </c>
      <c r="LGW53" s="708">
        <f t="shared" si="164"/>
        <v>2.5990759968345139E+110</v>
      </c>
      <c r="LGX53" s="708">
        <f t="shared" si="164"/>
        <v>2.6770482767395495E+110</v>
      </c>
      <c r="LGY53" s="708">
        <f t="shared" si="164"/>
        <v>2.7573597250417359E+110</v>
      </c>
      <c r="LGZ53" s="708">
        <f t="shared" si="164"/>
        <v>2.8400805167929881E+110</v>
      </c>
      <c r="LHA53" s="708">
        <f t="shared" si="164"/>
        <v>2.9252829322967777E+110</v>
      </c>
      <c r="LHB53" s="708">
        <f t="shared" si="164"/>
        <v>3.013041420265681E+110</v>
      </c>
      <c r="LHC53" s="708">
        <f t="shared" si="164"/>
        <v>3.1034326628736515E+110</v>
      </c>
      <c r="LHD53" s="708">
        <f t="shared" si="164"/>
        <v>3.1965356427598609E+110</v>
      </c>
      <c r="LHE53" s="708">
        <f t="shared" si="164"/>
        <v>3.2924317120426569E+110</v>
      </c>
      <c r="LHF53" s="708">
        <f t="shared" ref="LHF53:LJQ53" si="165">LHE53*$C$53</f>
        <v>3.3912046634039365E+110</v>
      </c>
      <c r="LHG53" s="708">
        <f t="shared" si="165"/>
        <v>3.4929408033060545E+110</v>
      </c>
      <c r="LHH53" s="708">
        <f t="shared" si="165"/>
        <v>3.5977290274052359E+110</v>
      </c>
      <c r="LHI53" s="708">
        <f t="shared" si="165"/>
        <v>3.7056608982273934E+110</v>
      </c>
      <c r="LHJ53" s="708">
        <f t="shared" si="165"/>
        <v>3.8168307251742153E+110</v>
      </c>
      <c r="LHK53" s="708">
        <f t="shared" si="165"/>
        <v>3.9313356469294419E+110</v>
      </c>
      <c r="LHL53" s="708">
        <f t="shared" si="165"/>
        <v>4.0492757163373252E+110</v>
      </c>
      <c r="LHM53" s="708">
        <f t="shared" si="165"/>
        <v>4.1707539878274454E+110</v>
      </c>
      <c r="LHN53" s="708">
        <f t="shared" si="165"/>
        <v>4.2958766074622691E+110</v>
      </c>
      <c r="LHO53" s="708">
        <f t="shared" si="165"/>
        <v>4.4247529056861373E+110</v>
      </c>
      <c r="LHP53" s="708">
        <f t="shared" si="165"/>
        <v>4.5574954928567212E+110</v>
      </c>
      <c r="LHQ53" s="708">
        <f t="shared" si="165"/>
        <v>4.6942203576424232E+110</v>
      </c>
      <c r="LHR53" s="708">
        <f t="shared" si="165"/>
        <v>4.8350469683716958E+110</v>
      </c>
      <c r="LHS53" s="708">
        <f t="shared" si="165"/>
        <v>4.9800983774228468E+110</v>
      </c>
      <c r="LHT53" s="708">
        <f t="shared" si="165"/>
        <v>5.1295013287455324E+110</v>
      </c>
      <c r="LHU53" s="708">
        <f t="shared" si="165"/>
        <v>5.2833863686078986E+110</v>
      </c>
      <c r="LHV53" s="708">
        <f t="shared" si="165"/>
        <v>5.4418879596661357E+110</v>
      </c>
      <c r="LHW53" s="708">
        <f t="shared" si="165"/>
        <v>5.6051445984561198E+110</v>
      </c>
      <c r="LHX53" s="708">
        <f t="shared" si="165"/>
        <v>5.7732989364098033E+110</v>
      </c>
      <c r="LHY53" s="708">
        <f t="shared" si="165"/>
        <v>5.9464979045020973E+110</v>
      </c>
      <c r="LHZ53" s="708">
        <f t="shared" si="165"/>
        <v>6.1248928416371602E+110</v>
      </c>
      <c r="LIA53" s="708">
        <f t="shared" si="165"/>
        <v>6.3086396268862753E+110</v>
      </c>
      <c r="LIB53" s="708">
        <f t="shared" si="165"/>
        <v>6.4978988156928637E+110</v>
      </c>
      <c r="LIC53" s="708">
        <f t="shared" si="165"/>
        <v>6.6928357801636493E+110</v>
      </c>
      <c r="LID53" s="708">
        <f t="shared" si="165"/>
        <v>6.8936208535685583E+110</v>
      </c>
      <c r="LIE53" s="708">
        <f t="shared" si="165"/>
        <v>7.1004294791756153E+110</v>
      </c>
      <c r="LIF53" s="708">
        <f t="shared" si="165"/>
        <v>7.3134423635508845E+110</v>
      </c>
      <c r="LIG53" s="708">
        <f t="shared" si="165"/>
        <v>7.5328456344574111E+110</v>
      </c>
      <c r="LIH53" s="708">
        <f t="shared" si="165"/>
        <v>7.7588310034911336E+110</v>
      </c>
      <c r="LII53" s="708">
        <f t="shared" si="165"/>
        <v>7.9915959335958683E+110</v>
      </c>
      <c r="LIJ53" s="708">
        <f t="shared" si="165"/>
        <v>8.231343811603745E+110</v>
      </c>
      <c r="LIK53" s="708">
        <f t="shared" si="165"/>
        <v>8.4782841259518579E+110</v>
      </c>
      <c r="LIL53" s="708">
        <f t="shared" si="165"/>
        <v>8.7326326497304138E+110</v>
      </c>
      <c r="LIM53" s="708">
        <f t="shared" si="165"/>
        <v>8.9946116292223267E+110</v>
      </c>
      <c r="LIN53" s="708">
        <f t="shared" si="165"/>
        <v>9.2644499780989962E+110</v>
      </c>
      <c r="LIO53" s="708">
        <f t="shared" si="165"/>
        <v>9.5423834774419665E+110</v>
      </c>
      <c r="LIP53" s="708">
        <f t="shared" si="165"/>
        <v>9.8286549817652258E+110</v>
      </c>
      <c r="LIQ53" s="708">
        <f t="shared" si="165"/>
        <v>1.0123514631218182E+111</v>
      </c>
      <c r="LIR53" s="708">
        <f t="shared" si="165"/>
        <v>1.0427220070154729E+111</v>
      </c>
      <c r="LIS53" s="708">
        <f t="shared" si="165"/>
        <v>1.0740036672259371E+111</v>
      </c>
      <c r="LIT53" s="708">
        <f t="shared" si="165"/>
        <v>1.1062237772427152E+111</v>
      </c>
      <c r="LIU53" s="708">
        <f t="shared" si="165"/>
        <v>1.1394104905599967E+111</v>
      </c>
      <c r="LIV53" s="708">
        <f t="shared" si="165"/>
        <v>1.1735928052767967E+111</v>
      </c>
      <c r="LIW53" s="708">
        <f t="shared" si="165"/>
        <v>1.2088005894351006E+111</v>
      </c>
      <c r="LIX53" s="708">
        <f t="shared" si="165"/>
        <v>1.2450646071181536E+111</v>
      </c>
      <c r="LIY53" s="708">
        <f t="shared" si="165"/>
        <v>1.2824165453316983E+111</v>
      </c>
      <c r="LIZ53" s="708">
        <f t="shared" si="165"/>
        <v>1.3208890416916492E+111</v>
      </c>
      <c r="LJA53" s="708">
        <f t="shared" si="165"/>
        <v>1.3605157129423987E+111</v>
      </c>
      <c r="LJB53" s="708">
        <f t="shared" si="165"/>
        <v>1.4013311843306706E+111</v>
      </c>
      <c r="LJC53" s="708">
        <f t="shared" si="165"/>
        <v>1.4433711198605907E+111</v>
      </c>
      <c r="LJD53" s="708">
        <f t="shared" si="165"/>
        <v>1.4866722534564083E+111</v>
      </c>
      <c r="LJE53" s="708">
        <f t="shared" si="165"/>
        <v>1.5312724210601006E+111</v>
      </c>
      <c r="LJF53" s="708">
        <f t="shared" si="165"/>
        <v>1.5772105936919038E+111</v>
      </c>
      <c r="LJG53" s="708">
        <f t="shared" si="165"/>
        <v>1.6245269115026608E+111</v>
      </c>
      <c r="LJH53" s="708">
        <f t="shared" si="165"/>
        <v>1.6732627188477407E+111</v>
      </c>
      <c r="LJI53" s="708">
        <f t="shared" si="165"/>
        <v>1.723460600413173E+111</v>
      </c>
      <c r="LJJ53" s="708">
        <f t="shared" si="165"/>
        <v>1.7751644184255681E+111</v>
      </c>
      <c r="LJK53" s="708">
        <f t="shared" si="165"/>
        <v>1.8284193509783352E+111</v>
      </c>
      <c r="LJL53" s="708">
        <f t="shared" si="165"/>
        <v>1.8832719315076852E+111</v>
      </c>
      <c r="LJM53" s="708">
        <f t="shared" si="165"/>
        <v>1.9397700894529158E+111</v>
      </c>
      <c r="LJN53" s="708">
        <f t="shared" si="165"/>
        <v>1.9979631921365032E+111</v>
      </c>
      <c r="LJO53" s="708">
        <f t="shared" si="165"/>
        <v>2.0579020879005984E+111</v>
      </c>
      <c r="LJP53" s="708">
        <f t="shared" si="165"/>
        <v>2.1196391505376165E+111</v>
      </c>
      <c r="LJQ53" s="708">
        <f t="shared" si="165"/>
        <v>2.1832283250537451E+111</v>
      </c>
      <c r="LJR53" s="708">
        <f t="shared" ref="LJR53:LMC53" si="166">LJQ53*$C$53</f>
        <v>2.2487251748053575E+111</v>
      </c>
      <c r="LJS53" s="708">
        <f t="shared" si="166"/>
        <v>2.3161869300495183E+111</v>
      </c>
      <c r="LJT53" s="708">
        <f t="shared" si="166"/>
        <v>2.3856725379510039E+111</v>
      </c>
      <c r="LJU53" s="708">
        <f t="shared" si="166"/>
        <v>2.4572427140895344E+111</v>
      </c>
      <c r="LJV53" s="708">
        <f t="shared" si="166"/>
        <v>2.5309599955122205E+111</v>
      </c>
      <c r="LJW53" s="708">
        <f t="shared" si="166"/>
        <v>2.606888795377587E+111</v>
      </c>
      <c r="LJX53" s="708">
        <f t="shared" si="166"/>
        <v>2.6850954592389144E+111</v>
      </c>
      <c r="LJY53" s="708">
        <f t="shared" si="166"/>
        <v>2.7656483230160821E+111</v>
      </c>
      <c r="LJZ53" s="708">
        <f t="shared" si="166"/>
        <v>2.8486177727065644E+111</v>
      </c>
      <c r="LKA53" s="708">
        <f t="shared" si="166"/>
        <v>2.9340763058877611E+111</v>
      </c>
      <c r="LKB53" s="708">
        <f t="shared" si="166"/>
        <v>3.0220985950643943E+111</v>
      </c>
      <c r="LKC53" s="708">
        <f t="shared" si="166"/>
        <v>3.1127615529163262E+111</v>
      </c>
      <c r="LKD53" s="708">
        <f t="shared" si="166"/>
        <v>3.206144399503816E+111</v>
      </c>
      <c r="LKE53" s="708">
        <f t="shared" si="166"/>
        <v>3.3023287314889305E+111</v>
      </c>
      <c r="LKF53" s="708">
        <f t="shared" si="166"/>
        <v>3.4013985934335985E+111</v>
      </c>
      <c r="LKG53" s="708">
        <f t="shared" si="166"/>
        <v>3.5034405512366066E+111</v>
      </c>
      <c r="LKH53" s="708">
        <f t="shared" si="166"/>
        <v>3.608543767773705E+111</v>
      </c>
      <c r="LKI53" s="708">
        <f t="shared" si="166"/>
        <v>3.7168000808069164E+111</v>
      </c>
      <c r="LKJ53" s="708">
        <f t="shared" si="166"/>
        <v>3.8283040832311241E+111</v>
      </c>
      <c r="LKK53" s="708">
        <f t="shared" si="166"/>
        <v>3.9431532057280579E+111</v>
      </c>
      <c r="LKL53" s="708">
        <f t="shared" si="166"/>
        <v>4.0614478018998999E+111</v>
      </c>
      <c r="LKM53" s="708">
        <f t="shared" si="166"/>
        <v>4.1832912359568972E+111</v>
      </c>
      <c r="LKN53" s="708">
        <f t="shared" si="166"/>
        <v>4.3087899730356041E+111</v>
      </c>
      <c r="LKO53" s="708">
        <f t="shared" si="166"/>
        <v>4.4380536722266725E+111</v>
      </c>
      <c r="LKP53" s="708">
        <f t="shared" si="166"/>
        <v>4.5711952823934727E+111</v>
      </c>
      <c r="LKQ53" s="708">
        <f t="shared" si="166"/>
        <v>4.7083311408652771E+111</v>
      </c>
      <c r="LKR53" s="708">
        <f t="shared" si="166"/>
        <v>4.849581075091236E+111</v>
      </c>
      <c r="LKS53" s="708">
        <f t="shared" si="166"/>
        <v>4.9950685073439737E+111</v>
      </c>
      <c r="LKT53" s="708">
        <f t="shared" si="166"/>
        <v>5.1449205625642933E+111</v>
      </c>
      <c r="LKU53" s="708">
        <f t="shared" si="166"/>
        <v>5.2992681794412225E+111</v>
      </c>
      <c r="LKV53" s="708">
        <f t="shared" si="166"/>
        <v>5.4582462248244598E+111</v>
      </c>
      <c r="LKW53" s="708">
        <f t="shared" si="166"/>
        <v>5.6219936115691938E+111</v>
      </c>
      <c r="LKX53" s="708">
        <f t="shared" si="166"/>
        <v>5.7906534199162701E+111</v>
      </c>
      <c r="LKY53" s="708">
        <f t="shared" si="166"/>
        <v>5.9643730225137581E+111</v>
      </c>
      <c r="LKZ53" s="708">
        <f t="shared" si="166"/>
        <v>6.1433042131891706E+111</v>
      </c>
      <c r="LLA53" s="708">
        <f t="shared" si="166"/>
        <v>6.3276033395848455E+111</v>
      </c>
      <c r="LLB53" s="708">
        <f t="shared" si="166"/>
        <v>6.5174314397723914E+111</v>
      </c>
      <c r="LLC53" s="708">
        <f t="shared" si="166"/>
        <v>6.7129543829655635E+111</v>
      </c>
      <c r="LLD53" s="708">
        <f t="shared" si="166"/>
        <v>6.9143430144545311E+111</v>
      </c>
      <c r="LLE53" s="708">
        <f t="shared" si="166"/>
        <v>7.1217733048881673E+111</v>
      </c>
      <c r="LLF53" s="708">
        <f t="shared" si="166"/>
        <v>7.335426504034812E+111</v>
      </c>
      <c r="LLG53" s="708">
        <f t="shared" si="166"/>
        <v>7.555489299155857E+111</v>
      </c>
      <c r="LLH53" s="708">
        <f t="shared" si="166"/>
        <v>7.7821539781305333E+111</v>
      </c>
      <c r="LLI53" s="708">
        <f t="shared" si="166"/>
        <v>8.015618597474449E+111</v>
      </c>
      <c r="LLJ53" s="708">
        <f t="shared" si="166"/>
        <v>8.2560871553986825E+111</v>
      </c>
      <c r="LLK53" s="708">
        <f t="shared" si="166"/>
        <v>8.5037697700606431E+111</v>
      </c>
      <c r="LLL53" s="708">
        <f t="shared" si="166"/>
        <v>8.7588828631624631E+111</v>
      </c>
      <c r="LLM53" s="708">
        <f t="shared" si="166"/>
        <v>9.0216493490573376E+111</v>
      </c>
      <c r="LLN53" s="708">
        <f t="shared" si="166"/>
        <v>9.2922988295290577E+111</v>
      </c>
      <c r="LLO53" s="708">
        <f t="shared" si="166"/>
        <v>9.5710677944149293E+111</v>
      </c>
      <c r="LLP53" s="708">
        <f t="shared" si="166"/>
        <v>9.8581998282473779E+111</v>
      </c>
      <c r="LLQ53" s="708">
        <f t="shared" si="166"/>
        <v>1.0153945823094799E+112</v>
      </c>
      <c r="LLR53" s="708">
        <f t="shared" si="166"/>
        <v>1.0458564197787643E+112</v>
      </c>
      <c r="LLS53" s="708">
        <f t="shared" si="166"/>
        <v>1.0772321123721274E+112</v>
      </c>
      <c r="LLT53" s="708">
        <f t="shared" si="166"/>
        <v>1.1095490757432913E+112</v>
      </c>
      <c r="LLU53" s="708">
        <f t="shared" si="166"/>
        <v>1.1428355480155902E+112</v>
      </c>
      <c r="LLV53" s="708">
        <f t="shared" si="166"/>
        <v>1.177120614456058E+112</v>
      </c>
      <c r="LLW53" s="708">
        <f t="shared" si="166"/>
        <v>1.2124342328897396E+112</v>
      </c>
      <c r="LLX53" s="708">
        <f t="shared" si="166"/>
        <v>1.2488072598764318E+112</v>
      </c>
      <c r="LLY53" s="708">
        <f t="shared" si="166"/>
        <v>1.2862714776727249E+112</v>
      </c>
      <c r="LLZ53" s="708">
        <f t="shared" si="166"/>
        <v>1.3248596220029067E+112</v>
      </c>
      <c r="LMA53" s="708">
        <f t="shared" si="166"/>
        <v>1.364605410662994E+112</v>
      </c>
      <c r="LMB53" s="708">
        <f t="shared" si="166"/>
        <v>1.4055435729828837E+112</v>
      </c>
      <c r="LMC53" s="708">
        <f t="shared" si="166"/>
        <v>1.4477098801723703E+112</v>
      </c>
      <c r="LMD53" s="708">
        <f t="shared" ref="LMD53:LOO53" si="167">LMC53*$C$53</f>
        <v>1.4911411765775415E+112</v>
      </c>
      <c r="LME53" s="708">
        <f t="shared" si="167"/>
        <v>1.5358754118748678E+112</v>
      </c>
      <c r="LMF53" s="708">
        <f t="shared" si="167"/>
        <v>1.5819516742311138E+112</v>
      </c>
      <c r="LMG53" s="708">
        <f t="shared" si="167"/>
        <v>1.6294102244580472E+112</v>
      </c>
      <c r="LMH53" s="708">
        <f t="shared" si="167"/>
        <v>1.6782925311917887E+112</v>
      </c>
      <c r="LMI53" s="708">
        <f t="shared" si="167"/>
        <v>1.7286413071275425E+112</v>
      </c>
      <c r="LMJ53" s="708">
        <f t="shared" si="167"/>
        <v>1.7805005463413688E+112</v>
      </c>
      <c r="LMK53" s="708">
        <f t="shared" si="167"/>
        <v>1.8339155627316099E+112</v>
      </c>
      <c r="LML53" s="708">
        <f t="shared" si="167"/>
        <v>1.8889330296135583E+112</v>
      </c>
      <c r="LMM53" s="708">
        <f t="shared" si="167"/>
        <v>1.9456010205019653E+112</v>
      </c>
      <c r="LMN53" s="708">
        <f t="shared" si="167"/>
        <v>2.0039690511170243E+112</v>
      </c>
      <c r="LMO53" s="708">
        <f t="shared" si="167"/>
        <v>2.064088122650535E+112</v>
      </c>
      <c r="LMP53" s="708">
        <f t="shared" si="167"/>
        <v>2.126010766330051E+112</v>
      </c>
      <c r="LMQ53" s="708">
        <f t="shared" si="167"/>
        <v>2.1897910893199527E+112</v>
      </c>
      <c r="LMR53" s="708">
        <f t="shared" si="167"/>
        <v>2.2554848219995515E+112</v>
      </c>
      <c r="LMS53" s="708">
        <f t="shared" si="167"/>
        <v>2.3231493666595382E+112</v>
      </c>
      <c r="LMT53" s="708">
        <f t="shared" si="167"/>
        <v>2.3928438476593244E+112</v>
      </c>
      <c r="LMU53" s="708">
        <f t="shared" si="167"/>
        <v>2.4646291630891044E+112</v>
      </c>
      <c r="LMV53" s="708">
        <f t="shared" si="167"/>
        <v>2.5385680379817775E+112</v>
      </c>
      <c r="LMW53" s="708">
        <f t="shared" si="167"/>
        <v>2.6147250791212309E+112</v>
      </c>
      <c r="LMX53" s="708">
        <f t="shared" si="167"/>
        <v>2.6931668314948677E+112</v>
      </c>
      <c r="LMY53" s="708">
        <f t="shared" si="167"/>
        <v>2.7739618364397139E+112</v>
      </c>
      <c r="LMZ53" s="708">
        <f t="shared" si="167"/>
        <v>2.8571806915329056E+112</v>
      </c>
      <c r="LNA53" s="708">
        <f t="shared" si="167"/>
        <v>2.942896112278893E+112</v>
      </c>
      <c r="LNB53" s="708">
        <f t="shared" si="167"/>
        <v>3.03118299564726E+112</v>
      </c>
      <c r="LNC53" s="708">
        <f t="shared" si="167"/>
        <v>3.122118485516678E+112</v>
      </c>
      <c r="LND53" s="708">
        <f t="shared" si="167"/>
        <v>3.2157820400821784E+112</v>
      </c>
      <c r="LNE53" s="708">
        <f t="shared" si="167"/>
        <v>3.312255501284644E+112</v>
      </c>
      <c r="LNF53" s="708">
        <f t="shared" si="167"/>
        <v>3.4116231663231833E+112</v>
      </c>
      <c r="LNG53" s="708">
        <f t="shared" si="167"/>
        <v>3.5139718613128789E+112</v>
      </c>
      <c r="LNH53" s="708">
        <f t="shared" si="167"/>
        <v>3.6193910171522655E+112</v>
      </c>
      <c r="LNI53" s="708">
        <f t="shared" si="167"/>
        <v>3.7279727476668336E+112</v>
      </c>
      <c r="LNJ53" s="708">
        <f t="shared" si="167"/>
        <v>3.8398119300968387E+112</v>
      </c>
      <c r="LNK53" s="708">
        <f t="shared" si="167"/>
        <v>3.955006287999744E+112</v>
      </c>
      <c r="LNL53" s="708">
        <f t="shared" si="167"/>
        <v>4.0736564766397361E+112</v>
      </c>
      <c r="LNM53" s="708">
        <f t="shared" si="167"/>
        <v>4.1958661709389287E+112</v>
      </c>
      <c r="LNN53" s="708">
        <f t="shared" si="167"/>
        <v>4.3217421560670969E+112</v>
      </c>
      <c r="LNO53" s="708">
        <f t="shared" si="167"/>
        <v>4.4513944207491102E+112</v>
      </c>
      <c r="LNP53" s="708">
        <f t="shared" si="167"/>
        <v>4.5849362533715834E+112</v>
      </c>
      <c r="LNQ53" s="708">
        <f t="shared" si="167"/>
        <v>4.722484340972731E+112</v>
      </c>
      <c r="LNR53" s="708">
        <f t="shared" si="167"/>
        <v>4.8641588712019134E+112</v>
      </c>
      <c r="LNS53" s="708">
        <f t="shared" si="167"/>
        <v>5.0100836373379706E+112</v>
      </c>
      <c r="LNT53" s="708">
        <f t="shared" si="167"/>
        <v>5.1603861464581098E+112</v>
      </c>
      <c r="LNU53" s="708">
        <f t="shared" si="167"/>
        <v>5.3151977308518531E+112</v>
      </c>
      <c r="LNV53" s="708">
        <f t="shared" si="167"/>
        <v>5.474653662777409E+112</v>
      </c>
      <c r="LNW53" s="708">
        <f t="shared" si="167"/>
        <v>5.6388932726607311E+112</v>
      </c>
      <c r="LNX53" s="708">
        <f t="shared" si="167"/>
        <v>5.8080600708405531E+112</v>
      </c>
      <c r="LNY53" s="708">
        <f t="shared" si="167"/>
        <v>5.9823018729657699E+112</v>
      </c>
      <c r="LNZ53" s="708">
        <f t="shared" si="167"/>
        <v>6.1617709291547428E+112</v>
      </c>
      <c r="LOA53" s="708">
        <f t="shared" si="167"/>
        <v>6.3466240570293855E+112</v>
      </c>
      <c r="LOB53" s="708">
        <f t="shared" si="167"/>
        <v>6.5370227787402674E+112</v>
      </c>
      <c r="LOC53" s="708">
        <f t="shared" si="167"/>
        <v>6.7331334621024758E+112</v>
      </c>
      <c r="LOD53" s="708">
        <f t="shared" si="167"/>
        <v>6.9351274659655502E+112</v>
      </c>
      <c r="LOE53" s="708">
        <f t="shared" si="167"/>
        <v>7.1431812899445167E+112</v>
      </c>
      <c r="LOF53" s="708">
        <f t="shared" si="167"/>
        <v>7.357476728642852E+112</v>
      </c>
      <c r="LOG53" s="708">
        <f t="shared" si="167"/>
        <v>7.5782010305021375E+112</v>
      </c>
      <c r="LOH53" s="708">
        <f t="shared" si="167"/>
        <v>7.8055470614172022E+112</v>
      </c>
      <c r="LOI53" s="708">
        <f t="shared" si="167"/>
        <v>8.0397134732597186E+112</v>
      </c>
      <c r="LOJ53" s="708">
        <f t="shared" si="167"/>
        <v>8.2809048774575098E+112</v>
      </c>
      <c r="LOK53" s="708">
        <f t="shared" si="167"/>
        <v>8.5293320237812361E+112</v>
      </c>
      <c r="LOL53" s="708">
        <f t="shared" si="167"/>
        <v>8.7852119844946742E+112</v>
      </c>
      <c r="LOM53" s="708">
        <f t="shared" si="167"/>
        <v>9.0487683440295142E+112</v>
      </c>
      <c r="LON53" s="708">
        <f t="shared" si="167"/>
        <v>9.3202313943504005E+112</v>
      </c>
      <c r="LOO53" s="708">
        <f t="shared" si="167"/>
        <v>9.5998383361809123E+112</v>
      </c>
      <c r="LOP53" s="708">
        <f t="shared" ref="LOP53:LRA53" si="168">LOO53*$C$53</f>
        <v>9.8878334862663397E+112</v>
      </c>
      <c r="LOQ53" s="708">
        <f t="shared" si="168"/>
        <v>1.018446849085433E+113</v>
      </c>
      <c r="LOR53" s="708">
        <f t="shared" si="168"/>
        <v>1.0490002545579961E+113</v>
      </c>
      <c r="LOS53" s="708">
        <f t="shared" si="168"/>
        <v>1.080470262194736E+113</v>
      </c>
      <c r="LOT53" s="708">
        <f t="shared" si="168"/>
        <v>1.112884370060578E+113</v>
      </c>
      <c r="LOU53" s="708">
        <f t="shared" si="168"/>
        <v>1.1462709011623955E+113</v>
      </c>
      <c r="LOV53" s="708">
        <f t="shared" si="168"/>
        <v>1.1806590281972673E+113</v>
      </c>
      <c r="LOW53" s="708">
        <f t="shared" si="168"/>
        <v>1.2160787990431854E+113</v>
      </c>
      <c r="LOX53" s="708">
        <f t="shared" si="168"/>
        <v>1.2525611630144809E+113</v>
      </c>
      <c r="LOY53" s="708">
        <f t="shared" si="168"/>
        <v>1.2901379979049154E+113</v>
      </c>
      <c r="LOZ53" s="708">
        <f t="shared" si="168"/>
        <v>1.3288421378420629E+113</v>
      </c>
      <c r="LPA53" s="708">
        <f t="shared" si="168"/>
        <v>1.3687074019773248E+113</v>
      </c>
      <c r="LPB53" s="708">
        <f t="shared" si="168"/>
        <v>1.4097686240366446E+113</v>
      </c>
      <c r="LPC53" s="708">
        <f t="shared" si="168"/>
        <v>1.452061682757744E+113</v>
      </c>
      <c r="LPD53" s="708">
        <f t="shared" si="168"/>
        <v>1.4956235332404763E+113</v>
      </c>
      <c r="LPE53" s="708">
        <f t="shared" si="168"/>
        <v>1.5404922392376905E+113</v>
      </c>
      <c r="LPF53" s="708">
        <f t="shared" si="168"/>
        <v>1.5867070064148211E+113</v>
      </c>
      <c r="LPG53" s="708">
        <f t="shared" si="168"/>
        <v>1.6343082166072657E+113</v>
      </c>
      <c r="LPH53" s="708">
        <f t="shared" si="168"/>
        <v>1.6833374631054838E+113</v>
      </c>
      <c r="LPI53" s="708">
        <f t="shared" si="168"/>
        <v>1.7338375869986482E+113</v>
      </c>
      <c r="LPJ53" s="708">
        <f t="shared" si="168"/>
        <v>1.7858527146086078E+113</v>
      </c>
      <c r="LPK53" s="708">
        <f t="shared" si="168"/>
        <v>1.8394282960468662E+113</v>
      </c>
      <c r="LPL53" s="708">
        <f t="shared" si="168"/>
        <v>1.8946111449282724E+113</v>
      </c>
      <c r="LPM53" s="708">
        <f t="shared" si="168"/>
        <v>1.9514494792761207E+113</v>
      </c>
      <c r="LPN53" s="708">
        <f t="shared" si="168"/>
        <v>2.0099929636544043E+113</v>
      </c>
      <c r="LPO53" s="708">
        <f t="shared" si="168"/>
        <v>2.0702927525640364E+113</v>
      </c>
      <c r="LPP53" s="708">
        <f t="shared" si="168"/>
        <v>2.1324015351409577E+113</v>
      </c>
      <c r="LPQ53" s="708">
        <f t="shared" si="168"/>
        <v>2.1963735811951865E+113</v>
      </c>
      <c r="LPR53" s="708">
        <f t="shared" si="168"/>
        <v>2.2622647886310422E+113</v>
      </c>
      <c r="LPS53" s="708">
        <f t="shared" si="168"/>
        <v>2.3301327322899737E+113</v>
      </c>
      <c r="LPT53" s="708">
        <f t="shared" si="168"/>
        <v>2.400036714258673E+113</v>
      </c>
      <c r="LPU53" s="708">
        <f t="shared" si="168"/>
        <v>2.4720378156864332E+113</v>
      </c>
      <c r="LPV53" s="708">
        <f t="shared" si="168"/>
        <v>2.5461989501570264E+113</v>
      </c>
      <c r="LPW53" s="708">
        <f t="shared" si="168"/>
        <v>2.6225849186617373E+113</v>
      </c>
      <c r="LPX53" s="708">
        <f t="shared" si="168"/>
        <v>2.7012624662215895E+113</v>
      </c>
      <c r="LPY53" s="708">
        <f t="shared" si="168"/>
        <v>2.7823003402082372E+113</v>
      </c>
      <c r="LPZ53" s="708">
        <f t="shared" si="168"/>
        <v>2.8657693504144843E+113</v>
      </c>
      <c r="LQA53" s="708">
        <f t="shared" si="168"/>
        <v>2.9517424309269189E+113</v>
      </c>
      <c r="LQB53" s="708">
        <f t="shared" si="168"/>
        <v>3.0402947038547264E+113</v>
      </c>
      <c r="LQC53" s="708">
        <f t="shared" si="168"/>
        <v>3.1315035449703681E+113</v>
      </c>
      <c r="LQD53" s="708">
        <f t="shared" si="168"/>
        <v>3.2254486513194791E+113</v>
      </c>
      <c r="LQE53" s="708">
        <f t="shared" si="168"/>
        <v>3.3222121108590636E+113</v>
      </c>
      <c r="LQF53" s="708">
        <f t="shared" si="168"/>
        <v>3.4218784741848357E+113</v>
      </c>
      <c r="LQG53" s="708">
        <f t="shared" si="168"/>
        <v>3.5245348284103806E+113</v>
      </c>
      <c r="LQH53" s="708">
        <f t="shared" si="168"/>
        <v>3.6302708732626921E+113</v>
      </c>
      <c r="LQI53" s="708">
        <f t="shared" si="168"/>
        <v>3.7391789994605727E+113</v>
      </c>
      <c r="LQJ53" s="708">
        <f t="shared" si="168"/>
        <v>3.85135436944439E+113</v>
      </c>
      <c r="LQK53" s="708">
        <f t="shared" si="168"/>
        <v>3.9668950005277219E+113</v>
      </c>
      <c r="LQL53" s="708">
        <f t="shared" si="168"/>
        <v>4.0859018505435536E+113</v>
      </c>
      <c r="LQM53" s="708">
        <f t="shared" si="168"/>
        <v>4.2084789060598604E+113</v>
      </c>
      <c r="LQN53" s="708">
        <f t="shared" si="168"/>
        <v>4.3347332732416565E+113</v>
      </c>
      <c r="LQO53" s="708">
        <f t="shared" si="168"/>
        <v>4.4647752714389061E+113</v>
      </c>
      <c r="LQP53" s="708">
        <f t="shared" si="168"/>
        <v>4.5987185295820733E+113</v>
      </c>
      <c r="LQQ53" s="708">
        <f t="shared" si="168"/>
        <v>4.7366800854695359E+113</v>
      </c>
      <c r="LQR53" s="708">
        <f t="shared" si="168"/>
        <v>4.878780488033622E+113</v>
      </c>
      <c r="LQS53" s="708">
        <f t="shared" si="168"/>
        <v>5.0251439026746305E+113</v>
      </c>
      <c r="LQT53" s="708">
        <f t="shared" si="168"/>
        <v>5.1758982197548698E+113</v>
      </c>
      <c r="LQU53" s="708">
        <f t="shared" si="168"/>
        <v>5.3311751663475157E+113</v>
      </c>
      <c r="LQV53" s="708">
        <f t="shared" si="168"/>
        <v>5.4911104213379412E+113</v>
      </c>
      <c r="LQW53" s="708">
        <f t="shared" si="168"/>
        <v>5.6558437339780794E+113</v>
      </c>
      <c r="LQX53" s="708">
        <f t="shared" si="168"/>
        <v>5.8255190459974221E+113</v>
      </c>
      <c r="LQY53" s="708">
        <f t="shared" si="168"/>
        <v>6.0002846173773452E+113</v>
      </c>
      <c r="LQZ53" s="708">
        <f t="shared" si="168"/>
        <v>6.1802931558986655E+113</v>
      </c>
      <c r="LRA53" s="708">
        <f t="shared" si="168"/>
        <v>6.3657019505756254E+113</v>
      </c>
      <c r="LRB53" s="708">
        <f t="shared" ref="LRB53:LTM53" si="169">LRA53*$C$53</f>
        <v>6.5566730090928937E+113</v>
      </c>
      <c r="LRC53" s="708">
        <f t="shared" si="169"/>
        <v>6.753373199365681E+113</v>
      </c>
      <c r="LRD53" s="708">
        <f t="shared" si="169"/>
        <v>6.955974395346651E+113</v>
      </c>
      <c r="LRE53" s="708">
        <f t="shared" si="169"/>
        <v>7.1646536272070512E+113</v>
      </c>
      <c r="LRF53" s="708">
        <f t="shared" si="169"/>
        <v>7.3795932360232634E+113</v>
      </c>
      <c r="LRG53" s="708">
        <f t="shared" si="169"/>
        <v>7.6009810331039616E+113</v>
      </c>
      <c r="LRH53" s="708">
        <f t="shared" si="169"/>
        <v>7.8290104640970802E+113</v>
      </c>
      <c r="LRI53" s="708">
        <f t="shared" si="169"/>
        <v>8.0638807780199925E+113</v>
      </c>
      <c r="LRJ53" s="708">
        <f t="shared" si="169"/>
        <v>8.3057972013605925E+113</v>
      </c>
      <c r="LRK53" s="708">
        <f t="shared" si="169"/>
        <v>8.5549711174014102E+113</v>
      </c>
      <c r="LRL53" s="708">
        <f t="shared" si="169"/>
        <v>8.8116202509234527E+113</v>
      </c>
      <c r="LRM53" s="708">
        <f t="shared" si="169"/>
        <v>9.0759688584511566E+113</v>
      </c>
      <c r="LRN53" s="708">
        <f t="shared" si="169"/>
        <v>9.3482479242046914E+113</v>
      </c>
      <c r="LRO53" s="708">
        <f t="shared" si="169"/>
        <v>9.6286953619308323E+113</v>
      </c>
      <c r="LRP53" s="708">
        <f t="shared" si="169"/>
        <v>9.917556222788757E+113</v>
      </c>
      <c r="LRQ53" s="708">
        <f t="shared" si="169"/>
        <v>1.021508290947242E+114</v>
      </c>
      <c r="LRR53" s="708">
        <f t="shared" si="169"/>
        <v>1.0521535396756593E+114</v>
      </c>
      <c r="LRS53" s="708">
        <f t="shared" si="169"/>
        <v>1.0837181458659292E+114</v>
      </c>
      <c r="LRT53" s="708">
        <f t="shared" si="169"/>
        <v>1.1162296902419071E+114</v>
      </c>
      <c r="LRU53" s="708">
        <f t="shared" si="169"/>
        <v>1.1497165809491643E+114</v>
      </c>
      <c r="LRV53" s="708">
        <f t="shared" si="169"/>
        <v>1.1842080783776393E+114</v>
      </c>
      <c r="LRW53" s="708">
        <f t="shared" si="169"/>
        <v>1.2197343207289685E+114</v>
      </c>
      <c r="LRX53" s="708">
        <f t="shared" si="169"/>
        <v>1.2563263503508376E+114</v>
      </c>
      <c r="LRY53" s="708">
        <f t="shared" si="169"/>
        <v>1.2940161408613628E+114</v>
      </c>
      <c r="LRZ53" s="708">
        <f t="shared" si="169"/>
        <v>1.3328366250872038E+114</v>
      </c>
      <c r="LSA53" s="708">
        <f t="shared" si="169"/>
        <v>1.37282172383982E+114</v>
      </c>
      <c r="LSB53" s="708">
        <f t="shared" si="169"/>
        <v>1.4140063755550146E+114</v>
      </c>
      <c r="LSC53" s="708">
        <f t="shared" si="169"/>
        <v>1.4564265668216652E+114</v>
      </c>
      <c r="LSD53" s="708">
        <f t="shared" si="169"/>
        <v>1.5001193638263152E+114</v>
      </c>
      <c r="LSE53" s="708">
        <f t="shared" si="169"/>
        <v>1.5451229447411046E+114</v>
      </c>
      <c r="LSF53" s="708">
        <f t="shared" si="169"/>
        <v>1.5914766330833377E+114</v>
      </c>
      <c r="LSG53" s="708">
        <f t="shared" si="169"/>
        <v>1.6392209320758379E+114</v>
      </c>
      <c r="LSH53" s="708">
        <f t="shared" si="169"/>
        <v>1.6883975600381132E+114</v>
      </c>
      <c r="LSI53" s="708">
        <f t="shared" si="169"/>
        <v>1.7390494868392566E+114</v>
      </c>
      <c r="LSJ53" s="708">
        <f t="shared" si="169"/>
        <v>1.7912209714444345E+114</v>
      </c>
      <c r="LSK53" s="708">
        <f t="shared" si="169"/>
        <v>1.8449576005877675E+114</v>
      </c>
      <c r="LSL53" s="708">
        <f t="shared" si="169"/>
        <v>1.9003063286054005E+114</v>
      </c>
      <c r="LSM53" s="708">
        <f t="shared" si="169"/>
        <v>1.9573155184635626E+114</v>
      </c>
      <c r="LSN53" s="708">
        <f t="shared" si="169"/>
        <v>2.0160349840174694E+114</v>
      </c>
      <c r="LSO53" s="708">
        <f t="shared" si="169"/>
        <v>2.0765160335379937E+114</v>
      </c>
      <c r="LSP53" s="708">
        <f t="shared" si="169"/>
        <v>2.1388115145441334E+114</v>
      </c>
      <c r="LSQ53" s="708">
        <f t="shared" si="169"/>
        <v>2.2029758599804575E+114</v>
      </c>
      <c r="LSR53" s="708">
        <f t="shared" si="169"/>
        <v>2.2690651357798714E+114</v>
      </c>
      <c r="LSS53" s="708">
        <f t="shared" si="169"/>
        <v>2.3371370898532674E+114</v>
      </c>
      <c r="LST53" s="708">
        <f t="shared" si="169"/>
        <v>2.4072512025488656E+114</v>
      </c>
      <c r="LSU53" s="708">
        <f t="shared" si="169"/>
        <v>2.4794687386253315E+114</v>
      </c>
      <c r="LSV53" s="708">
        <f t="shared" si="169"/>
        <v>2.5538528007840918E+114</v>
      </c>
      <c r="LSW53" s="708">
        <f t="shared" si="169"/>
        <v>2.6304683848076147E+114</v>
      </c>
      <c r="LSX53" s="708">
        <f t="shared" si="169"/>
        <v>2.709382436351843E+114</v>
      </c>
      <c r="LSY53" s="708">
        <f t="shared" si="169"/>
        <v>2.7906639094423985E+114</v>
      </c>
      <c r="LSZ53" s="708">
        <f t="shared" si="169"/>
        <v>2.8743838267256705E+114</v>
      </c>
      <c r="LTA53" s="708">
        <f t="shared" si="169"/>
        <v>2.9606153415274409E+114</v>
      </c>
      <c r="LTB53" s="708">
        <f t="shared" si="169"/>
        <v>3.0494338017732641E+114</v>
      </c>
      <c r="LTC53" s="708">
        <f t="shared" si="169"/>
        <v>3.140916815826462E+114</v>
      </c>
      <c r="LTD53" s="708">
        <f t="shared" si="169"/>
        <v>3.235144320301256E+114</v>
      </c>
      <c r="LTE53" s="708">
        <f t="shared" si="169"/>
        <v>3.332198649910294E+114</v>
      </c>
      <c r="LTF53" s="708">
        <f t="shared" si="169"/>
        <v>3.432164609407603E+114</v>
      </c>
      <c r="LTG53" s="708">
        <f t="shared" si="169"/>
        <v>3.5351295476898311E+114</v>
      </c>
      <c r="LTH53" s="708">
        <f t="shared" si="169"/>
        <v>3.6411834341205262E+114</v>
      </c>
      <c r="LTI53" s="708">
        <f t="shared" si="169"/>
        <v>3.7504189371441423E+114</v>
      </c>
      <c r="LTJ53" s="708">
        <f t="shared" si="169"/>
        <v>3.8629315052584664E+114</v>
      </c>
      <c r="LTK53" s="708">
        <f t="shared" si="169"/>
        <v>3.9788194504162208E+114</v>
      </c>
      <c r="LTL53" s="708">
        <f t="shared" si="169"/>
        <v>4.0981840339287076E+114</v>
      </c>
      <c r="LTM53" s="708">
        <f t="shared" si="169"/>
        <v>4.2211295549465691E+114</v>
      </c>
      <c r="LTN53" s="708">
        <f t="shared" ref="LTN53:LVY53" si="170">LTM53*$C$53</f>
        <v>4.3477634415949663E+114</v>
      </c>
      <c r="LTO53" s="708">
        <f t="shared" si="170"/>
        <v>4.4781963448428155E+114</v>
      </c>
      <c r="LTP53" s="708">
        <f t="shared" si="170"/>
        <v>4.6125422351880999E+114</v>
      </c>
      <c r="LTQ53" s="708">
        <f t="shared" si="170"/>
        <v>4.7509185022437429E+114</v>
      </c>
      <c r="LTR53" s="708">
        <f t="shared" si="170"/>
        <v>4.8934460573110552E+114</v>
      </c>
      <c r="LTS53" s="708">
        <f t="shared" si="170"/>
        <v>5.0402494390303875E+114</v>
      </c>
      <c r="LTT53" s="708">
        <f t="shared" si="170"/>
        <v>5.1914569222012991E+114</v>
      </c>
      <c r="LTU53" s="708">
        <f t="shared" si="170"/>
        <v>5.347200629867338E+114</v>
      </c>
      <c r="LTV53" s="708">
        <f t="shared" si="170"/>
        <v>5.5076166487633579E+114</v>
      </c>
      <c r="LTW53" s="708">
        <f t="shared" si="170"/>
        <v>5.6728451482262592E+114</v>
      </c>
      <c r="LTX53" s="708">
        <f t="shared" si="170"/>
        <v>5.8430305026730474E+114</v>
      </c>
      <c r="LTY53" s="708">
        <f t="shared" si="170"/>
        <v>6.0183214177532392E+114</v>
      </c>
      <c r="LTZ53" s="708">
        <f t="shared" si="170"/>
        <v>6.198871060285837E+114</v>
      </c>
      <c r="LUA53" s="708">
        <f t="shared" si="170"/>
        <v>6.3848371920944119E+114</v>
      </c>
      <c r="LUB53" s="708">
        <f t="shared" si="170"/>
        <v>6.5763823078572444E+114</v>
      </c>
      <c r="LUC53" s="708">
        <f t="shared" si="170"/>
        <v>6.7736737770929619E+114</v>
      </c>
      <c r="LUD53" s="708">
        <f t="shared" si="170"/>
        <v>6.9768839904057504E+114</v>
      </c>
      <c r="LUE53" s="708">
        <f t="shared" si="170"/>
        <v>7.1861905101179235E+114</v>
      </c>
      <c r="LUF53" s="708">
        <f t="shared" si="170"/>
        <v>7.4017762254214611E+114</v>
      </c>
      <c r="LUG53" s="708">
        <f t="shared" si="170"/>
        <v>7.6238295121841057E+114</v>
      </c>
      <c r="LUH53" s="708">
        <f t="shared" si="170"/>
        <v>7.8525443975496287E+114</v>
      </c>
      <c r="LUI53" s="708">
        <f t="shared" si="170"/>
        <v>8.0881207294761177E+114</v>
      </c>
      <c r="LUJ53" s="708">
        <f t="shared" si="170"/>
        <v>8.3307643513604013E+114</v>
      </c>
      <c r="LUK53" s="708">
        <f t="shared" si="170"/>
        <v>8.5806872819012132E+114</v>
      </c>
      <c r="LUL53" s="708">
        <f t="shared" si="170"/>
        <v>8.8381079003582503E+114</v>
      </c>
      <c r="LUM53" s="708">
        <f t="shared" si="170"/>
        <v>9.1032511373689981E+114</v>
      </c>
      <c r="LUN53" s="708">
        <f t="shared" si="170"/>
        <v>9.3763486714900679E+114</v>
      </c>
      <c r="LUO53" s="708">
        <f t="shared" si="170"/>
        <v>9.65763913163477E+114</v>
      </c>
      <c r="LUP53" s="708">
        <f t="shared" si="170"/>
        <v>9.947368305583814E+114</v>
      </c>
      <c r="LUQ53" s="708">
        <f t="shared" si="170"/>
        <v>1.0245789354751329E+115</v>
      </c>
      <c r="LUR53" s="708">
        <f t="shared" si="170"/>
        <v>1.0553163035393869E+115</v>
      </c>
      <c r="LUS53" s="708">
        <f t="shared" si="170"/>
        <v>1.0869757926455686E+115</v>
      </c>
      <c r="LUT53" s="708">
        <f t="shared" si="170"/>
        <v>1.1195850664249356E+115</v>
      </c>
      <c r="LUU53" s="708">
        <f t="shared" si="170"/>
        <v>1.1531726184176838E+115</v>
      </c>
      <c r="LUV53" s="708">
        <f t="shared" si="170"/>
        <v>1.1877677969702144E+115</v>
      </c>
      <c r="LUW53" s="708">
        <f t="shared" si="170"/>
        <v>1.223400830879321E+115</v>
      </c>
      <c r="LUX53" s="708">
        <f t="shared" si="170"/>
        <v>1.2601028558057006E+115</v>
      </c>
      <c r="LUY53" s="708">
        <f t="shared" si="170"/>
        <v>1.2979059414798716E+115</v>
      </c>
      <c r="LUZ53" s="708">
        <f t="shared" si="170"/>
        <v>1.3368431197242677E+115</v>
      </c>
      <c r="LVA53" s="708">
        <f t="shared" si="170"/>
        <v>1.3769484133159958E+115</v>
      </c>
      <c r="LVB53" s="708">
        <f t="shared" si="170"/>
        <v>1.4182568657154756E+115</v>
      </c>
      <c r="LVC53" s="708">
        <f t="shared" si="170"/>
        <v>1.4608045716869399E+115</v>
      </c>
      <c r="LVD53" s="708">
        <f t="shared" si="170"/>
        <v>1.5046287088375481E+115</v>
      </c>
      <c r="LVE53" s="708">
        <f t="shared" si="170"/>
        <v>1.5497675701026746E+115</v>
      </c>
      <c r="LVF53" s="708">
        <f t="shared" si="170"/>
        <v>1.5962605972057548E+115</v>
      </c>
      <c r="LVG53" s="708">
        <f t="shared" si="170"/>
        <v>1.6441484151219274E+115</v>
      </c>
      <c r="LVH53" s="708">
        <f t="shared" si="170"/>
        <v>1.6934728675755853E+115</v>
      </c>
      <c r="LVI53" s="708">
        <f t="shared" si="170"/>
        <v>1.7442770536028529E+115</v>
      </c>
      <c r="LVJ53" s="708">
        <f t="shared" si="170"/>
        <v>1.7966053652109385E+115</v>
      </c>
      <c r="LVK53" s="708">
        <f t="shared" si="170"/>
        <v>1.8505035261672667E+115</v>
      </c>
      <c r="LVL53" s="708">
        <f t="shared" si="170"/>
        <v>1.9060186319522847E+115</v>
      </c>
      <c r="LVM53" s="708">
        <f t="shared" si="170"/>
        <v>1.9631991909108534E+115</v>
      </c>
      <c r="LVN53" s="708">
        <f t="shared" si="170"/>
        <v>2.0220951666381791E+115</v>
      </c>
      <c r="LVO53" s="708">
        <f t="shared" si="170"/>
        <v>2.0827580216373244E+115</v>
      </c>
      <c r="LVP53" s="708">
        <f t="shared" si="170"/>
        <v>2.1452407622864443E+115</v>
      </c>
      <c r="LVQ53" s="708">
        <f t="shared" si="170"/>
        <v>2.2095979851550377E+115</v>
      </c>
      <c r="LVR53" s="708">
        <f t="shared" si="170"/>
        <v>2.275885924709689E+115</v>
      </c>
      <c r="LVS53" s="708">
        <f t="shared" si="170"/>
        <v>2.3441625024509799E+115</v>
      </c>
      <c r="LVT53" s="708">
        <f t="shared" si="170"/>
        <v>2.4144873775245095E+115</v>
      </c>
      <c r="LVU53" s="708">
        <f t="shared" si="170"/>
        <v>2.4869219988502447E+115</v>
      </c>
      <c r="LVV53" s="708">
        <f t="shared" si="170"/>
        <v>2.5615296588157522E+115</v>
      </c>
      <c r="LVW53" s="708">
        <f t="shared" si="170"/>
        <v>2.638375548580225E+115</v>
      </c>
      <c r="LVX53" s="708">
        <f t="shared" si="170"/>
        <v>2.7175268150376317E+115</v>
      </c>
      <c r="LVY53" s="708">
        <f t="shared" si="170"/>
        <v>2.7990526194887608E+115</v>
      </c>
      <c r="LVZ53" s="708">
        <f t="shared" ref="LVZ53:LYK53" si="171">LVY53*$C$53</f>
        <v>2.8830241980734238E+115</v>
      </c>
      <c r="LWA53" s="708">
        <f t="shared" si="171"/>
        <v>2.9695149240156265E+115</v>
      </c>
      <c r="LWB53" s="708">
        <f t="shared" si="171"/>
        <v>3.0586003717360952E+115</v>
      </c>
      <c r="LWC53" s="708">
        <f t="shared" si="171"/>
        <v>3.150358382888178E+115</v>
      </c>
      <c r="LWD53" s="708">
        <f t="shared" si="171"/>
        <v>3.2448691343748232E+115</v>
      </c>
      <c r="LWE53" s="708">
        <f t="shared" si="171"/>
        <v>3.3422152084060679E+115</v>
      </c>
      <c r="LWF53" s="708">
        <f t="shared" si="171"/>
        <v>3.44248166465825E+115</v>
      </c>
      <c r="LWG53" s="708">
        <f t="shared" si="171"/>
        <v>3.5457561145979976E+115</v>
      </c>
      <c r="LWH53" s="708">
        <f t="shared" si="171"/>
        <v>3.6521287980359377E+115</v>
      </c>
      <c r="LWI53" s="708">
        <f t="shared" si="171"/>
        <v>3.7616926619770159E+115</v>
      </c>
      <c r="LWJ53" s="708">
        <f t="shared" si="171"/>
        <v>3.8745434418363263E+115</v>
      </c>
      <c r="LWK53" s="708">
        <f t="shared" si="171"/>
        <v>3.9907797450914161E+115</v>
      </c>
      <c r="LWL53" s="708">
        <f t="shared" si="171"/>
        <v>4.1105031374441591E+115</v>
      </c>
      <c r="LWM53" s="708">
        <f t="shared" si="171"/>
        <v>4.2338182315674837E+115</v>
      </c>
      <c r="LWN53" s="708">
        <f t="shared" si="171"/>
        <v>4.3608327785145086E+115</v>
      </c>
      <c r="LWO53" s="708">
        <f t="shared" si="171"/>
        <v>4.4916577618699438E+115</v>
      </c>
      <c r="LWP53" s="708">
        <f t="shared" si="171"/>
        <v>4.6264074947260419E+115</v>
      </c>
      <c r="LWQ53" s="708">
        <f t="shared" si="171"/>
        <v>4.7651997195678236E+115</v>
      </c>
      <c r="LWR53" s="708">
        <f t="shared" si="171"/>
        <v>4.9081557111548586E+115</v>
      </c>
      <c r="LWS53" s="708">
        <f t="shared" si="171"/>
        <v>5.0554003824895046E+115</v>
      </c>
      <c r="LWT53" s="708">
        <f t="shared" si="171"/>
        <v>5.2070623939641899E+115</v>
      </c>
      <c r="LWU53" s="708">
        <f t="shared" si="171"/>
        <v>5.3632742657831156E+115</v>
      </c>
      <c r="LWV53" s="708">
        <f t="shared" si="171"/>
        <v>5.524172493756609E+115</v>
      </c>
      <c r="LWW53" s="708">
        <f t="shared" si="171"/>
        <v>5.6898976685693073E+115</v>
      </c>
      <c r="LWX53" s="708">
        <f t="shared" si="171"/>
        <v>5.8605945986263866E+115</v>
      </c>
      <c r="LWY53" s="708">
        <f t="shared" si="171"/>
        <v>6.0364124365851782E+115</v>
      </c>
      <c r="LWZ53" s="708">
        <f t="shared" si="171"/>
        <v>6.2175048096827334E+115</v>
      </c>
      <c r="LXA53" s="708">
        <f t="shared" si="171"/>
        <v>6.4040299539732154E+115</v>
      </c>
      <c r="LXB53" s="708">
        <f t="shared" si="171"/>
        <v>6.596150852592412E+115</v>
      </c>
      <c r="LXC53" s="708">
        <f t="shared" si="171"/>
        <v>6.7940353781701847E+115</v>
      </c>
      <c r="LXD53" s="708">
        <f t="shared" si="171"/>
        <v>6.9978564395152905E+115</v>
      </c>
      <c r="LXE53" s="708">
        <f t="shared" si="171"/>
        <v>7.2077921327007496E+115</v>
      </c>
      <c r="LXF53" s="708">
        <f t="shared" si="171"/>
        <v>7.4240258966817721E+115</v>
      </c>
      <c r="LXG53" s="708">
        <f t="shared" si="171"/>
        <v>7.6467466735822256E+115</v>
      </c>
      <c r="LXH53" s="708">
        <f t="shared" si="171"/>
        <v>7.8761490737896925E+115</v>
      </c>
      <c r="LXI53" s="708">
        <f t="shared" si="171"/>
        <v>8.1124335460033828E+115</v>
      </c>
      <c r="LXJ53" s="708">
        <f t="shared" si="171"/>
        <v>8.3558065523834837E+115</v>
      </c>
      <c r="LXK53" s="708">
        <f t="shared" si="171"/>
        <v>8.6064807489549881E+115</v>
      </c>
      <c r="LXL53" s="708">
        <f t="shared" si="171"/>
        <v>8.8646751714236382E+115</v>
      </c>
      <c r="LXM53" s="708">
        <f t="shared" si="171"/>
        <v>9.1306154265663476E+115</v>
      </c>
      <c r="LXN53" s="708">
        <f t="shared" si="171"/>
        <v>9.4045338893633389E+115</v>
      </c>
      <c r="LXO53" s="708">
        <f t="shared" si="171"/>
        <v>9.6866699060442386E+115</v>
      </c>
      <c r="LXP53" s="708">
        <f t="shared" si="171"/>
        <v>9.9772700032255669E+115</v>
      </c>
      <c r="LXQ53" s="708">
        <f t="shared" si="171"/>
        <v>1.0276588103322333E+116</v>
      </c>
      <c r="LXR53" s="708">
        <f t="shared" si="171"/>
        <v>1.0584885746422004E+116</v>
      </c>
      <c r="LXS53" s="708">
        <f t="shared" si="171"/>
        <v>1.0902432318814663E+116</v>
      </c>
      <c r="LXT53" s="708">
        <f t="shared" si="171"/>
        <v>1.1229505288379103E+116</v>
      </c>
      <c r="LXU53" s="708">
        <f t="shared" si="171"/>
        <v>1.1566390447030476E+116</v>
      </c>
      <c r="LXV53" s="708">
        <f t="shared" si="171"/>
        <v>1.191338216044139E+116</v>
      </c>
      <c r="LXW53" s="708">
        <f t="shared" si="171"/>
        <v>1.2270783625254633E+116</v>
      </c>
      <c r="LXX53" s="708">
        <f t="shared" si="171"/>
        <v>1.2638907134012273E+116</v>
      </c>
      <c r="LXY53" s="708">
        <f t="shared" si="171"/>
        <v>1.3018074348032642E+116</v>
      </c>
      <c r="LXZ53" s="708">
        <f t="shared" si="171"/>
        <v>1.3408616578473621E+116</v>
      </c>
      <c r="LYA53" s="708">
        <f t="shared" si="171"/>
        <v>1.3810875075827831E+116</v>
      </c>
      <c r="LYB53" s="708">
        <f t="shared" si="171"/>
        <v>1.4225201328102666E+116</v>
      </c>
      <c r="LYC53" s="708">
        <f t="shared" si="171"/>
        <v>1.4651957367945748E+116</v>
      </c>
      <c r="LYD53" s="708">
        <f t="shared" si="171"/>
        <v>1.5091516088984119E+116</v>
      </c>
      <c r="LYE53" s="708">
        <f t="shared" si="171"/>
        <v>1.5544261571653644E+116</v>
      </c>
      <c r="LYF53" s="708">
        <f t="shared" si="171"/>
        <v>1.6010589418803252E+116</v>
      </c>
      <c r="LYG53" s="708">
        <f t="shared" si="171"/>
        <v>1.6490907101367351E+116</v>
      </c>
      <c r="LYH53" s="708">
        <f t="shared" si="171"/>
        <v>1.6985634314408373E+116</v>
      </c>
      <c r="LYI53" s="708">
        <f t="shared" si="171"/>
        <v>1.7495203343840627E+116</v>
      </c>
      <c r="LYJ53" s="708">
        <f t="shared" si="171"/>
        <v>1.8020059444155845E+116</v>
      </c>
      <c r="LYK53" s="708">
        <f t="shared" si="171"/>
        <v>1.8560661227480521E+116</v>
      </c>
      <c r="LYL53" s="708">
        <f t="shared" ref="LYL53:MAW53" si="172">LYK53*$C$53</f>
        <v>1.9117481064304935E+116</v>
      </c>
      <c r="LYM53" s="708">
        <f t="shared" si="172"/>
        <v>1.9691005496234086E+116</v>
      </c>
      <c r="LYN53" s="708">
        <f t="shared" si="172"/>
        <v>2.028173566112111E+116</v>
      </c>
      <c r="LYO53" s="708">
        <f t="shared" si="172"/>
        <v>2.0890187730954742E+116</v>
      </c>
      <c r="LYP53" s="708">
        <f t="shared" si="172"/>
        <v>2.1516893362883384E+116</v>
      </c>
      <c r="LYQ53" s="708">
        <f t="shared" si="172"/>
        <v>2.2162400163769884E+116</v>
      </c>
      <c r="LYR53" s="708">
        <f t="shared" si="172"/>
        <v>2.2827272168682981E+116</v>
      </c>
      <c r="LYS53" s="708">
        <f t="shared" si="172"/>
        <v>2.3512090333743471E+116</v>
      </c>
      <c r="LYT53" s="708">
        <f t="shared" si="172"/>
        <v>2.4217453043755776E+116</v>
      </c>
      <c r="LYU53" s="708">
        <f t="shared" si="172"/>
        <v>2.4943976635068451E+116</v>
      </c>
      <c r="LYV53" s="708">
        <f t="shared" si="172"/>
        <v>2.5692295934120505E+116</v>
      </c>
      <c r="LYW53" s="708">
        <f t="shared" si="172"/>
        <v>2.6463064812144122E+116</v>
      </c>
      <c r="LYX53" s="708">
        <f t="shared" si="172"/>
        <v>2.7256956756508446E+116</v>
      </c>
      <c r="LYY53" s="708">
        <f t="shared" si="172"/>
        <v>2.8074665459203699E+116</v>
      </c>
      <c r="LYZ53" s="708">
        <f t="shared" si="172"/>
        <v>2.891690542297981E+116</v>
      </c>
      <c r="LZA53" s="708">
        <f t="shared" si="172"/>
        <v>2.9784412585669206E+116</v>
      </c>
      <c r="LZB53" s="708">
        <f t="shared" si="172"/>
        <v>3.0677944963239284E+116</v>
      </c>
      <c r="LZC53" s="708">
        <f t="shared" si="172"/>
        <v>3.159828331213646E+116</v>
      </c>
      <c r="LZD53" s="708">
        <f t="shared" si="172"/>
        <v>3.2546231811500553E+116</v>
      </c>
      <c r="LZE53" s="708">
        <f t="shared" si="172"/>
        <v>3.3522618765845569E+116</v>
      </c>
      <c r="LZF53" s="708">
        <f t="shared" si="172"/>
        <v>3.4528297328820935E+116</v>
      </c>
      <c r="LZG53" s="708">
        <f t="shared" si="172"/>
        <v>3.5564146248685562E+116</v>
      </c>
      <c r="LZH53" s="708">
        <f t="shared" si="172"/>
        <v>3.6631070636146128E+116</v>
      </c>
      <c r="LZI53" s="708">
        <f t="shared" si="172"/>
        <v>3.773000275523051E+116</v>
      </c>
      <c r="LZJ53" s="708">
        <f t="shared" si="172"/>
        <v>3.886190283788743E+116</v>
      </c>
      <c r="LZK53" s="708">
        <f t="shared" si="172"/>
        <v>4.0027759923024051E+116</v>
      </c>
      <c r="LZL53" s="708">
        <f t="shared" si="172"/>
        <v>4.1228592720714771E+116</v>
      </c>
      <c r="LZM53" s="708">
        <f t="shared" si="172"/>
        <v>4.2465450502336218E+116</v>
      </c>
      <c r="LZN53" s="708">
        <f t="shared" si="172"/>
        <v>4.3739414017406309E+116</v>
      </c>
      <c r="LZO53" s="708">
        <f t="shared" si="172"/>
        <v>4.50515964379285E+116</v>
      </c>
      <c r="LZP53" s="708">
        <f t="shared" si="172"/>
        <v>4.6403144331066358E+116</v>
      </c>
      <c r="LZQ53" s="708">
        <f t="shared" si="172"/>
        <v>4.7795238660998352E+116</v>
      </c>
      <c r="LZR53" s="708">
        <f t="shared" si="172"/>
        <v>4.9229095820828303E+116</v>
      </c>
      <c r="LZS53" s="708">
        <f t="shared" si="172"/>
        <v>5.0705968695453157E+116</v>
      </c>
      <c r="LZT53" s="708">
        <f t="shared" si="172"/>
        <v>5.2227147756316754E+116</v>
      </c>
      <c r="LZU53" s="708">
        <f t="shared" si="172"/>
        <v>5.3793962189006257E+116</v>
      </c>
      <c r="LZV53" s="708">
        <f t="shared" si="172"/>
        <v>5.5407781054676444E+116</v>
      </c>
      <c r="LZW53" s="708">
        <f t="shared" si="172"/>
        <v>5.7070014486316742E+116</v>
      </c>
      <c r="LZX53" s="708">
        <f t="shared" si="172"/>
        <v>5.8782114920906244E+116</v>
      </c>
      <c r="LZY53" s="708">
        <f t="shared" si="172"/>
        <v>6.0545578368533434E+116</v>
      </c>
      <c r="LZZ53" s="708">
        <f t="shared" si="172"/>
        <v>6.2361945719589439E+116</v>
      </c>
      <c r="MAA53" s="708">
        <f t="shared" si="172"/>
        <v>6.4232804091177127E+116</v>
      </c>
      <c r="MAB53" s="708">
        <f t="shared" si="172"/>
        <v>6.6159788213912441E+116</v>
      </c>
      <c r="MAC53" s="708">
        <f t="shared" si="172"/>
        <v>6.8144581860329811E+116</v>
      </c>
      <c r="MAD53" s="708">
        <f t="shared" si="172"/>
        <v>7.0188919316139711E+116</v>
      </c>
      <c r="MAE53" s="708">
        <f t="shared" si="172"/>
        <v>7.2294586895623907E+116</v>
      </c>
      <c r="MAF53" s="708">
        <f t="shared" si="172"/>
        <v>7.4463424502492632E+116</v>
      </c>
      <c r="MAG53" s="708">
        <f t="shared" si="172"/>
        <v>7.6697327237567407E+116</v>
      </c>
      <c r="MAH53" s="708">
        <f t="shared" si="172"/>
        <v>7.8998247054694436E+116</v>
      </c>
      <c r="MAI53" s="708">
        <f t="shared" si="172"/>
        <v>8.1368194466335269E+116</v>
      </c>
      <c r="MAJ53" s="708">
        <f t="shared" si="172"/>
        <v>8.3809240300325332E+116</v>
      </c>
      <c r="MAK53" s="708">
        <f t="shared" si="172"/>
        <v>8.6323517509335092E+116</v>
      </c>
      <c r="MAL53" s="708">
        <f t="shared" si="172"/>
        <v>8.891322303461514E+116</v>
      </c>
      <c r="MAM53" s="708">
        <f t="shared" si="172"/>
        <v>9.1580619725653602E+116</v>
      </c>
      <c r="MAN53" s="708">
        <f t="shared" si="172"/>
        <v>9.4328038317423212E+116</v>
      </c>
      <c r="MAO53" s="708">
        <f t="shared" si="172"/>
        <v>9.7157879466945904E+116</v>
      </c>
      <c r="MAP53" s="708">
        <f t="shared" si="172"/>
        <v>1.0007261585095428E+117</v>
      </c>
      <c r="MAQ53" s="708">
        <f t="shared" si="172"/>
        <v>1.0307479432648291E+117</v>
      </c>
      <c r="MAR53" s="708">
        <f t="shared" si="172"/>
        <v>1.0616703815627741E+117</v>
      </c>
      <c r="MAS53" s="708">
        <f t="shared" si="172"/>
        <v>1.0935204930096574E+117</v>
      </c>
      <c r="MAT53" s="708">
        <f t="shared" si="172"/>
        <v>1.1263261077999471E+117</v>
      </c>
      <c r="MAU53" s="708">
        <f t="shared" si="172"/>
        <v>1.1601158910339456E+117</v>
      </c>
      <c r="MAV53" s="708">
        <f t="shared" si="172"/>
        <v>1.1949193677649639E+117</v>
      </c>
      <c r="MAW53" s="708">
        <f t="shared" si="172"/>
        <v>1.2307669487979128E+117</v>
      </c>
      <c r="MAX53" s="708">
        <f t="shared" ref="MAX53:MDI53" si="173">MAW53*$C$53</f>
        <v>1.2676899572618502E+117</v>
      </c>
      <c r="MAY53" s="708">
        <f t="shared" si="173"/>
        <v>1.3057206559797057E+117</v>
      </c>
      <c r="MAZ53" s="708">
        <f t="shared" si="173"/>
        <v>1.3448922756590968E+117</v>
      </c>
      <c r="MBA53" s="708">
        <f t="shared" si="173"/>
        <v>1.3852390439288697E+117</v>
      </c>
      <c r="MBB53" s="708">
        <f t="shared" si="173"/>
        <v>1.4267962152467359E+117</v>
      </c>
      <c r="MBC53" s="708">
        <f t="shared" si="173"/>
        <v>1.4696001017041379E+117</v>
      </c>
      <c r="MBD53" s="708">
        <f t="shared" si="173"/>
        <v>1.513688104755262E+117</v>
      </c>
      <c r="MBE53" s="708">
        <f t="shared" si="173"/>
        <v>1.5590987478979198E+117</v>
      </c>
      <c r="MBF53" s="708">
        <f t="shared" si="173"/>
        <v>1.6058717103348574E+117</v>
      </c>
      <c r="MBG53" s="708">
        <f t="shared" si="173"/>
        <v>1.6540478616449031E+117</v>
      </c>
      <c r="MBH53" s="708">
        <f t="shared" si="173"/>
        <v>1.7036692974942503E+117</v>
      </c>
      <c r="MBI53" s="708">
        <f t="shared" si="173"/>
        <v>1.7547793764190777E+117</v>
      </c>
      <c r="MBJ53" s="708">
        <f t="shared" si="173"/>
        <v>1.8074227577116502E+117</v>
      </c>
      <c r="MBK53" s="708">
        <f t="shared" si="173"/>
        <v>1.8616454404429997E+117</v>
      </c>
      <c r="MBL53" s="708">
        <f t="shared" si="173"/>
        <v>1.9174948036562898E+117</v>
      </c>
      <c r="MBM53" s="708">
        <f t="shared" si="173"/>
        <v>1.9750196477659787E+117</v>
      </c>
      <c r="MBN53" s="708">
        <f t="shared" si="173"/>
        <v>2.0342702371989581E+117</v>
      </c>
      <c r="MBO53" s="708">
        <f t="shared" si="173"/>
        <v>2.0952983443149268E+117</v>
      </c>
      <c r="MBP53" s="708">
        <f t="shared" si="173"/>
        <v>2.1581572946443747E+117</v>
      </c>
      <c r="MBQ53" s="708">
        <f t="shared" si="173"/>
        <v>2.222902013483706E+117</v>
      </c>
      <c r="MBR53" s="708">
        <f t="shared" si="173"/>
        <v>2.2895890738882173E+117</v>
      </c>
      <c r="MBS53" s="708">
        <f t="shared" si="173"/>
        <v>2.3582767461048638E+117</v>
      </c>
      <c r="MBT53" s="708">
        <f t="shared" si="173"/>
        <v>2.4290250484880098E+117</v>
      </c>
      <c r="MBU53" s="708">
        <f t="shared" si="173"/>
        <v>2.5018957999426502E+117</v>
      </c>
      <c r="MBV53" s="708">
        <f t="shared" si="173"/>
        <v>2.5769526739409297E+117</v>
      </c>
      <c r="MBW53" s="708">
        <f t="shared" si="173"/>
        <v>2.6542612541591578E+117</v>
      </c>
      <c r="MBX53" s="708">
        <f t="shared" si="173"/>
        <v>2.7338890917839327E+117</v>
      </c>
      <c r="MBY53" s="708">
        <f t="shared" si="173"/>
        <v>2.8159057645374509E+117</v>
      </c>
      <c r="MBZ53" s="708">
        <f t="shared" si="173"/>
        <v>2.9003829374735746E+117</v>
      </c>
      <c r="MCA53" s="708">
        <f t="shared" si="173"/>
        <v>2.987394425597782E+117</v>
      </c>
      <c r="MCB53" s="708">
        <f t="shared" si="173"/>
        <v>3.0770162583657157E+117</v>
      </c>
      <c r="MCC53" s="708">
        <f t="shared" si="173"/>
        <v>3.1693267461166873E+117</v>
      </c>
      <c r="MCD53" s="708">
        <f t="shared" si="173"/>
        <v>3.2644065485001883E+117</v>
      </c>
      <c r="MCE53" s="708">
        <f t="shared" si="173"/>
        <v>3.362338744955194E+117</v>
      </c>
      <c r="MCF53" s="708">
        <f t="shared" si="173"/>
        <v>3.4632089073038499E+117</v>
      </c>
      <c r="MCG53" s="708">
        <f t="shared" si="173"/>
        <v>3.5671051745229654E+117</v>
      </c>
      <c r="MCH53" s="708">
        <f t="shared" si="173"/>
        <v>3.6741183297586546E+117</v>
      </c>
      <c r="MCI53" s="708">
        <f t="shared" si="173"/>
        <v>3.7843418796514143E+117</v>
      </c>
      <c r="MCJ53" s="708">
        <f t="shared" si="173"/>
        <v>3.8978721360409569E+117</v>
      </c>
      <c r="MCK53" s="708">
        <f t="shared" si="173"/>
        <v>4.0148083001221859E+117</v>
      </c>
      <c r="MCL53" s="708">
        <f t="shared" si="173"/>
        <v>4.1352525491258515E+117</v>
      </c>
      <c r="MCM53" s="708">
        <f t="shared" si="173"/>
        <v>4.259310125599627E+117</v>
      </c>
      <c r="MCN53" s="708">
        <f t="shared" si="173"/>
        <v>4.3870894293676159E+117</v>
      </c>
      <c r="MCO53" s="708">
        <f t="shared" si="173"/>
        <v>4.5187021122486446E+117</v>
      </c>
      <c r="MCP53" s="708">
        <f t="shared" si="173"/>
        <v>4.6542631756161038E+117</v>
      </c>
      <c r="MCQ53" s="708">
        <f t="shared" si="173"/>
        <v>4.7938910708845871E+117</v>
      </c>
      <c r="MCR53" s="708">
        <f t="shared" si="173"/>
        <v>4.9377078030111248E+117</v>
      </c>
      <c r="MCS53" s="708">
        <f t="shared" si="173"/>
        <v>5.0858390371014581E+117</v>
      </c>
      <c r="MCT53" s="708">
        <f t="shared" si="173"/>
        <v>5.2384142082145019E+117</v>
      </c>
      <c r="MCU53" s="708">
        <f t="shared" si="173"/>
        <v>5.3955666344609371E+117</v>
      </c>
      <c r="MCV53" s="708">
        <f t="shared" si="173"/>
        <v>5.5574336334947656E+117</v>
      </c>
      <c r="MCW53" s="708">
        <f t="shared" si="173"/>
        <v>5.7241566424996082E+117</v>
      </c>
      <c r="MCX53" s="708">
        <f t="shared" si="173"/>
        <v>5.8958813417745972E+117</v>
      </c>
      <c r="MCY53" s="708">
        <f t="shared" si="173"/>
        <v>6.0727577820278357E+117</v>
      </c>
      <c r="MCZ53" s="708">
        <f t="shared" si="173"/>
        <v>6.2549405154886714E+117</v>
      </c>
      <c r="MDA53" s="708">
        <f t="shared" si="173"/>
        <v>6.4425887309533312E+117</v>
      </c>
      <c r="MDB53" s="708">
        <f t="shared" si="173"/>
        <v>6.6358663928819308E+117</v>
      </c>
      <c r="MDC53" s="708">
        <f t="shared" si="173"/>
        <v>6.8349423846683886E+117</v>
      </c>
      <c r="MDD53" s="708">
        <f t="shared" si="173"/>
        <v>7.0399906562084407E+117</v>
      </c>
      <c r="MDE53" s="708">
        <f t="shared" si="173"/>
        <v>7.2511903758946944E+117</v>
      </c>
      <c r="MDF53" s="708">
        <f t="shared" si="173"/>
        <v>7.468726087171535E+117</v>
      </c>
      <c r="MDG53" s="708">
        <f t="shared" si="173"/>
        <v>7.6927878697866817E+117</v>
      </c>
      <c r="MDH53" s="708">
        <f t="shared" si="173"/>
        <v>7.923571505880282E+117</v>
      </c>
      <c r="MDI53" s="708">
        <f t="shared" si="173"/>
        <v>8.1612786510566902E+117</v>
      </c>
      <c r="MDJ53" s="708">
        <f t="shared" ref="MDJ53:MFU53" si="174">MDI53*$C$53</f>
        <v>8.4061170105883914E+117</v>
      </c>
      <c r="MDK53" s="708">
        <f t="shared" si="174"/>
        <v>8.6583005209060433E+117</v>
      </c>
      <c r="MDL53" s="708">
        <f t="shared" si="174"/>
        <v>8.9180495365332252E+117</v>
      </c>
      <c r="MDM53" s="708">
        <f t="shared" si="174"/>
        <v>9.1855910226292219E+117</v>
      </c>
      <c r="MDN53" s="708">
        <f t="shared" si="174"/>
        <v>9.4611587533080987E+117</v>
      </c>
      <c r="MDO53" s="708">
        <f t="shared" si="174"/>
        <v>9.7449935159073422E+117</v>
      </c>
      <c r="MDP53" s="708">
        <f t="shared" si="174"/>
        <v>1.0037343321384563E+118</v>
      </c>
      <c r="MDQ53" s="708">
        <f t="shared" si="174"/>
        <v>1.03384636210261E+118</v>
      </c>
      <c r="MDR53" s="708">
        <f t="shared" si="174"/>
        <v>1.0648617529656883E+118</v>
      </c>
      <c r="MDS53" s="708">
        <f t="shared" si="174"/>
        <v>1.0968076055546589E+118</v>
      </c>
      <c r="MDT53" s="708">
        <f t="shared" si="174"/>
        <v>1.1297118337212987E+118</v>
      </c>
      <c r="MDU53" s="708">
        <f t="shared" si="174"/>
        <v>1.1636031887329377E+118</v>
      </c>
      <c r="MDV53" s="708">
        <f t="shared" si="174"/>
        <v>1.198511284394926E+118</v>
      </c>
      <c r="MDW53" s="708">
        <f t="shared" si="174"/>
        <v>1.2344666229267737E+118</v>
      </c>
      <c r="MDX53" s="708">
        <f t="shared" si="174"/>
        <v>1.2715006216145769E+118</v>
      </c>
      <c r="MDY53" s="708">
        <f t="shared" si="174"/>
        <v>1.3096456402630143E+118</v>
      </c>
      <c r="MDZ53" s="708">
        <f t="shared" si="174"/>
        <v>1.3489350094709049E+118</v>
      </c>
      <c r="MEA53" s="708">
        <f t="shared" si="174"/>
        <v>1.3894030597550322E+118</v>
      </c>
      <c r="MEB53" s="708">
        <f t="shared" si="174"/>
        <v>1.4310851515476832E+118</v>
      </c>
      <c r="MEC53" s="708">
        <f t="shared" si="174"/>
        <v>1.4740177060941138E+118</v>
      </c>
      <c r="MED53" s="708">
        <f t="shared" si="174"/>
        <v>1.5182382372769372E+118</v>
      </c>
      <c r="MEE53" s="708">
        <f t="shared" si="174"/>
        <v>1.5637853843952454E+118</v>
      </c>
      <c r="MEF53" s="708">
        <f t="shared" si="174"/>
        <v>1.6106989459271028E+118</v>
      </c>
      <c r="MEG53" s="708">
        <f t="shared" si="174"/>
        <v>1.659019914304916E+118</v>
      </c>
      <c r="MEH53" s="708">
        <f t="shared" si="174"/>
        <v>1.7087905117340634E+118</v>
      </c>
      <c r="MEI53" s="708">
        <f t="shared" si="174"/>
        <v>1.7600542270860855E+118</v>
      </c>
      <c r="MEJ53" s="708">
        <f t="shared" si="174"/>
        <v>1.8128558538986681E+118</v>
      </c>
      <c r="MEK53" s="708">
        <f t="shared" si="174"/>
        <v>1.8672415295156282E+118</v>
      </c>
      <c r="MEL53" s="708">
        <f t="shared" si="174"/>
        <v>1.923258775401097E+118</v>
      </c>
      <c r="MEM53" s="708">
        <f t="shared" si="174"/>
        <v>1.98095653866313E+118</v>
      </c>
      <c r="MEN53" s="708">
        <f t="shared" si="174"/>
        <v>2.0403852348230238E+118</v>
      </c>
      <c r="MEO53" s="708">
        <f t="shared" si="174"/>
        <v>2.1015967918677146E+118</v>
      </c>
      <c r="MEP53" s="708">
        <f t="shared" si="174"/>
        <v>2.1646446956237459E+118</v>
      </c>
      <c r="MEQ53" s="708">
        <f t="shared" si="174"/>
        <v>2.2295840364924584E+118</v>
      </c>
      <c r="MER53" s="708">
        <f t="shared" si="174"/>
        <v>2.2964715575872324E+118</v>
      </c>
      <c r="MES53" s="708">
        <f t="shared" si="174"/>
        <v>2.3653657043148492E+118</v>
      </c>
      <c r="MET53" s="708">
        <f t="shared" si="174"/>
        <v>2.4363266754442947E+118</v>
      </c>
      <c r="MEU53" s="708">
        <f t="shared" si="174"/>
        <v>2.5094164757076236E+118</v>
      </c>
      <c r="MEV53" s="708">
        <f t="shared" si="174"/>
        <v>2.5846989699788522E+118</v>
      </c>
      <c r="MEW53" s="708">
        <f t="shared" si="174"/>
        <v>2.6622399390782177E+118</v>
      </c>
      <c r="MEX53" s="708">
        <f t="shared" si="174"/>
        <v>2.7421071372505642E+118</v>
      </c>
      <c r="MEY53" s="708">
        <f t="shared" si="174"/>
        <v>2.8243703513680812E+118</v>
      </c>
      <c r="MEZ53" s="708">
        <f t="shared" si="174"/>
        <v>2.9091014619091239E+118</v>
      </c>
      <c r="MFA53" s="708">
        <f t="shared" si="174"/>
        <v>2.9963745057663974E+118</v>
      </c>
      <c r="MFB53" s="708">
        <f t="shared" si="174"/>
        <v>3.0862657409393892E+118</v>
      </c>
      <c r="MFC53" s="708">
        <f t="shared" si="174"/>
        <v>3.178853713167571E+118</v>
      </c>
      <c r="MFD53" s="708">
        <f t="shared" si="174"/>
        <v>3.2742193245625981E+118</v>
      </c>
      <c r="MFE53" s="708">
        <f t="shared" si="174"/>
        <v>3.3724459042994764E+118</v>
      </c>
      <c r="MFF53" s="708">
        <f t="shared" si="174"/>
        <v>3.4736192814284607E+118</v>
      </c>
      <c r="MFG53" s="708">
        <f t="shared" si="174"/>
        <v>3.5778278598713146E+118</v>
      </c>
      <c r="MFH53" s="708">
        <f t="shared" si="174"/>
        <v>3.6851626956674542E+118</v>
      </c>
      <c r="MFI53" s="708">
        <f t="shared" si="174"/>
        <v>3.7957175765374779E+118</v>
      </c>
      <c r="MFJ53" s="708">
        <f t="shared" si="174"/>
        <v>3.9095891038336022E+118</v>
      </c>
      <c r="MFK53" s="708">
        <f t="shared" si="174"/>
        <v>4.0268767769486106E+118</v>
      </c>
      <c r="MFL53" s="708">
        <f t="shared" si="174"/>
        <v>4.1476830802570689E+118</v>
      </c>
      <c r="MFM53" s="708">
        <f t="shared" si="174"/>
        <v>4.2721135726647815E+118</v>
      </c>
      <c r="MFN53" s="708">
        <f t="shared" si="174"/>
        <v>4.4002769798447251E+118</v>
      </c>
      <c r="MFO53" s="708">
        <f t="shared" si="174"/>
        <v>4.5322852892400668E+118</v>
      </c>
      <c r="MFP53" s="708">
        <f t="shared" si="174"/>
        <v>4.6682538479172689E+118</v>
      </c>
      <c r="MFQ53" s="708">
        <f t="shared" si="174"/>
        <v>4.8083014633547874E+118</v>
      </c>
      <c r="MFR53" s="708">
        <f t="shared" si="174"/>
        <v>4.9525505072554315E+118</v>
      </c>
      <c r="MFS53" s="708">
        <f t="shared" si="174"/>
        <v>5.1011270224730943E+118</v>
      </c>
      <c r="MFT53" s="708">
        <f t="shared" si="174"/>
        <v>5.2541608331472876E+118</v>
      </c>
      <c r="MFU53" s="708">
        <f t="shared" si="174"/>
        <v>5.4117856581417063E+118</v>
      </c>
      <c r="MFV53" s="708">
        <f t="shared" ref="MFV53:MIG53" si="175">MFU53*$C$53</f>
        <v>5.5741392278859578E+118</v>
      </c>
      <c r="MFW53" s="708">
        <f t="shared" si="175"/>
        <v>5.7413634047225365E+118</v>
      </c>
      <c r="MFX53" s="708">
        <f t="shared" si="175"/>
        <v>5.9136043068642124E+118</v>
      </c>
      <c r="MFY53" s="708">
        <f t="shared" si="175"/>
        <v>6.0910124360701394E+118</v>
      </c>
      <c r="MFZ53" s="708">
        <f t="shared" si="175"/>
        <v>6.2737428091522441E+118</v>
      </c>
      <c r="MGA53" s="708">
        <f t="shared" si="175"/>
        <v>6.4619550934268118E+118</v>
      </c>
      <c r="MGB53" s="708">
        <f t="shared" si="175"/>
        <v>6.6558137462296167E+118</v>
      </c>
      <c r="MGC53" s="708">
        <f t="shared" si="175"/>
        <v>6.8554881586165057E+118</v>
      </c>
      <c r="MGD53" s="708">
        <f t="shared" si="175"/>
        <v>7.0611528033750011E+118</v>
      </c>
      <c r="MGE53" s="708">
        <f t="shared" si="175"/>
        <v>7.2729873874762515E+118</v>
      </c>
      <c r="MGF53" s="708">
        <f t="shared" si="175"/>
        <v>7.4911770091005389E+118</v>
      </c>
      <c r="MGG53" s="708">
        <f t="shared" si="175"/>
        <v>7.7159123193735557E+118</v>
      </c>
      <c r="MGH53" s="708">
        <f t="shared" si="175"/>
        <v>7.9473896889547628E+118</v>
      </c>
      <c r="MGI53" s="708">
        <f t="shared" si="175"/>
        <v>8.1858113796234058E+118</v>
      </c>
      <c r="MGJ53" s="708">
        <f t="shared" si="175"/>
        <v>8.4313857210121079E+118</v>
      </c>
      <c r="MGK53" s="708">
        <f t="shared" si="175"/>
        <v>8.6843272926424721E+118</v>
      </c>
      <c r="MGL53" s="708">
        <f t="shared" si="175"/>
        <v>8.9448571114217474E+118</v>
      </c>
      <c r="MGM53" s="708">
        <f t="shared" si="175"/>
        <v>9.2132028247643994E+118</v>
      </c>
      <c r="MGN53" s="708">
        <f t="shared" si="175"/>
        <v>9.4895989095073321E+118</v>
      </c>
      <c r="MGO53" s="708">
        <f t="shared" si="175"/>
        <v>9.7742868767925532E+118</v>
      </c>
      <c r="MGP53" s="708">
        <f t="shared" si="175"/>
        <v>1.0067515483096331E+119</v>
      </c>
      <c r="MGQ53" s="708">
        <f t="shared" si="175"/>
        <v>1.0369540947589221E+119</v>
      </c>
      <c r="MGR53" s="708">
        <f t="shared" si="175"/>
        <v>1.0680627176016899E+119</v>
      </c>
      <c r="MGS53" s="708">
        <f t="shared" si="175"/>
        <v>1.1001045991297405E+119</v>
      </c>
      <c r="MGT53" s="708">
        <f t="shared" si="175"/>
        <v>1.1331077371036328E+119</v>
      </c>
      <c r="MGU53" s="708">
        <f t="shared" si="175"/>
        <v>1.1671009692167418E+119</v>
      </c>
      <c r="MGV53" s="708">
        <f t="shared" si="175"/>
        <v>1.2021139982932442E+119</v>
      </c>
      <c r="MGW53" s="708">
        <f t="shared" si="175"/>
        <v>1.2381774182420415E+119</v>
      </c>
      <c r="MGX53" s="708">
        <f t="shared" si="175"/>
        <v>1.2753227407893028E+119</v>
      </c>
      <c r="MGY53" s="708">
        <f t="shared" si="175"/>
        <v>1.3135824230129819E+119</v>
      </c>
      <c r="MGZ53" s="708">
        <f t="shared" si="175"/>
        <v>1.3529898957033714E+119</v>
      </c>
      <c r="MHA53" s="708">
        <f t="shared" si="175"/>
        <v>1.3935795925744725E+119</v>
      </c>
      <c r="MHB53" s="708">
        <f t="shared" si="175"/>
        <v>1.4353869803517066E+119</v>
      </c>
      <c r="MHC53" s="708">
        <f t="shared" si="175"/>
        <v>1.4784485897622579E+119</v>
      </c>
      <c r="MHD53" s="708">
        <f t="shared" si="175"/>
        <v>1.5228020474551257E+119</v>
      </c>
      <c r="MHE53" s="708">
        <f t="shared" si="175"/>
        <v>1.5684861088787795E+119</v>
      </c>
      <c r="MHF53" s="708">
        <f t="shared" si="175"/>
        <v>1.6155406921451428E+119</v>
      </c>
      <c r="MHG53" s="708">
        <f t="shared" si="175"/>
        <v>1.6640069129094973E+119</v>
      </c>
      <c r="MHH53" s="708">
        <f t="shared" si="175"/>
        <v>1.7139271202967823E+119</v>
      </c>
      <c r="MHI53" s="708">
        <f t="shared" si="175"/>
        <v>1.765344933905686E+119</v>
      </c>
      <c r="MHJ53" s="708">
        <f t="shared" si="175"/>
        <v>1.8183052819228566E+119</v>
      </c>
      <c r="MHK53" s="708">
        <f t="shared" si="175"/>
        <v>1.8728544403805424E+119</v>
      </c>
      <c r="MHL53" s="708">
        <f t="shared" si="175"/>
        <v>1.9290400735919586E+119</v>
      </c>
      <c r="MHM53" s="708">
        <f t="shared" si="175"/>
        <v>1.9869112757997174E+119</v>
      </c>
      <c r="MHN53" s="708">
        <f t="shared" si="175"/>
        <v>2.0465186140737091E+119</v>
      </c>
      <c r="MHO53" s="708">
        <f t="shared" si="175"/>
        <v>2.1079141724959205E+119</v>
      </c>
      <c r="MHP53" s="708">
        <f t="shared" si="175"/>
        <v>2.1711515976707982E+119</v>
      </c>
      <c r="MHQ53" s="708">
        <f t="shared" si="175"/>
        <v>2.2362861456009223E+119</v>
      </c>
      <c r="MHR53" s="708">
        <f t="shared" si="175"/>
        <v>2.30337472996895E+119</v>
      </c>
      <c r="MHS53" s="708">
        <f t="shared" si="175"/>
        <v>2.3724759718680187E+119</v>
      </c>
      <c r="MHT53" s="708">
        <f t="shared" si="175"/>
        <v>2.4436502510240593E+119</v>
      </c>
      <c r="MHU53" s="708">
        <f t="shared" si="175"/>
        <v>2.5169597585547811E+119</v>
      </c>
      <c r="MHV53" s="708">
        <f t="shared" si="175"/>
        <v>2.5924685513114248E+119</v>
      </c>
      <c r="MHW53" s="708">
        <f t="shared" si="175"/>
        <v>2.6702426078507677E+119</v>
      </c>
      <c r="MHX53" s="708">
        <f t="shared" si="175"/>
        <v>2.750349886086291E+119</v>
      </c>
      <c r="MHY53" s="708">
        <f t="shared" si="175"/>
        <v>2.8328603826688797E+119</v>
      </c>
      <c r="MHZ53" s="708">
        <f t="shared" si="175"/>
        <v>2.917846194148946E+119</v>
      </c>
      <c r="MIA53" s="708">
        <f t="shared" si="175"/>
        <v>3.0053815799734145E+119</v>
      </c>
      <c r="MIB53" s="708">
        <f t="shared" si="175"/>
        <v>3.095543027372617E+119</v>
      </c>
      <c r="MIC53" s="708">
        <f t="shared" si="175"/>
        <v>3.1884093181937954E+119</v>
      </c>
      <c r="MID53" s="708">
        <f t="shared" si="175"/>
        <v>3.2840615977396096E+119</v>
      </c>
      <c r="MIE53" s="708">
        <f t="shared" si="175"/>
        <v>3.3825834456717981E+119</v>
      </c>
      <c r="MIF53" s="708">
        <f t="shared" si="175"/>
        <v>3.4840609490419521E+119</v>
      </c>
      <c r="MIG53" s="708">
        <f t="shared" si="175"/>
        <v>3.5885827775132105E+119</v>
      </c>
      <c r="MIH53" s="708">
        <f t="shared" ref="MIH53:MKS53" si="176">MIG53*$C$53</f>
        <v>3.6962402608386069E+119</v>
      </c>
      <c r="MII53" s="708">
        <f t="shared" si="176"/>
        <v>3.8071274686637651E+119</v>
      </c>
      <c r="MIJ53" s="708">
        <f t="shared" si="176"/>
        <v>3.9213412927236785E+119</v>
      </c>
      <c r="MIK53" s="708">
        <f t="shared" si="176"/>
        <v>4.0389815315053889E+119</v>
      </c>
      <c r="MIL53" s="708">
        <f t="shared" si="176"/>
        <v>4.1601509774505509E+119</v>
      </c>
      <c r="MIM53" s="708">
        <f t="shared" si="176"/>
        <v>4.2849555067740676E+119</v>
      </c>
      <c r="MIN53" s="708">
        <f t="shared" si="176"/>
        <v>4.4135041719772896E+119</v>
      </c>
      <c r="MIO53" s="708">
        <f t="shared" si="176"/>
        <v>4.5459092971366086E+119</v>
      </c>
      <c r="MIP53" s="708">
        <f t="shared" si="176"/>
        <v>4.6822865760507074E+119</v>
      </c>
      <c r="MIQ53" s="708">
        <f t="shared" si="176"/>
        <v>4.8227551733322284E+119</v>
      </c>
      <c r="MIR53" s="708">
        <f t="shared" si="176"/>
        <v>4.9674378285321957E+119</v>
      </c>
      <c r="MIS53" s="708">
        <f t="shared" si="176"/>
        <v>5.1164609633881616E+119</v>
      </c>
      <c r="MIT53" s="708">
        <f t="shared" si="176"/>
        <v>5.2699547922898064E+119</v>
      </c>
      <c r="MIU53" s="708">
        <f t="shared" si="176"/>
        <v>5.4280534360585008E+119</v>
      </c>
      <c r="MIV53" s="708">
        <f t="shared" si="176"/>
        <v>5.5908950391402557E+119</v>
      </c>
      <c r="MIW53" s="708">
        <f t="shared" si="176"/>
        <v>5.7586218903144638E+119</v>
      </c>
      <c r="MIX53" s="708">
        <f t="shared" si="176"/>
        <v>5.931380547023898E+119</v>
      </c>
      <c r="MIY53" s="708">
        <f t="shared" si="176"/>
        <v>6.1093219634346152E+119</v>
      </c>
      <c r="MIZ53" s="708">
        <f t="shared" si="176"/>
        <v>6.2926016223376536E+119</v>
      </c>
      <c r="MJA53" s="708">
        <f t="shared" si="176"/>
        <v>6.4813796710077831E+119</v>
      </c>
      <c r="MJB53" s="708">
        <f t="shared" si="176"/>
        <v>6.6758210611380171E+119</v>
      </c>
      <c r="MJC53" s="708">
        <f t="shared" si="176"/>
        <v>6.8760956929721572E+119</v>
      </c>
      <c r="MJD53" s="708">
        <f t="shared" si="176"/>
        <v>7.0823785637613223E+119</v>
      </c>
      <c r="MJE53" s="708">
        <f t="shared" si="176"/>
        <v>7.2948499206741616E+119</v>
      </c>
      <c r="MJF53" s="708">
        <f t="shared" si="176"/>
        <v>7.5136954182943873E+119</v>
      </c>
      <c r="MJG53" s="708">
        <f t="shared" si="176"/>
        <v>7.7391062808432188E+119</v>
      </c>
      <c r="MJH53" s="708">
        <f t="shared" si="176"/>
        <v>7.9712794692685155E+119</v>
      </c>
      <c r="MJI53" s="708">
        <f t="shared" si="176"/>
        <v>8.2104178533465716E+119</v>
      </c>
      <c r="MJJ53" s="708">
        <f t="shared" si="176"/>
        <v>8.4567303889469688E+119</v>
      </c>
      <c r="MJK53" s="708">
        <f t="shared" si="176"/>
        <v>8.7104323006153783E+119</v>
      </c>
      <c r="MJL53" s="708">
        <f t="shared" si="176"/>
        <v>8.9717452696338405E+119</v>
      </c>
      <c r="MJM53" s="708">
        <f t="shared" si="176"/>
        <v>9.2408976277228566E+119</v>
      </c>
      <c r="MJN53" s="708">
        <f t="shared" si="176"/>
        <v>9.518124556554543E+119</v>
      </c>
      <c r="MJO53" s="708">
        <f t="shared" si="176"/>
        <v>9.8036682932511799E+119</v>
      </c>
      <c r="MJP53" s="708">
        <f t="shared" si="176"/>
        <v>1.0097778342048715E+120</v>
      </c>
      <c r="MJQ53" s="708">
        <f t="shared" si="176"/>
        <v>1.0400711692310177E+120</v>
      </c>
      <c r="MJR53" s="708">
        <f t="shared" si="176"/>
        <v>1.0712733043079482E+120</v>
      </c>
      <c r="MJS53" s="708">
        <f t="shared" si="176"/>
        <v>1.1034115034371867E+120</v>
      </c>
      <c r="MJT53" s="708">
        <f t="shared" si="176"/>
        <v>1.1365138485403024E+120</v>
      </c>
      <c r="MJU53" s="708">
        <f t="shared" si="176"/>
        <v>1.1706092639965115E+120</v>
      </c>
      <c r="MJV53" s="708">
        <f t="shared" si="176"/>
        <v>1.2057275419164068E+120</v>
      </c>
      <c r="MJW53" s="708">
        <f t="shared" si="176"/>
        <v>1.241899368173899E+120</v>
      </c>
      <c r="MJX53" s="708">
        <f t="shared" si="176"/>
        <v>1.279156349219116E+120</v>
      </c>
      <c r="MJY53" s="708">
        <f t="shared" si="176"/>
        <v>1.3175310396956894E+120</v>
      </c>
      <c r="MJZ53" s="708">
        <f t="shared" si="176"/>
        <v>1.3570569708865602E+120</v>
      </c>
      <c r="MKA53" s="708">
        <f t="shared" si="176"/>
        <v>1.3977686800131571E+120</v>
      </c>
      <c r="MKB53" s="708">
        <f t="shared" si="176"/>
        <v>1.4397017404135519E+120</v>
      </c>
      <c r="MKC53" s="708">
        <f t="shared" si="176"/>
        <v>1.4828927926259585E+120</v>
      </c>
      <c r="MKD53" s="708">
        <f t="shared" si="176"/>
        <v>1.5273795764047372E+120</v>
      </c>
      <c r="MKE53" s="708">
        <f t="shared" si="176"/>
        <v>1.5732009636968793E+120</v>
      </c>
      <c r="MKF53" s="708">
        <f t="shared" si="176"/>
        <v>1.6203969926077856E+120</v>
      </c>
      <c r="MKG53" s="708">
        <f t="shared" si="176"/>
        <v>1.6690089023860194E+120</v>
      </c>
      <c r="MKH53" s="708">
        <f t="shared" si="176"/>
        <v>1.7190791694575999E+120</v>
      </c>
      <c r="MKI53" s="708">
        <f t="shared" si="176"/>
        <v>1.7706515445413281E+120</v>
      </c>
      <c r="MKJ53" s="708">
        <f t="shared" si="176"/>
        <v>1.823771090877568E+120</v>
      </c>
      <c r="MKK53" s="708">
        <f t="shared" si="176"/>
        <v>1.878484223603895E+120</v>
      </c>
      <c r="MKL53" s="708">
        <f t="shared" si="176"/>
        <v>1.934838750312012E+120</v>
      </c>
      <c r="MKM53" s="708">
        <f t="shared" si="176"/>
        <v>1.9928839128213723E+120</v>
      </c>
      <c r="MKN53" s="708">
        <f t="shared" si="176"/>
        <v>2.0526704302060135E+120</v>
      </c>
      <c r="MKO53" s="708">
        <f t="shared" si="176"/>
        <v>2.1142505431121941E+120</v>
      </c>
      <c r="MKP53" s="708">
        <f t="shared" si="176"/>
        <v>2.1776780594055599E+120</v>
      </c>
      <c r="MKQ53" s="708">
        <f t="shared" si="176"/>
        <v>2.2430084011877268E+120</v>
      </c>
      <c r="MKR53" s="708">
        <f t="shared" si="176"/>
        <v>2.3102986532233586E+120</v>
      </c>
      <c r="MKS53" s="708">
        <f t="shared" si="176"/>
        <v>2.3796076128200593E+120</v>
      </c>
      <c r="MKT53" s="708">
        <f t="shared" ref="MKT53:MNE53" si="177">MKS53*$C$53</f>
        <v>2.4509958412046611E+120</v>
      </c>
      <c r="MKU53" s="708">
        <f t="shared" si="177"/>
        <v>2.5245257164408011E+120</v>
      </c>
      <c r="MKV53" s="708">
        <f t="shared" si="177"/>
        <v>2.6002614879340251E+120</v>
      </c>
      <c r="MKW53" s="708">
        <f t="shared" si="177"/>
        <v>2.6782693325720458E+120</v>
      </c>
      <c r="MKX53" s="708">
        <f t="shared" si="177"/>
        <v>2.7586174125492072E+120</v>
      </c>
      <c r="MKY53" s="708">
        <f t="shared" si="177"/>
        <v>2.8413759349256834E+120</v>
      </c>
      <c r="MKZ53" s="708">
        <f t="shared" si="177"/>
        <v>2.9266172129734542E+120</v>
      </c>
      <c r="MLA53" s="708">
        <f t="shared" si="177"/>
        <v>3.0144157293626579E+120</v>
      </c>
      <c r="MLB53" s="708">
        <f t="shared" si="177"/>
        <v>3.1048482012435377E+120</v>
      </c>
      <c r="MLC53" s="708">
        <f t="shared" si="177"/>
        <v>3.197993647280844E+120</v>
      </c>
      <c r="MLD53" s="708">
        <f t="shared" si="177"/>
        <v>3.2939334566992696E+120</v>
      </c>
      <c r="MLE53" s="708">
        <f t="shared" si="177"/>
        <v>3.3927514604002479E+120</v>
      </c>
      <c r="MLF53" s="708">
        <f t="shared" si="177"/>
        <v>3.4945340042122554E+120</v>
      </c>
      <c r="MLG53" s="708">
        <f t="shared" si="177"/>
        <v>3.5993700243386232E+120</v>
      </c>
      <c r="MLH53" s="708">
        <f t="shared" si="177"/>
        <v>3.7073511250687821E+120</v>
      </c>
      <c r="MLI53" s="708">
        <f t="shared" si="177"/>
        <v>3.8185716588208455E+120</v>
      </c>
      <c r="MLJ53" s="708">
        <f t="shared" si="177"/>
        <v>3.9331288085854709E+120</v>
      </c>
      <c r="MLK53" s="708">
        <f t="shared" si="177"/>
        <v>4.0511226728430351E+120</v>
      </c>
      <c r="MLL53" s="708">
        <f t="shared" si="177"/>
        <v>4.1726563530283261E+120</v>
      </c>
      <c r="MLM53" s="708">
        <f t="shared" si="177"/>
        <v>4.2978360436191761E+120</v>
      </c>
      <c r="MLN53" s="708">
        <f t="shared" si="177"/>
        <v>4.4267711249277517E+120</v>
      </c>
      <c r="MLO53" s="708">
        <f t="shared" si="177"/>
        <v>4.5595742586755844E+120</v>
      </c>
      <c r="MLP53" s="708">
        <f t="shared" si="177"/>
        <v>4.696361486435852E+120</v>
      </c>
      <c r="MLQ53" s="708">
        <f t="shared" si="177"/>
        <v>4.8372523310289277E+120</v>
      </c>
      <c r="MLR53" s="708">
        <f t="shared" si="177"/>
        <v>4.9823699009597957E+120</v>
      </c>
      <c r="MLS53" s="708">
        <f t="shared" si="177"/>
        <v>5.1318409979885896E+120</v>
      </c>
      <c r="MLT53" s="708">
        <f t="shared" si="177"/>
        <v>5.2857962279282479E+120</v>
      </c>
      <c r="MLU53" s="708">
        <f t="shared" si="177"/>
        <v>5.4443701147660951E+120</v>
      </c>
      <c r="MLV53" s="708">
        <f t="shared" si="177"/>
        <v>5.6077012182090781E+120</v>
      </c>
      <c r="MLW53" s="708">
        <f t="shared" si="177"/>
        <v>5.7759322547553508E+120</v>
      </c>
      <c r="MLX53" s="708">
        <f t="shared" si="177"/>
        <v>5.9492102223980109E+120</v>
      </c>
      <c r="MLY53" s="708">
        <f t="shared" si="177"/>
        <v>6.127686529069951E+120</v>
      </c>
      <c r="MLZ53" s="708">
        <f t="shared" si="177"/>
        <v>6.3115171249420496E+120</v>
      </c>
      <c r="MMA53" s="708">
        <f t="shared" si="177"/>
        <v>6.5008626386903116E+120</v>
      </c>
      <c r="MMB53" s="708">
        <f t="shared" si="177"/>
        <v>6.6958885178510212E+120</v>
      </c>
      <c r="MMC53" s="708">
        <f t="shared" si="177"/>
        <v>6.8967651733865516E+120</v>
      </c>
      <c r="MMD53" s="708">
        <f t="shared" si="177"/>
        <v>7.1036681285881478E+120</v>
      </c>
      <c r="MME53" s="708">
        <f t="shared" si="177"/>
        <v>7.3167781724457927E+120</v>
      </c>
      <c r="MMF53" s="708">
        <f t="shared" si="177"/>
        <v>7.5362815176191668E+120</v>
      </c>
      <c r="MMG53" s="708">
        <f t="shared" si="177"/>
        <v>7.7623699631477416E+120</v>
      </c>
      <c r="MMH53" s="708">
        <f t="shared" si="177"/>
        <v>7.995241062042174E+120</v>
      </c>
      <c r="MMI53" s="708">
        <f t="shared" si="177"/>
        <v>8.2350982939034393E+120</v>
      </c>
      <c r="MMJ53" s="708">
        <f t="shared" si="177"/>
        <v>8.4821512427205422E+120</v>
      </c>
      <c r="MMK53" s="708">
        <f t="shared" si="177"/>
        <v>8.7366157800021592E+120</v>
      </c>
      <c r="MML53" s="708">
        <f t="shared" si="177"/>
        <v>8.9987142534022243E+120</v>
      </c>
      <c r="MMM53" s="708">
        <f t="shared" si="177"/>
        <v>9.2686756810042913E+120</v>
      </c>
      <c r="MMN53" s="708">
        <f t="shared" si="177"/>
        <v>9.5467359514344205E+120</v>
      </c>
      <c r="MMO53" s="708">
        <f t="shared" si="177"/>
        <v>9.8331380299774533E+120</v>
      </c>
      <c r="MMP53" s="708">
        <f t="shared" si="177"/>
        <v>1.0128132170876777E+121</v>
      </c>
      <c r="MMQ53" s="708">
        <f t="shared" si="177"/>
        <v>1.043197613600308E+121</v>
      </c>
      <c r="MMR53" s="708">
        <f t="shared" si="177"/>
        <v>1.0744935420083172E+121</v>
      </c>
      <c r="MMS53" s="708">
        <f t="shared" si="177"/>
        <v>1.1067283482685667E+121</v>
      </c>
      <c r="MMT53" s="708">
        <f t="shared" si="177"/>
        <v>1.1399301987166237E+121</v>
      </c>
      <c r="MMU53" s="708">
        <f t="shared" si="177"/>
        <v>1.1741281046781223E+121</v>
      </c>
      <c r="MMV53" s="708">
        <f t="shared" si="177"/>
        <v>1.209351947818466E+121</v>
      </c>
      <c r="MMW53" s="708">
        <f t="shared" si="177"/>
        <v>1.2456325062530202E+121</v>
      </c>
      <c r="MMX53" s="708">
        <f t="shared" si="177"/>
        <v>1.2830014814406109E+121</v>
      </c>
      <c r="MMY53" s="708">
        <f t="shared" si="177"/>
        <v>1.3214915258838292E+121</v>
      </c>
      <c r="MMZ53" s="708">
        <f t="shared" si="177"/>
        <v>1.3611362716603442E+121</v>
      </c>
      <c r="MNA53" s="708">
        <f t="shared" si="177"/>
        <v>1.4019703598101545E+121</v>
      </c>
      <c r="MNB53" s="708">
        <f t="shared" si="177"/>
        <v>1.4440294706044592E+121</v>
      </c>
      <c r="MNC53" s="708">
        <f t="shared" si="177"/>
        <v>1.4873503547225931E+121</v>
      </c>
      <c r="MND53" s="708">
        <f t="shared" si="177"/>
        <v>1.531970865364271E+121</v>
      </c>
      <c r="MNE53" s="708">
        <f t="shared" si="177"/>
        <v>1.5779299913251991E+121</v>
      </c>
      <c r="MNF53" s="708">
        <f t="shared" ref="MNF53:MPQ53" si="178">MNE53*$C$53</f>
        <v>1.6252678910649552E+121</v>
      </c>
      <c r="MNG53" s="708">
        <f t="shared" si="178"/>
        <v>1.674025927796904E+121</v>
      </c>
      <c r="MNH53" s="708">
        <f t="shared" si="178"/>
        <v>1.7242467056308112E+121</v>
      </c>
      <c r="MNI53" s="708">
        <f t="shared" si="178"/>
        <v>1.7759741067997355E+121</v>
      </c>
      <c r="MNJ53" s="708">
        <f t="shared" si="178"/>
        <v>1.8292533300037276E+121</v>
      </c>
      <c r="MNK53" s="708">
        <f t="shared" si="178"/>
        <v>1.8841309299038395E+121</v>
      </c>
      <c r="MNL53" s="708">
        <f t="shared" si="178"/>
        <v>1.9406548578009547E+121</v>
      </c>
      <c r="MNM53" s="708">
        <f t="shared" si="178"/>
        <v>1.9988745035349834E+121</v>
      </c>
      <c r="MNN53" s="708">
        <f t="shared" si="178"/>
        <v>2.0588407386410329E+121</v>
      </c>
      <c r="MNO53" s="708">
        <f t="shared" si="178"/>
        <v>2.1206059608002638E+121</v>
      </c>
      <c r="MNP53" s="708">
        <f t="shared" si="178"/>
        <v>2.1842241396242715E+121</v>
      </c>
      <c r="MNQ53" s="708">
        <f t="shared" si="178"/>
        <v>2.2497508638129995E+121</v>
      </c>
      <c r="MNR53" s="708">
        <f t="shared" si="178"/>
        <v>2.3172433897273895E+121</v>
      </c>
      <c r="MNS53" s="708">
        <f t="shared" si="178"/>
        <v>2.3867606914192112E+121</v>
      </c>
      <c r="MNT53" s="708">
        <f t="shared" si="178"/>
        <v>2.4583635121617877E+121</v>
      </c>
      <c r="MNU53" s="708">
        <f t="shared" si="178"/>
        <v>2.5321144175266415E+121</v>
      </c>
      <c r="MNV53" s="708">
        <f t="shared" si="178"/>
        <v>2.6080778500524406E+121</v>
      </c>
      <c r="MNW53" s="708">
        <f t="shared" si="178"/>
        <v>2.6863201855540138E+121</v>
      </c>
      <c r="MNX53" s="708">
        <f t="shared" si="178"/>
        <v>2.7669097911206343E+121</v>
      </c>
      <c r="MNY53" s="708">
        <f t="shared" si="178"/>
        <v>2.8499170848542533E+121</v>
      </c>
      <c r="MNZ53" s="708">
        <f t="shared" si="178"/>
        <v>2.9354145973998808E+121</v>
      </c>
      <c r="MOA53" s="708">
        <f t="shared" si="178"/>
        <v>3.0234770353218774E+121</v>
      </c>
      <c r="MOB53" s="708">
        <f t="shared" si="178"/>
        <v>3.114181346381534E+121</v>
      </c>
      <c r="MOC53" s="708">
        <f t="shared" si="178"/>
        <v>3.2076067867729803E+121</v>
      </c>
      <c r="MOD53" s="708">
        <f t="shared" si="178"/>
        <v>3.3038349903761696E+121</v>
      </c>
      <c r="MOE53" s="708">
        <f t="shared" si="178"/>
        <v>3.402950040087455E+121</v>
      </c>
      <c r="MOF53" s="708">
        <f t="shared" si="178"/>
        <v>3.5050385412900789E+121</v>
      </c>
      <c r="MOG53" s="708">
        <f t="shared" si="178"/>
        <v>3.6101896975287815E+121</v>
      </c>
      <c r="MOH53" s="708">
        <f t="shared" si="178"/>
        <v>3.7184953884546451E+121</v>
      </c>
      <c r="MOI53" s="708">
        <f t="shared" si="178"/>
        <v>3.8300502501082843E+121</v>
      </c>
      <c r="MOJ53" s="708">
        <f t="shared" si="178"/>
        <v>3.9449517576115331E+121</v>
      </c>
      <c r="MOK53" s="708">
        <f t="shared" si="178"/>
        <v>4.0633003103398792E+121</v>
      </c>
      <c r="MOL53" s="708">
        <f t="shared" si="178"/>
        <v>4.1851993196500756E+121</v>
      </c>
      <c r="MOM53" s="708">
        <f t="shared" si="178"/>
        <v>4.310755299239578E+121</v>
      </c>
      <c r="MON53" s="708">
        <f t="shared" si="178"/>
        <v>4.4400779582167654E+121</v>
      </c>
      <c r="MOO53" s="708">
        <f t="shared" si="178"/>
        <v>4.5732802969632689E+121</v>
      </c>
      <c r="MOP53" s="708">
        <f t="shared" si="178"/>
        <v>4.7104787058721672E+121</v>
      </c>
      <c r="MOQ53" s="708">
        <f t="shared" si="178"/>
        <v>4.8517930670483327E+121</v>
      </c>
      <c r="MOR53" s="708">
        <f t="shared" si="178"/>
        <v>4.9973468590597824E+121</v>
      </c>
      <c r="MOS53" s="708">
        <f t="shared" si="178"/>
        <v>5.1472672648315761E+121</v>
      </c>
      <c r="MOT53" s="708">
        <f t="shared" si="178"/>
        <v>5.3016852827765231E+121</v>
      </c>
      <c r="MOU53" s="708">
        <f t="shared" si="178"/>
        <v>5.4607358412598191E+121</v>
      </c>
      <c r="MOV53" s="708">
        <f t="shared" si="178"/>
        <v>5.6245579164976139E+121</v>
      </c>
      <c r="MOW53" s="708">
        <f t="shared" si="178"/>
        <v>5.7932946539925423E+121</v>
      </c>
      <c r="MOX53" s="708">
        <f t="shared" si="178"/>
        <v>5.9670934936123191E+121</v>
      </c>
      <c r="MOY53" s="708">
        <f t="shared" si="178"/>
        <v>6.1461062984206892E+121</v>
      </c>
      <c r="MOZ53" s="708">
        <f t="shared" si="178"/>
        <v>6.3304894873733102E+121</v>
      </c>
      <c r="MPA53" s="708">
        <f t="shared" si="178"/>
        <v>6.5204041719945101E+121</v>
      </c>
      <c r="MPB53" s="708">
        <f t="shared" si="178"/>
        <v>6.7160162971543454E+121</v>
      </c>
      <c r="MPC53" s="708">
        <f t="shared" si="178"/>
        <v>6.9174967860689756E+121</v>
      </c>
      <c r="MPD53" s="708">
        <f t="shared" si="178"/>
        <v>7.1250216896510452E+121</v>
      </c>
      <c r="MPE53" s="708">
        <f t="shared" si="178"/>
        <v>7.3387723403405769E+121</v>
      </c>
      <c r="MPF53" s="708">
        <f t="shared" si="178"/>
        <v>7.5589355105507943E+121</v>
      </c>
      <c r="MPG53" s="708">
        <f t="shared" si="178"/>
        <v>7.7857035758673185E+121</v>
      </c>
      <c r="MPH53" s="708">
        <f t="shared" si="178"/>
        <v>8.0192746831433382E+121</v>
      </c>
      <c r="MPI53" s="708">
        <f t="shared" si="178"/>
        <v>8.2598529236376388E+121</v>
      </c>
      <c r="MPJ53" s="708">
        <f t="shared" si="178"/>
        <v>8.5076485113467676E+121</v>
      </c>
      <c r="MPK53" s="708">
        <f t="shared" si="178"/>
        <v>8.7628779666871715E+121</v>
      </c>
      <c r="MPL53" s="708">
        <f t="shared" si="178"/>
        <v>9.0257643056877873E+121</v>
      </c>
      <c r="MPM53" s="708">
        <f t="shared" si="178"/>
        <v>9.296537234858421E+121</v>
      </c>
      <c r="MPN53" s="708">
        <f t="shared" si="178"/>
        <v>9.5754333519041745E+121</v>
      </c>
      <c r="MPO53" s="708">
        <f t="shared" si="178"/>
        <v>9.8626963524612994E+121</v>
      </c>
      <c r="MPP53" s="708">
        <f t="shared" si="178"/>
        <v>1.0158577243035138E+122</v>
      </c>
      <c r="MPQ53" s="708">
        <f t="shared" si="178"/>
        <v>1.0463334560326192E+122</v>
      </c>
      <c r="MPR53" s="708">
        <f t="shared" ref="MPR53:MSC53" si="179">MPQ53*$C$53</f>
        <v>1.0777234597135978E+122</v>
      </c>
      <c r="MPS53" s="708">
        <f t="shared" si="179"/>
        <v>1.1100551635050058E+122</v>
      </c>
      <c r="MPT53" s="708">
        <f t="shared" si="179"/>
        <v>1.143356818410156E+122</v>
      </c>
      <c r="MPU53" s="708">
        <f t="shared" si="179"/>
        <v>1.1776575229624607E+122</v>
      </c>
      <c r="MPV53" s="708">
        <f t="shared" si="179"/>
        <v>1.2129872486513345E+122</v>
      </c>
      <c r="MPW53" s="708">
        <f t="shared" si="179"/>
        <v>1.2493768661108746E+122</v>
      </c>
      <c r="MPX53" s="708">
        <f t="shared" si="179"/>
        <v>1.2868581720942008E+122</v>
      </c>
      <c r="MPY53" s="708">
        <f t="shared" si="179"/>
        <v>1.3254639172570269E+122</v>
      </c>
      <c r="MPZ53" s="708">
        <f t="shared" si="179"/>
        <v>1.3652278347747378E+122</v>
      </c>
      <c r="MQA53" s="708">
        <f t="shared" si="179"/>
        <v>1.4061846698179798E+122</v>
      </c>
      <c r="MQB53" s="708">
        <f t="shared" si="179"/>
        <v>1.4483702099125192E+122</v>
      </c>
      <c r="MQC53" s="708">
        <f t="shared" si="179"/>
        <v>1.4918213162098949E+122</v>
      </c>
      <c r="MQD53" s="708">
        <f t="shared" si="179"/>
        <v>1.5365759556961918E+122</v>
      </c>
      <c r="MQE53" s="708">
        <f t="shared" si="179"/>
        <v>1.5826732343670776E+122</v>
      </c>
      <c r="MQF53" s="708">
        <f t="shared" si="179"/>
        <v>1.63015343139809E+122</v>
      </c>
      <c r="MQG53" s="708">
        <f t="shared" si="179"/>
        <v>1.6790580343400328E+122</v>
      </c>
      <c r="MQH53" s="708">
        <f t="shared" si="179"/>
        <v>1.729429775370234E+122</v>
      </c>
      <c r="MQI53" s="708">
        <f t="shared" si="179"/>
        <v>1.781312668631341E+122</v>
      </c>
      <c r="MQJ53" s="708">
        <f t="shared" si="179"/>
        <v>1.8347520486902813E+122</v>
      </c>
      <c r="MQK53" s="708">
        <f t="shared" si="179"/>
        <v>1.8897946101509896E+122</v>
      </c>
      <c r="MQL53" s="708">
        <f t="shared" si="179"/>
        <v>1.9464884484555193E+122</v>
      </c>
      <c r="MQM53" s="708">
        <f t="shared" si="179"/>
        <v>2.004883101909185E+122</v>
      </c>
      <c r="MQN53" s="708">
        <f t="shared" si="179"/>
        <v>2.0650295949664604E+122</v>
      </c>
      <c r="MQO53" s="708">
        <f t="shared" si="179"/>
        <v>2.1269804828154541E+122</v>
      </c>
      <c r="MQP53" s="708">
        <f t="shared" si="179"/>
        <v>2.1907898972999179E+122</v>
      </c>
      <c r="MQQ53" s="708">
        <f t="shared" si="179"/>
        <v>2.2565135942189155E+122</v>
      </c>
      <c r="MQR53" s="708">
        <f t="shared" si="179"/>
        <v>2.3242090020454831E+122</v>
      </c>
      <c r="MQS53" s="708">
        <f t="shared" si="179"/>
        <v>2.3939352721068477E+122</v>
      </c>
      <c r="MQT53" s="708">
        <f t="shared" si="179"/>
        <v>2.4657533302700532E+122</v>
      </c>
      <c r="MQU53" s="708">
        <f t="shared" si="179"/>
        <v>2.5397259301781549E+122</v>
      </c>
      <c r="MQV53" s="708">
        <f t="shared" si="179"/>
        <v>2.6159177080834996E+122</v>
      </c>
      <c r="MQW53" s="708">
        <f t="shared" si="179"/>
        <v>2.6943952393260047E+122</v>
      </c>
      <c r="MQX53" s="708">
        <f t="shared" si="179"/>
        <v>2.7752270965057848E+122</v>
      </c>
      <c r="MQY53" s="708">
        <f t="shared" si="179"/>
        <v>2.8584839094009584E+122</v>
      </c>
      <c r="MQZ53" s="708">
        <f t="shared" si="179"/>
        <v>2.9442384266829873E+122</v>
      </c>
      <c r="MRA53" s="708">
        <f t="shared" si="179"/>
        <v>3.032565579483477E+122</v>
      </c>
      <c r="MRB53" s="708">
        <f t="shared" si="179"/>
        <v>3.1235425468679815E+122</v>
      </c>
      <c r="MRC53" s="708">
        <f t="shared" si="179"/>
        <v>3.2172488232740212E+122</v>
      </c>
      <c r="MRD53" s="708">
        <f t="shared" si="179"/>
        <v>3.3137662879722419E+122</v>
      </c>
      <c r="MRE53" s="708">
        <f t="shared" si="179"/>
        <v>3.4131792766114096E+122</v>
      </c>
      <c r="MRF53" s="708">
        <f t="shared" si="179"/>
        <v>3.515574654909752E+122</v>
      </c>
      <c r="MRG53" s="708">
        <f t="shared" si="179"/>
        <v>3.6210418945570447E+122</v>
      </c>
      <c r="MRH53" s="708">
        <f t="shared" si="179"/>
        <v>3.7296731513937561E+122</v>
      </c>
      <c r="MRI53" s="708">
        <f t="shared" si="179"/>
        <v>3.8415633459355688E+122</v>
      </c>
      <c r="MRJ53" s="708">
        <f t="shared" si="179"/>
        <v>3.9568102463136362E+122</v>
      </c>
      <c r="MRK53" s="708">
        <f t="shared" si="179"/>
        <v>4.0755145537030455E+122</v>
      </c>
      <c r="MRL53" s="708">
        <f t="shared" si="179"/>
        <v>4.1977799903141372E+122</v>
      </c>
      <c r="MRM53" s="708">
        <f t="shared" si="179"/>
        <v>4.3237133900235613E+122</v>
      </c>
      <c r="MRN53" s="708">
        <f t="shared" si="179"/>
        <v>4.4534247917242682E+122</v>
      </c>
      <c r="MRO53" s="708">
        <f t="shared" si="179"/>
        <v>4.5870275354759966E+122</v>
      </c>
      <c r="MRP53" s="708">
        <f t="shared" si="179"/>
        <v>4.7246383615402763E+122</v>
      </c>
      <c r="MRQ53" s="708">
        <f t="shared" si="179"/>
        <v>4.8663775123864847E+122</v>
      </c>
      <c r="MRR53" s="708">
        <f t="shared" si="179"/>
        <v>5.0123688377580792E+122</v>
      </c>
      <c r="MRS53" s="708">
        <f t="shared" si="179"/>
        <v>5.162739902890822E+122</v>
      </c>
      <c r="MRT53" s="708">
        <f t="shared" si="179"/>
        <v>5.3176220999775472E+122</v>
      </c>
      <c r="MRU53" s="708">
        <f t="shared" si="179"/>
        <v>5.477150762976874E+122</v>
      </c>
      <c r="MRV53" s="708">
        <f t="shared" si="179"/>
        <v>5.6414652858661802E+122</v>
      </c>
      <c r="MRW53" s="708">
        <f t="shared" si="179"/>
        <v>5.8107092444421659E+122</v>
      </c>
      <c r="MRX53" s="708">
        <f t="shared" si="179"/>
        <v>5.9850305217754309E+122</v>
      </c>
      <c r="MRY53" s="708">
        <f t="shared" si="179"/>
        <v>6.1645814374286938E+122</v>
      </c>
      <c r="MRZ53" s="708">
        <f t="shared" si="179"/>
        <v>6.349518880551555E+122</v>
      </c>
      <c r="MSA53" s="708">
        <f t="shared" si="179"/>
        <v>6.540004446968102E+122</v>
      </c>
      <c r="MSB53" s="708">
        <f t="shared" si="179"/>
        <v>6.7362045803771458E+122</v>
      </c>
      <c r="MSC53" s="708">
        <f t="shared" si="179"/>
        <v>6.9382907177884598E+122</v>
      </c>
      <c r="MSD53" s="708">
        <f t="shared" ref="MSD53:MUO53" si="180">MSC53*$C$53</f>
        <v>7.1464394393221136E+122</v>
      </c>
      <c r="MSE53" s="708">
        <f t="shared" si="180"/>
        <v>7.3608326225017772E+122</v>
      </c>
      <c r="MSF53" s="708">
        <f t="shared" si="180"/>
        <v>7.58165760117683E+122</v>
      </c>
      <c r="MSG53" s="708">
        <f t="shared" si="180"/>
        <v>7.8091073292121354E+122</v>
      </c>
      <c r="MSH53" s="708">
        <f t="shared" si="180"/>
        <v>8.0433805490884992E+122</v>
      </c>
      <c r="MSI53" s="708">
        <f t="shared" si="180"/>
        <v>8.2846819655611551E+122</v>
      </c>
      <c r="MSJ53" s="708">
        <f t="shared" si="180"/>
        <v>8.5332224245279896E+122</v>
      </c>
      <c r="MSK53" s="708">
        <f t="shared" si="180"/>
        <v>8.7892190972638302E+122</v>
      </c>
      <c r="MSL53" s="708">
        <f t="shared" si="180"/>
        <v>9.0528956701817451E+122</v>
      </c>
      <c r="MSM53" s="708">
        <f t="shared" si="180"/>
        <v>9.3244825402871971E+122</v>
      </c>
      <c r="MSN53" s="708">
        <f t="shared" si="180"/>
        <v>9.6042170164958126E+122</v>
      </c>
      <c r="MSO53" s="708">
        <f t="shared" si="180"/>
        <v>9.8923435269906871E+122</v>
      </c>
      <c r="MSP53" s="708">
        <f t="shared" si="180"/>
        <v>1.0189113832800408E+123</v>
      </c>
      <c r="MSQ53" s="708">
        <f t="shared" si="180"/>
        <v>1.049478724778442E+123</v>
      </c>
      <c r="MSR53" s="708">
        <f t="shared" si="180"/>
        <v>1.0809630865217954E+123</v>
      </c>
      <c r="MSS53" s="708">
        <f t="shared" si="180"/>
        <v>1.1133919791174493E+123</v>
      </c>
      <c r="MST53" s="708">
        <f t="shared" si="180"/>
        <v>1.1467937384909727E+123</v>
      </c>
      <c r="MSU53" s="708">
        <f t="shared" si="180"/>
        <v>1.1811975506457019E+123</v>
      </c>
      <c r="MSV53" s="708">
        <f t="shared" si="180"/>
        <v>1.216633477165073E+123</v>
      </c>
      <c r="MSW53" s="708">
        <f t="shared" si="180"/>
        <v>1.2531324814800252E+123</v>
      </c>
      <c r="MSX53" s="708">
        <f t="shared" si="180"/>
        <v>1.290726455924426E+123</v>
      </c>
      <c r="MSY53" s="708">
        <f t="shared" si="180"/>
        <v>1.3294482496021587E+123</v>
      </c>
      <c r="MSZ53" s="708">
        <f t="shared" si="180"/>
        <v>1.3693316970902235E+123</v>
      </c>
      <c r="MTA53" s="708">
        <f t="shared" si="180"/>
        <v>1.4104116480029302E+123</v>
      </c>
      <c r="MTB53" s="708">
        <f t="shared" si="180"/>
        <v>1.4527239974430182E+123</v>
      </c>
      <c r="MTC53" s="708">
        <f t="shared" si="180"/>
        <v>1.4963057173663089E+123</v>
      </c>
      <c r="MTD53" s="708">
        <f t="shared" si="180"/>
        <v>1.5411948888872982E+123</v>
      </c>
      <c r="MTE53" s="708">
        <f t="shared" si="180"/>
        <v>1.5874307355539173E+123</v>
      </c>
      <c r="MTF53" s="708">
        <f t="shared" si="180"/>
        <v>1.6350536576205347E+123</v>
      </c>
      <c r="MTG53" s="708">
        <f t="shared" si="180"/>
        <v>1.6841052673491507E+123</v>
      </c>
      <c r="MTH53" s="708">
        <f t="shared" si="180"/>
        <v>1.7346284253696253E+123</v>
      </c>
      <c r="MTI53" s="708">
        <f t="shared" si="180"/>
        <v>1.7866672781307142E+123</v>
      </c>
      <c r="MTJ53" s="708">
        <f t="shared" si="180"/>
        <v>1.8402672964746355E+123</v>
      </c>
      <c r="MTK53" s="708">
        <f t="shared" si="180"/>
        <v>1.8954753153688746E+123</v>
      </c>
      <c r="MTL53" s="708">
        <f t="shared" si="180"/>
        <v>1.9523395748299409E+123</v>
      </c>
      <c r="MTM53" s="708">
        <f t="shared" si="180"/>
        <v>2.0109097620748393E+123</v>
      </c>
      <c r="MTN53" s="708">
        <f t="shared" si="180"/>
        <v>2.0712370549370844E+123</v>
      </c>
      <c r="MTO53" s="708">
        <f t="shared" si="180"/>
        <v>2.133374166585197E+123</v>
      </c>
      <c r="MTP53" s="708">
        <f t="shared" si="180"/>
        <v>2.1973753915827529E+123</v>
      </c>
      <c r="MTQ53" s="708">
        <f t="shared" si="180"/>
        <v>2.2632966533302355E+123</v>
      </c>
      <c r="MTR53" s="708">
        <f t="shared" si="180"/>
        <v>2.3311955529301426E+123</v>
      </c>
      <c r="MTS53" s="708">
        <f t="shared" si="180"/>
        <v>2.4011314195180471E+123</v>
      </c>
      <c r="MTT53" s="708">
        <f t="shared" si="180"/>
        <v>2.4731653621035886E+123</v>
      </c>
      <c r="MTU53" s="708">
        <f t="shared" si="180"/>
        <v>2.5473603229666962E+123</v>
      </c>
      <c r="MTV53" s="708">
        <f t="shared" si="180"/>
        <v>2.623781132655697E+123</v>
      </c>
      <c r="MTW53" s="708">
        <f t="shared" si="180"/>
        <v>2.7024945666353678E+123</v>
      </c>
      <c r="MTX53" s="708">
        <f t="shared" si="180"/>
        <v>2.7835694036344292E+123</v>
      </c>
      <c r="MTY53" s="708">
        <f t="shared" si="180"/>
        <v>2.867076485743462E+123</v>
      </c>
      <c r="MTZ53" s="708">
        <f t="shared" si="180"/>
        <v>2.9530887803157657E+123</v>
      </c>
      <c r="MUA53" s="708">
        <f t="shared" si="180"/>
        <v>3.0416814437252385E+123</v>
      </c>
      <c r="MUB53" s="708">
        <f t="shared" si="180"/>
        <v>3.1329318870369957E+123</v>
      </c>
      <c r="MUC53" s="708">
        <f t="shared" si="180"/>
        <v>3.2269198436481057E+123</v>
      </c>
      <c r="MUD53" s="708">
        <f t="shared" si="180"/>
        <v>3.3237274389575488E+123</v>
      </c>
      <c r="MUE53" s="708">
        <f t="shared" si="180"/>
        <v>3.4234392621262755E+123</v>
      </c>
      <c r="MUF53" s="708">
        <f t="shared" si="180"/>
        <v>3.5261424399900639E+123</v>
      </c>
      <c r="MUG53" s="708">
        <f t="shared" si="180"/>
        <v>3.6319267131897661E+123</v>
      </c>
      <c r="MUH53" s="708">
        <f t="shared" si="180"/>
        <v>3.7408845145854591E+123</v>
      </c>
      <c r="MUI53" s="708">
        <f t="shared" si="180"/>
        <v>3.8531110500230227E+123</v>
      </c>
      <c r="MUJ53" s="708">
        <f t="shared" si="180"/>
        <v>3.9687043815237134E+123</v>
      </c>
      <c r="MUK53" s="708">
        <f t="shared" si="180"/>
        <v>4.0877655129694246E+123</v>
      </c>
      <c r="MUL53" s="708">
        <f t="shared" si="180"/>
        <v>4.2103984783585077E+123</v>
      </c>
      <c r="MUM53" s="708">
        <f t="shared" si="180"/>
        <v>4.3367104327092632E+123</v>
      </c>
      <c r="MUN53" s="708">
        <f t="shared" si="180"/>
        <v>4.4668117456905411E+123</v>
      </c>
      <c r="MUO53" s="708">
        <f t="shared" si="180"/>
        <v>4.6008160980612578E+123</v>
      </c>
      <c r="MUP53" s="708">
        <f t="shared" ref="MUP53:MXA53" si="181">MUO53*$C$53</f>
        <v>4.7388405810030955E+123</v>
      </c>
      <c r="MUQ53" s="708">
        <f t="shared" si="181"/>
        <v>4.8810057984331884E+123</v>
      </c>
      <c r="MUR53" s="708">
        <f t="shared" si="181"/>
        <v>5.027435972386184E+123</v>
      </c>
      <c r="MUS53" s="708">
        <f t="shared" si="181"/>
        <v>5.1782590515577698E+123</v>
      </c>
      <c r="MUT53" s="708">
        <f t="shared" si="181"/>
        <v>5.3336068231045029E+123</v>
      </c>
      <c r="MUU53" s="708">
        <f t="shared" si="181"/>
        <v>5.4936150277976384E+123</v>
      </c>
      <c r="MUV53" s="708">
        <f t="shared" si="181"/>
        <v>5.658423478631568E+123</v>
      </c>
      <c r="MUW53" s="708">
        <f t="shared" si="181"/>
        <v>5.8281761829905155E+123</v>
      </c>
      <c r="MUX53" s="708">
        <f t="shared" si="181"/>
        <v>6.0030214684802314E+123</v>
      </c>
      <c r="MUY53" s="708">
        <f t="shared" si="181"/>
        <v>6.1831121125346389E+123</v>
      </c>
      <c r="MUZ53" s="708">
        <f t="shared" si="181"/>
        <v>6.3686054759106785E+123</v>
      </c>
      <c r="MVA53" s="708">
        <f t="shared" si="181"/>
        <v>6.5596636401879988E+123</v>
      </c>
      <c r="MVB53" s="708">
        <f t="shared" si="181"/>
        <v>6.7564535493936387E+123</v>
      </c>
      <c r="MVC53" s="708">
        <f t="shared" si="181"/>
        <v>6.9591471558754481E+123</v>
      </c>
      <c r="MVD53" s="708">
        <f t="shared" si="181"/>
        <v>7.167921570551712E+123</v>
      </c>
      <c r="MVE53" s="708">
        <f t="shared" si="181"/>
        <v>7.3829592176682633E+123</v>
      </c>
      <c r="MVF53" s="708">
        <f t="shared" si="181"/>
        <v>7.6044479941983115E+123</v>
      </c>
      <c r="MVG53" s="708">
        <f t="shared" si="181"/>
        <v>7.8325814340242612E+123</v>
      </c>
      <c r="MVH53" s="708">
        <f t="shared" si="181"/>
        <v>8.0675588770449896E+123</v>
      </c>
      <c r="MVI53" s="708">
        <f t="shared" si="181"/>
        <v>8.3095856433563394E+123</v>
      </c>
      <c r="MVJ53" s="708">
        <f t="shared" si="181"/>
        <v>8.5588732126570301E+123</v>
      </c>
      <c r="MVK53" s="708">
        <f t="shared" si="181"/>
        <v>8.815639409036741E+123</v>
      </c>
      <c r="MVL53" s="708">
        <f t="shared" si="181"/>
        <v>9.0801085913078435E+123</v>
      </c>
      <c r="MVM53" s="708">
        <f t="shared" si="181"/>
        <v>9.3525118490470792E+123</v>
      </c>
      <c r="MVN53" s="708">
        <f t="shared" si="181"/>
        <v>9.6330872045184915E+123</v>
      </c>
      <c r="MVO53" s="708">
        <f t="shared" si="181"/>
        <v>9.9220798206540466E+123</v>
      </c>
      <c r="MVP53" s="708">
        <f t="shared" si="181"/>
        <v>1.0219742215273668E+124</v>
      </c>
      <c r="MVQ53" s="708">
        <f t="shared" si="181"/>
        <v>1.0526334481731877E+124</v>
      </c>
      <c r="MVR53" s="708">
        <f t="shared" si="181"/>
        <v>1.0842124516183835E+124</v>
      </c>
      <c r="MVS53" s="708">
        <f t="shared" si="181"/>
        <v>1.1167388251669351E+124</v>
      </c>
      <c r="MVT53" s="708">
        <f t="shared" si="181"/>
        <v>1.1502409899219432E+124</v>
      </c>
      <c r="MVU53" s="708">
        <f t="shared" si="181"/>
        <v>1.1847482196196015E+124</v>
      </c>
      <c r="MVV53" s="708">
        <f t="shared" si="181"/>
        <v>1.2202906662081897E+124</v>
      </c>
      <c r="MVW53" s="708">
        <f t="shared" si="181"/>
        <v>1.2568993861944354E+124</v>
      </c>
      <c r="MVX53" s="708">
        <f t="shared" si="181"/>
        <v>1.2946063677802685E+124</v>
      </c>
      <c r="MVY53" s="708">
        <f t="shared" si="181"/>
        <v>1.3334445588136765E+124</v>
      </c>
      <c r="MVZ53" s="708">
        <f t="shared" si="181"/>
        <v>1.3734478955780869E+124</v>
      </c>
      <c r="MWA53" s="708">
        <f t="shared" si="181"/>
        <v>1.4146513324454294E+124</v>
      </c>
      <c r="MWB53" s="708">
        <f t="shared" si="181"/>
        <v>1.4570908724187924E+124</v>
      </c>
      <c r="MWC53" s="708">
        <f t="shared" si="181"/>
        <v>1.5008035985913562E+124</v>
      </c>
      <c r="MWD53" s="708">
        <f t="shared" si="181"/>
        <v>1.5458277065490969E+124</v>
      </c>
      <c r="MWE53" s="708">
        <f t="shared" si="181"/>
        <v>1.5922025377455698E+124</v>
      </c>
      <c r="MWF53" s="708">
        <f t="shared" si="181"/>
        <v>1.6399686138779369E+124</v>
      </c>
      <c r="MWG53" s="708">
        <f t="shared" si="181"/>
        <v>1.6891676722942751E+124</v>
      </c>
      <c r="MWH53" s="708">
        <f t="shared" si="181"/>
        <v>1.7398427024631033E+124</v>
      </c>
      <c r="MWI53" s="708">
        <f t="shared" si="181"/>
        <v>1.7920379835369966E+124</v>
      </c>
      <c r="MWJ53" s="708">
        <f t="shared" si="181"/>
        <v>1.8457991230431066E+124</v>
      </c>
      <c r="MWK53" s="708">
        <f t="shared" si="181"/>
        <v>1.9011730967343999E+124</v>
      </c>
      <c r="MWL53" s="708">
        <f t="shared" si="181"/>
        <v>1.9582082896364319E+124</v>
      </c>
      <c r="MWM53" s="708">
        <f t="shared" si="181"/>
        <v>2.016954538325525E+124</v>
      </c>
      <c r="MWN53" s="708">
        <f t="shared" si="181"/>
        <v>2.0774631744752908E+124</v>
      </c>
      <c r="MWO53" s="708">
        <f t="shared" si="181"/>
        <v>2.1397870697095497E+124</v>
      </c>
      <c r="MWP53" s="708">
        <f t="shared" si="181"/>
        <v>2.2039806818008363E+124</v>
      </c>
      <c r="MWQ53" s="708">
        <f t="shared" si="181"/>
        <v>2.2701001022548613E+124</v>
      </c>
      <c r="MWR53" s="708">
        <f t="shared" si="181"/>
        <v>2.3382031053225072E+124</v>
      </c>
      <c r="MWS53" s="708">
        <f t="shared" si="181"/>
        <v>2.4083491984821825E+124</v>
      </c>
      <c r="MWT53" s="708">
        <f t="shared" si="181"/>
        <v>2.4805996744366479E+124</v>
      </c>
      <c r="MWU53" s="708">
        <f t="shared" si="181"/>
        <v>2.5550176646697473E+124</v>
      </c>
      <c r="MWV53" s="708">
        <f t="shared" si="181"/>
        <v>2.6316681946098397E+124</v>
      </c>
      <c r="MWW53" s="708">
        <f t="shared" si="181"/>
        <v>2.710618240448135E+124</v>
      </c>
      <c r="MWX53" s="708">
        <f t="shared" si="181"/>
        <v>2.7919367876615792E+124</v>
      </c>
      <c r="MWY53" s="708">
        <f t="shared" si="181"/>
        <v>2.8756948912914268E+124</v>
      </c>
      <c r="MWZ53" s="708">
        <f t="shared" si="181"/>
        <v>2.9619657380301698E+124</v>
      </c>
      <c r="MXA53" s="708">
        <f t="shared" si="181"/>
        <v>3.0508247101710752E+124</v>
      </c>
      <c r="MXB53" s="708">
        <f t="shared" ref="MXB53:MZM53" si="182">MXA53*$C$53</f>
        <v>3.1423494514762073E+124</v>
      </c>
      <c r="MXC53" s="708">
        <f t="shared" si="182"/>
        <v>3.2366199350204936E+124</v>
      </c>
      <c r="MXD53" s="708">
        <f t="shared" si="182"/>
        <v>3.3337185330711085E+124</v>
      </c>
      <c r="MXE53" s="708">
        <f t="shared" si="182"/>
        <v>3.4337300890632418E+124</v>
      </c>
      <c r="MXF53" s="708">
        <f t="shared" si="182"/>
        <v>3.5367419917351393E+124</v>
      </c>
      <c r="MXG53" s="708">
        <f t="shared" si="182"/>
        <v>3.6428442514871935E+124</v>
      </c>
      <c r="MXH53" s="708">
        <f t="shared" si="182"/>
        <v>3.7521295790318096E+124</v>
      </c>
      <c r="MXI53" s="708">
        <f t="shared" si="182"/>
        <v>3.8646934664027639E+124</v>
      </c>
      <c r="MXJ53" s="708">
        <f t="shared" si="182"/>
        <v>3.9806342703948469E+124</v>
      </c>
      <c r="MXK53" s="708">
        <f t="shared" si="182"/>
        <v>4.1000532985066923E+124</v>
      </c>
      <c r="MXL53" s="708">
        <f t="shared" si="182"/>
        <v>4.2230548974618932E+124</v>
      </c>
      <c r="MXM53" s="708">
        <f t="shared" si="182"/>
        <v>4.3497465443857503E+124</v>
      </c>
      <c r="MXN53" s="708">
        <f t="shared" si="182"/>
        <v>4.4802389407173232E+124</v>
      </c>
      <c r="MXO53" s="708">
        <f t="shared" si="182"/>
        <v>4.6146461089388432E+124</v>
      </c>
      <c r="MXP53" s="708">
        <f t="shared" si="182"/>
        <v>4.7530854922070084E+124</v>
      </c>
      <c r="MXQ53" s="708">
        <f t="shared" si="182"/>
        <v>4.8956780569732186E+124</v>
      </c>
      <c r="MXR53" s="708">
        <f t="shared" si="182"/>
        <v>5.0425483986824149E+124</v>
      </c>
      <c r="MXS53" s="708">
        <f t="shared" si="182"/>
        <v>5.1938248506428878E+124</v>
      </c>
      <c r="MXT53" s="708">
        <f t="shared" si="182"/>
        <v>5.3496395961621744E+124</v>
      </c>
      <c r="MXU53" s="708">
        <f t="shared" si="182"/>
        <v>5.5101287840470399E+124</v>
      </c>
      <c r="MXV53" s="708">
        <f t="shared" si="182"/>
        <v>5.6754326475684508E+124</v>
      </c>
      <c r="MXW53" s="708">
        <f t="shared" si="182"/>
        <v>5.8456956269955043E+124</v>
      </c>
      <c r="MXX53" s="708">
        <f t="shared" si="182"/>
        <v>6.0210664958053695E+124</v>
      </c>
      <c r="MXY53" s="708">
        <f t="shared" si="182"/>
        <v>6.2016984906795306E+124</v>
      </c>
      <c r="MXZ53" s="708">
        <f t="shared" si="182"/>
        <v>6.387749445399917E+124</v>
      </c>
      <c r="MYA53" s="708">
        <f t="shared" si="182"/>
        <v>6.5793819287619146E+124</v>
      </c>
      <c r="MYB53" s="708">
        <f t="shared" si="182"/>
        <v>6.776763386624772E+124</v>
      </c>
      <c r="MYC53" s="708">
        <f t="shared" si="182"/>
        <v>6.9800662882235159E+124</v>
      </c>
      <c r="MYD53" s="708">
        <f t="shared" si="182"/>
        <v>7.1894682768702216E+124</v>
      </c>
      <c r="MYE53" s="708">
        <f t="shared" si="182"/>
        <v>7.4051523251763283E+124</v>
      </c>
      <c r="MYF53" s="708">
        <f t="shared" si="182"/>
        <v>7.6273068949316187E+124</v>
      </c>
      <c r="MYG53" s="708">
        <f t="shared" si="182"/>
        <v>7.8561261017795675E+124</v>
      </c>
      <c r="MYH53" s="708">
        <f t="shared" si="182"/>
        <v>8.0918098848329546E+124</v>
      </c>
      <c r="MYI53" s="708">
        <f t="shared" si="182"/>
        <v>8.3345641813779435E+124</v>
      </c>
      <c r="MYJ53" s="708">
        <f t="shared" si="182"/>
        <v>8.5846011068192821E+124</v>
      </c>
      <c r="MYK53" s="708">
        <f t="shared" si="182"/>
        <v>8.8421391400238613E+124</v>
      </c>
      <c r="MYL53" s="708">
        <f t="shared" si="182"/>
        <v>9.1074033142245776E+124</v>
      </c>
      <c r="MYM53" s="708">
        <f t="shared" si="182"/>
        <v>9.3806254136513146E+124</v>
      </c>
      <c r="MYN53" s="708">
        <f t="shared" si="182"/>
        <v>9.6620441760608544E+124</v>
      </c>
      <c r="MYO53" s="708">
        <f t="shared" si="182"/>
        <v>9.9519055013426798E+124</v>
      </c>
      <c r="MYP53" s="708">
        <f t="shared" si="182"/>
        <v>1.025046266638296E+125</v>
      </c>
      <c r="MYQ53" s="708">
        <f t="shared" si="182"/>
        <v>1.055797654637445E+125</v>
      </c>
      <c r="MYR53" s="708">
        <f t="shared" si="182"/>
        <v>1.0874715842765684E+125</v>
      </c>
      <c r="MYS53" s="708">
        <f t="shared" si="182"/>
        <v>1.1200957318048655E+125</v>
      </c>
      <c r="MYT53" s="708">
        <f t="shared" si="182"/>
        <v>1.1536986037590114E+125</v>
      </c>
      <c r="MYU53" s="708">
        <f t="shared" si="182"/>
        <v>1.1883095618717819E+125</v>
      </c>
      <c r="MYV53" s="708">
        <f t="shared" si="182"/>
        <v>1.2239588487279354E+125</v>
      </c>
      <c r="MYW53" s="708">
        <f t="shared" si="182"/>
        <v>1.2606776141897734E+125</v>
      </c>
      <c r="MYX53" s="708">
        <f t="shared" si="182"/>
        <v>1.2984979426154667E+125</v>
      </c>
      <c r="MYY53" s="708">
        <f t="shared" si="182"/>
        <v>1.3374528808939307E+125</v>
      </c>
      <c r="MYZ53" s="708">
        <f t="shared" si="182"/>
        <v>1.3775764673207487E+125</v>
      </c>
      <c r="MZA53" s="708">
        <f t="shared" si="182"/>
        <v>1.4189037613403712E+125</v>
      </c>
      <c r="MZB53" s="708">
        <f t="shared" si="182"/>
        <v>1.4614708741805824E+125</v>
      </c>
      <c r="MZC53" s="708">
        <f t="shared" si="182"/>
        <v>1.5053150004059999E+125</v>
      </c>
      <c r="MZD53" s="708">
        <f t="shared" si="182"/>
        <v>1.55047445041818E+125</v>
      </c>
      <c r="MZE53" s="708">
        <f t="shared" si="182"/>
        <v>1.5969886839307255E+125</v>
      </c>
      <c r="MZF53" s="708">
        <f t="shared" si="182"/>
        <v>1.6448983444486473E+125</v>
      </c>
      <c r="MZG53" s="708">
        <f t="shared" si="182"/>
        <v>1.694245294782107E+125</v>
      </c>
      <c r="MZH53" s="708">
        <f t="shared" si="182"/>
        <v>1.7450726536255704E+125</v>
      </c>
      <c r="MZI53" s="708">
        <f t="shared" si="182"/>
        <v>1.7974248332343375E+125</v>
      </c>
      <c r="MZJ53" s="708">
        <f t="shared" si="182"/>
        <v>1.8513475782313678E+125</v>
      </c>
      <c r="MZK53" s="708">
        <f t="shared" si="182"/>
        <v>1.9068880055783087E+125</v>
      </c>
      <c r="MZL53" s="708">
        <f t="shared" si="182"/>
        <v>1.9640946457456581E+125</v>
      </c>
      <c r="MZM53" s="708">
        <f t="shared" si="182"/>
        <v>2.0230174851180279E+125</v>
      </c>
      <c r="MZN53" s="708">
        <f t="shared" ref="MZN53:NBY53" si="183">MZM53*$C$53</f>
        <v>2.083708009671569E+125</v>
      </c>
      <c r="MZO53" s="708">
        <f t="shared" si="183"/>
        <v>2.146219249961716E+125</v>
      </c>
      <c r="MZP53" s="708">
        <f t="shared" si="183"/>
        <v>2.2106058274605674E+125</v>
      </c>
      <c r="MZQ53" s="708">
        <f t="shared" si="183"/>
        <v>2.2769240022843845E+125</v>
      </c>
      <c r="MZR53" s="708">
        <f t="shared" si="183"/>
        <v>2.3452317223529161E+125</v>
      </c>
      <c r="MZS53" s="708">
        <f t="shared" si="183"/>
        <v>2.4155886740235038E+125</v>
      </c>
      <c r="MZT53" s="708">
        <f t="shared" si="183"/>
        <v>2.4880563342442089E+125</v>
      </c>
      <c r="MZU53" s="708">
        <f t="shared" si="183"/>
        <v>2.5626980242715353E+125</v>
      </c>
      <c r="MZV53" s="708">
        <f t="shared" si="183"/>
        <v>2.6395789649996813E+125</v>
      </c>
      <c r="MZW53" s="708">
        <f t="shared" si="183"/>
        <v>2.7187663339496718E+125</v>
      </c>
      <c r="MZX53" s="708">
        <f t="shared" si="183"/>
        <v>2.800329323968162E+125</v>
      </c>
      <c r="MZY53" s="708">
        <f t="shared" si="183"/>
        <v>2.8843392036872068E+125</v>
      </c>
      <c r="MZZ53" s="708">
        <f t="shared" si="183"/>
        <v>2.9708693797978231E+125</v>
      </c>
      <c r="NAA53" s="708">
        <f t="shared" si="183"/>
        <v>3.0599954611917579E+125</v>
      </c>
      <c r="NAB53" s="708">
        <f t="shared" si="183"/>
        <v>3.1517953250275109E+125</v>
      </c>
      <c r="NAC53" s="708">
        <f t="shared" si="183"/>
        <v>3.2463491847783363E+125</v>
      </c>
      <c r="NAD53" s="708">
        <f t="shared" si="183"/>
        <v>3.3437396603216866E+125</v>
      </c>
      <c r="NAE53" s="708">
        <f t="shared" si="183"/>
        <v>3.4440518501313374E+125</v>
      </c>
      <c r="NAF53" s="708">
        <f t="shared" si="183"/>
        <v>3.5473734056352776E+125</v>
      </c>
      <c r="NAG53" s="708">
        <f t="shared" si="183"/>
        <v>3.6537946078043358E+125</v>
      </c>
      <c r="NAH53" s="708">
        <f t="shared" si="183"/>
        <v>3.7634084460384661E+125</v>
      </c>
      <c r="NAI53" s="708">
        <f t="shared" si="183"/>
        <v>3.8763106994196204E+125</v>
      </c>
      <c r="NAJ53" s="708">
        <f t="shared" si="183"/>
        <v>3.9926000204022091E+125</v>
      </c>
      <c r="NAK53" s="708">
        <f t="shared" si="183"/>
        <v>4.1123780210142753E+125</v>
      </c>
      <c r="NAL53" s="708">
        <f t="shared" si="183"/>
        <v>4.2357493616447036E+125</v>
      </c>
      <c r="NAM53" s="708">
        <f t="shared" si="183"/>
        <v>4.3628218424940451E+125</v>
      </c>
      <c r="NAN53" s="708">
        <f t="shared" si="183"/>
        <v>4.4937064977688666E+125</v>
      </c>
      <c r="NAO53" s="708">
        <f t="shared" si="183"/>
        <v>4.6285176927019326E+125</v>
      </c>
      <c r="NAP53" s="708">
        <f t="shared" si="183"/>
        <v>4.7673732234829909E+125</v>
      </c>
      <c r="NAQ53" s="708">
        <f t="shared" si="183"/>
        <v>4.9103944201874804E+125</v>
      </c>
      <c r="NAR53" s="708">
        <f t="shared" si="183"/>
        <v>5.0577062527931048E+125</v>
      </c>
      <c r="NAS53" s="708">
        <f t="shared" si="183"/>
        <v>5.2094374403768979E+125</v>
      </c>
      <c r="NAT53" s="708">
        <f t="shared" si="183"/>
        <v>5.3657205635882048E+125</v>
      </c>
      <c r="NAU53" s="708">
        <f t="shared" si="183"/>
        <v>5.5266921804958513E+125</v>
      </c>
      <c r="NAV53" s="708">
        <f t="shared" si="183"/>
        <v>5.6924929459107268E+125</v>
      </c>
      <c r="NAW53" s="708">
        <f t="shared" si="183"/>
        <v>5.8632677342880488E+125</v>
      </c>
      <c r="NAX53" s="708">
        <f t="shared" si="183"/>
        <v>6.0391657663166902E+125</v>
      </c>
      <c r="NAY53" s="708">
        <f t="shared" si="183"/>
        <v>6.220340739306191E+125</v>
      </c>
      <c r="NAZ53" s="708">
        <f t="shared" si="183"/>
        <v>6.4069509614853768E+125</v>
      </c>
      <c r="NBA53" s="708">
        <f t="shared" si="183"/>
        <v>6.5991594903299381E+125</v>
      </c>
      <c r="NBB53" s="708">
        <f t="shared" si="183"/>
        <v>6.7971342750398367E+125</v>
      </c>
      <c r="NBC53" s="708">
        <f t="shared" si="183"/>
        <v>7.0010483032910324E+125</v>
      </c>
      <c r="NBD53" s="708">
        <f t="shared" si="183"/>
        <v>7.2110797523897636E+125</v>
      </c>
      <c r="NBE53" s="708">
        <f t="shared" si="183"/>
        <v>7.4274121449614571E+125</v>
      </c>
      <c r="NBF53" s="708">
        <f t="shared" si="183"/>
        <v>7.6502345093103015E+125</v>
      </c>
      <c r="NBG53" s="708">
        <f t="shared" si="183"/>
        <v>7.8797415445896102E+125</v>
      </c>
      <c r="NBH53" s="708">
        <f t="shared" si="183"/>
        <v>8.1161337909272992E+125</v>
      </c>
      <c r="NBI53" s="708">
        <f t="shared" si="183"/>
        <v>8.3596178046551189E+125</v>
      </c>
      <c r="NBJ53" s="708">
        <f t="shared" si="183"/>
        <v>8.6104063387947726E+125</v>
      </c>
      <c r="NBK53" s="708">
        <f t="shared" si="183"/>
        <v>8.8687185289586164E+125</v>
      </c>
      <c r="NBL53" s="708">
        <f t="shared" si="183"/>
        <v>9.1347800848273746E+125</v>
      </c>
      <c r="NBM53" s="708">
        <f t="shared" si="183"/>
        <v>9.4088234873721968E+125</v>
      </c>
      <c r="NBN53" s="708">
        <f t="shared" si="183"/>
        <v>9.6910881919933635E+125</v>
      </c>
      <c r="NBO53" s="708">
        <f t="shared" si="183"/>
        <v>9.9818208377531649E+125</v>
      </c>
      <c r="NBP53" s="708">
        <f t="shared" si="183"/>
        <v>1.028127546288576E+126</v>
      </c>
      <c r="NBQ53" s="708">
        <f t="shared" si="183"/>
        <v>1.0589713726772333E+126</v>
      </c>
      <c r="NBR53" s="708">
        <f t="shared" si="183"/>
        <v>1.0907405138575503E+126</v>
      </c>
      <c r="NBS53" s="708">
        <f t="shared" si="183"/>
        <v>1.1234627292732768E+126</v>
      </c>
      <c r="NBT53" s="708">
        <f t="shared" si="183"/>
        <v>1.1571666111514752E+126</v>
      </c>
      <c r="NBU53" s="708">
        <f t="shared" si="183"/>
        <v>1.1918816094860196E+126</v>
      </c>
      <c r="NBV53" s="708">
        <f t="shared" si="183"/>
        <v>1.2276380577706002E+126</v>
      </c>
      <c r="NBW53" s="708">
        <f t="shared" si="183"/>
        <v>1.2644671995037182E+126</v>
      </c>
      <c r="NBX53" s="708">
        <f t="shared" si="183"/>
        <v>1.3024012154888299E+126</v>
      </c>
      <c r="NBY53" s="708">
        <f t="shared" si="183"/>
        <v>1.3414732519534947E+126</v>
      </c>
      <c r="NBZ53" s="708">
        <f t="shared" ref="NBZ53:NEK53" si="184">NBY53*$C$53</f>
        <v>1.3817174495120997E+126</v>
      </c>
      <c r="NCA53" s="708">
        <f t="shared" si="184"/>
        <v>1.4231689729974628E+126</v>
      </c>
      <c r="NCB53" s="708">
        <f t="shared" si="184"/>
        <v>1.4658640421873866E+126</v>
      </c>
      <c r="NCC53" s="708">
        <f t="shared" si="184"/>
        <v>1.5098399634530083E+126</v>
      </c>
      <c r="NCD53" s="708">
        <f t="shared" si="184"/>
        <v>1.5551351623565985E+126</v>
      </c>
      <c r="NCE53" s="708">
        <f t="shared" si="184"/>
        <v>1.6017892172272966E+126</v>
      </c>
      <c r="NCF53" s="708">
        <f t="shared" si="184"/>
        <v>1.6498428937441156E+126</v>
      </c>
      <c r="NCG53" s="708">
        <f t="shared" si="184"/>
        <v>1.699338180556439E+126</v>
      </c>
      <c r="NCH53" s="708">
        <f t="shared" si="184"/>
        <v>1.7503183259731323E+126</v>
      </c>
      <c r="NCI53" s="708">
        <f t="shared" si="184"/>
        <v>1.8028278757523262E+126</v>
      </c>
      <c r="NCJ53" s="708">
        <f t="shared" si="184"/>
        <v>1.8569127120248961E+126</v>
      </c>
      <c r="NCK53" s="708">
        <f t="shared" si="184"/>
        <v>1.912620093385643E+126</v>
      </c>
      <c r="NCL53" s="708">
        <f t="shared" si="184"/>
        <v>1.9699986961872123E+126</v>
      </c>
      <c r="NCM53" s="708">
        <f t="shared" si="184"/>
        <v>2.0290986570728287E+126</v>
      </c>
      <c r="NCN53" s="708">
        <f t="shared" si="184"/>
        <v>2.0899716167850137E+126</v>
      </c>
      <c r="NCO53" s="708">
        <f t="shared" si="184"/>
        <v>2.1526707652885642E+126</v>
      </c>
      <c r="NCP53" s="708">
        <f t="shared" si="184"/>
        <v>2.2172508882472212E+126</v>
      </c>
      <c r="NCQ53" s="708">
        <f t="shared" si="184"/>
        <v>2.2837684148946379E+126</v>
      </c>
      <c r="NCR53" s="708">
        <f t="shared" si="184"/>
        <v>2.352281467341477E+126</v>
      </c>
      <c r="NCS53" s="708">
        <f t="shared" si="184"/>
        <v>2.4228499113617213E+126</v>
      </c>
      <c r="NCT53" s="708">
        <f t="shared" si="184"/>
        <v>2.495535408702573E+126</v>
      </c>
      <c r="NCU53" s="708">
        <f t="shared" si="184"/>
        <v>2.5704014709636503E+126</v>
      </c>
      <c r="NCV53" s="708">
        <f t="shared" si="184"/>
        <v>2.6475135150925598E+126</v>
      </c>
      <c r="NCW53" s="708">
        <f t="shared" si="184"/>
        <v>2.7269389205453364E+126</v>
      </c>
      <c r="NCX53" s="708">
        <f t="shared" si="184"/>
        <v>2.8087470881616965E+126</v>
      </c>
      <c r="NCY53" s="708">
        <f t="shared" si="184"/>
        <v>2.8930095008065473E+126</v>
      </c>
      <c r="NCZ53" s="708">
        <f t="shared" si="184"/>
        <v>2.9797997858307438E+126</v>
      </c>
      <c r="NDA53" s="708">
        <f t="shared" si="184"/>
        <v>3.0691937794056661E+126</v>
      </c>
      <c r="NDB53" s="708">
        <f t="shared" si="184"/>
        <v>3.161269592787836E+126</v>
      </c>
      <c r="NDC53" s="708">
        <f t="shared" si="184"/>
        <v>3.256107680571471E+126</v>
      </c>
      <c r="NDD53" s="708">
        <f t="shared" si="184"/>
        <v>3.3537909109886149E+126</v>
      </c>
      <c r="NDE53" s="708">
        <f t="shared" si="184"/>
        <v>3.4544046383182731E+126</v>
      </c>
      <c r="NDF53" s="708">
        <f t="shared" si="184"/>
        <v>3.5580367774678216E+126</v>
      </c>
      <c r="NDG53" s="708">
        <f t="shared" si="184"/>
        <v>3.6647778807918563E+126</v>
      </c>
      <c r="NDH53" s="708">
        <f t="shared" si="184"/>
        <v>3.7747212172156121E+126</v>
      </c>
      <c r="NDI53" s="708">
        <f t="shared" si="184"/>
        <v>3.8879628537320806E+126</v>
      </c>
      <c r="NDJ53" s="708">
        <f t="shared" si="184"/>
        <v>4.0046017393440429E+126</v>
      </c>
      <c r="NDK53" s="708">
        <f t="shared" si="184"/>
        <v>4.1247397915243642E+126</v>
      </c>
      <c r="NDL53" s="708">
        <f t="shared" si="184"/>
        <v>4.2484819852700951E+126</v>
      </c>
      <c r="NDM53" s="708">
        <f t="shared" si="184"/>
        <v>4.3759364448281978E+126</v>
      </c>
      <c r="NDN53" s="708">
        <f t="shared" si="184"/>
        <v>4.5072145381730439E+126</v>
      </c>
      <c r="NDO53" s="708">
        <f t="shared" si="184"/>
        <v>4.6424309743182355E+126</v>
      </c>
      <c r="NDP53" s="708">
        <f t="shared" si="184"/>
        <v>4.7817039035477828E+126</v>
      </c>
      <c r="NDQ53" s="708">
        <f t="shared" si="184"/>
        <v>4.9251550206542161E+126</v>
      </c>
      <c r="NDR53" s="708">
        <f t="shared" si="184"/>
        <v>5.072909671273843E+126</v>
      </c>
      <c r="NDS53" s="708">
        <f t="shared" si="184"/>
        <v>5.2250969614120583E+126</v>
      </c>
      <c r="NDT53" s="708">
        <f t="shared" si="184"/>
        <v>5.38184987025442E+126</v>
      </c>
      <c r="NDU53" s="708">
        <f t="shared" si="184"/>
        <v>5.5433053663620531E+126</v>
      </c>
      <c r="NDV53" s="708">
        <f t="shared" si="184"/>
        <v>5.7096045273529153E+126</v>
      </c>
      <c r="NDW53" s="708">
        <f t="shared" si="184"/>
        <v>5.8808926631735033E+126</v>
      </c>
      <c r="NDX53" s="708">
        <f t="shared" si="184"/>
        <v>6.0573194430687085E+126</v>
      </c>
      <c r="NDY53" s="708">
        <f t="shared" si="184"/>
        <v>6.2390390263607695E+126</v>
      </c>
      <c r="NDZ53" s="708">
        <f t="shared" si="184"/>
        <v>6.4262101971515927E+126</v>
      </c>
      <c r="NEA53" s="708">
        <f t="shared" si="184"/>
        <v>6.618996503066141E+126</v>
      </c>
      <c r="NEB53" s="708">
        <f t="shared" si="184"/>
        <v>6.8175663981581256E+126</v>
      </c>
      <c r="NEC53" s="708">
        <f t="shared" si="184"/>
        <v>7.0220933901028691E+126</v>
      </c>
      <c r="NED53" s="708">
        <f t="shared" si="184"/>
        <v>7.2327561918059551E+126</v>
      </c>
      <c r="NEE53" s="708">
        <f t="shared" si="184"/>
        <v>7.449738877560134E+126</v>
      </c>
      <c r="NEF53" s="708">
        <f t="shared" si="184"/>
        <v>7.6732310438869388E+126</v>
      </c>
      <c r="NEG53" s="708">
        <f t="shared" si="184"/>
        <v>7.9034279752035475E+126</v>
      </c>
      <c r="NEH53" s="708">
        <f t="shared" si="184"/>
        <v>8.140530814459654E+126</v>
      </c>
      <c r="NEI53" s="708">
        <f t="shared" si="184"/>
        <v>8.3847467388934436E+126</v>
      </c>
      <c r="NEJ53" s="708">
        <f t="shared" si="184"/>
        <v>8.6362891410602467E+126</v>
      </c>
      <c r="NEK53" s="708">
        <f t="shared" si="184"/>
        <v>8.8953778152920546E+126</v>
      </c>
      <c r="NEL53" s="708">
        <f t="shared" ref="NEL53:NGW53" si="185">NEK53*$C$53</f>
        <v>9.1622391497508159E+126</v>
      </c>
      <c r="NEM53" s="708">
        <f t="shared" si="185"/>
        <v>9.4371063242433407E+126</v>
      </c>
      <c r="NEN53" s="708">
        <f t="shared" si="185"/>
        <v>9.7202195139706417E+126</v>
      </c>
      <c r="NEO53" s="708">
        <f t="shared" si="185"/>
        <v>1.0011826099389761E+127</v>
      </c>
      <c r="NEP53" s="708">
        <f t="shared" si="185"/>
        <v>1.0312180882371454E+127</v>
      </c>
      <c r="NEQ53" s="708">
        <f t="shared" si="185"/>
        <v>1.0621546308842598E+127</v>
      </c>
      <c r="NER53" s="708">
        <f t="shared" si="185"/>
        <v>1.0940192698107875E+127</v>
      </c>
      <c r="NES53" s="708">
        <f t="shared" si="185"/>
        <v>1.1268398479051111E+127</v>
      </c>
      <c r="NET53" s="708">
        <f t="shared" si="185"/>
        <v>1.1606450433422644E+127</v>
      </c>
      <c r="NEU53" s="708">
        <f t="shared" si="185"/>
        <v>1.1954643946425323E+127</v>
      </c>
      <c r="NEV53" s="708">
        <f t="shared" si="185"/>
        <v>1.2313283264818082E+127</v>
      </c>
      <c r="NEW53" s="708">
        <f t="shared" si="185"/>
        <v>1.2682681762762624E+127</v>
      </c>
      <c r="NEX53" s="708">
        <f t="shared" si="185"/>
        <v>1.3063162215645503E+127</v>
      </c>
      <c r="NEY53" s="708">
        <f t="shared" si="185"/>
        <v>1.3455057082114869E+127</v>
      </c>
      <c r="NEZ53" s="708">
        <f t="shared" si="185"/>
        <v>1.3858708794578316E+127</v>
      </c>
      <c r="NFA53" s="708">
        <f t="shared" si="185"/>
        <v>1.4274470058415666E+127</v>
      </c>
      <c r="NFB53" s="708">
        <f t="shared" si="185"/>
        <v>1.4702704160168136E+127</v>
      </c>
      <c r="NFC53" s="708">
        <f t="shared" si="185"/>
        <v>1.5143785284973181E+127</v>
      </c>
      <c r="NFD53" s="708">
        <f t="shared" si="185"/>
        <v>1.5598098843522377E+127</v>
      </c>
      <c r="NFE53" s="708">
        <f t="shared" si="185"/>
        <v>1.6066041808828047E+127</v>
      </c>
      <c r="NFF53" s="708">
        <f t="shared" si="185"/>
        <v>1.654802306309289E+127</v>
      </c>
      <c r="NFG53" s="708">
        <f t="shared" si="185"/>
        <v>1.7044463754985678E+127</v>
      </c>
      <c r="NFH53" s="708">
        <f t="shared" si="185"/>
        <v>1.755579766763525E+127</v>
      </c>
      <c r="NFI53" s="708">
        <f t="shared" si="185"/>
        <v>1.8082471597664308E+127</v>
      </c>
      <c r="NFJ53" s="708">
        <f t="shared" si="185"/>
        <v>1.8624945745594237E+127</v>
      </c>
      <c r="NFK53" s="708">
        <f t="shared" si="185"/>
        <v>1.9183694117962064E+127</v>
      </c>
      <c r="NFL53" s="708">
        <f t="shared" si="185"/>
        <v>1.9759204941500926E+127</v>
      </c>
      <c r="NFM53" s="708">
        <f t="shared" si="185"/>
        <v>2.0351981089745953E+127</v>
      </c>
      <c r="NFN53" s="708">
        <f t="shared" si="185"/>
        <v>2.0962540522438333E+127</v>
      </c>
      <c r="NFO53" s="708">
        <f t="shared" si="185"/>
        <v>2.1591416738111483E+127</v>
      </c>
      <c r="NFP53" s="708">
        <f t="shared" si="185"/>
        <v>2.2239159240254829E+127</v>
      </c>
      <c r="NFQ53" s="708">
        <f t="shared" si="185"/>
        <v>2.2906334017462473E+127</v>
      </c>
      <c r="NFR53" s="708">
        <f t="shared" si="185"/>
        <v>2.3593524037986347E+127</v>
      </c>
      <c r="NFS53" s="708">
        <f t="shared" si="185"/>
        <v>2.430132975912594E+127</v>
      </c>
      <c r="NFT53" s="708">
        <f t="shared" si="185"/>
        <v>2.5030369651899718E+127</v>
      </c>
      <c r="NFU53" s="708">
        <f t="shared" si="185"/>
        <v>2.578128074145671E+127</v>
      </c>
      <c r="NFV53" s="708">
        <f t="shared" si="185"/>
        <v>2.6554719163700411E+127</v>
      </c>
      <c r="NFW53" s="708">
        <f t="shared" si="185"/>
        <v>2.7351360738611426E+127</v>
      </c>
      <c r="NFX53" s="708">
        <f t="shared" si="185"/>
        <v>2.817190156076977E+127</v>
      </c>
      <c r="NFY53" s="708">
        <f t="shared" si="185"/>
        <v>2.9017058607592865E+127</v>
      </c>
      <c r="NFZ53" s="708">
        <f t="shared" si="185"/>
        <v>2.9887570365820652E+127</v>
      </c>
      <c r="NGA53" s="708">
        <f t="shared" si="185"/>
        <v>3.0784197476795273E+127</v>
      </c>
      <c r="NGB53" s="708">
        <f t="shared" si="185"/>
        <v>3.1707723401099131E+127</v>
      </c>
      <c r="NGC53" s="708">
        <f t="shared" si="185"/>
        <v>3.2658955103132105E+127</v>
      </c>
      <c r="NGD53" s="708">
        <f t="shared" si="185"/>
        <v>3.363872375622607E+127</v>
      </c>
      <c r="NGE53" s="708">
        <f t="shared" si="185"/>
        <v>3.4647885468912851E+127</v>
      </c>
      <c r="NGF53" s="708">
        <f t="shared" si="185"/>
        <v>3.5687322032980239E+127</v>
      </c>
      <c r="NGG53" s="708">
        <f t="shared" si="185"/>
        <v>3.6757941693969644E+127</v>
      </c>
      <c r="NGH53" s="708">
        <f t="shared" si="185"/>
        <v>3.7860679944788735E+127</v>
      </c>
      <c r="NGI53" s="708">
        <f t="shared" si="185"/>
        <v>3.8996500343132399E+127</v>
      </c>
      <c r="NGJ53" s="708">
        <f t="shared" si="185"/>
        <v>4.0166395353426371E+127</v>
      </c>
      <c r="NGK53" s="708">
        <f t="shared" si="185"/>
        <v>4.1371387214029165E+127</v>
      </c>
      <c r="NGL53" s="708">
        <f t="shared" si="185"/>
        <v>4.2612528830450039E+127</v>
      </c>
      <c r="NGM53" s="708">
        <f t="shared" si="185"/>
        <v>4.389090469536354E+127</v>
      </c>
      <c r="NGN53" s="708">
        <f t="shared" si="185"/>
        <v>4.5207631836224451E+127</v>
      </c>
      <c r="NGO53" s="708">
        <f t="shared" si="185"/>
        <v>4.6563860791311183E+127</v>
      </c>
      <c r="NGP53" s="708">
        <f t="shared" si="185"/>
        <v>4.7960776615050521E+127</v>
      </c>
      <c r="NGQ53" s="708">
        <f t="shared" si="185"/>
        <v>4.9399599913502038E+127</v>
      </c>
      <c r="NGR53" s="708">
        <f t="shared" si="185"/>
        <v>5.0881587910907099E+127</v>
      </c>
      <c r="NGS53" s="708">
        <f t="shared" si="185"/>
        <v>5.2408035548234312E+127</v>
      </c>
      <c r="NGT53" s="708">
        <f t="shared" si="185"/>
        <v>5.3980276614681342E+127</v>
      </c>
      <c r="NGU53" s="708">
        <f t="shared" si="185"/>
        <v>5.5599684913121788E+127</v>
      </c>
      <c r="NGV53" s="708">
        <f t="shared" si="185"/>
        <v>5.7267675460515444E+127</v>
      </c>
      <c r="NGW53" s="708">
        <f t="shared" si="185"/>
        <v>5.8985705724330912E+127</v>
      </c>
      <c r="NGX53" s="708">
        <f t="shared" ref="NGX53:NJI53" si="186">NGW53*$C$53</f>
        <v>6.0755276896060842E+127</v>
      </c>
      <c r="NGY53" s="708">
        <f t="shared" si="186"/>
        <v>6.2577935202942665E+127</v>
      </c>
      <c r="NGZ53" s="708">
        <f t="shared" si="186"/>
        <v>6.4455273259030944E+127</v>
      </c>
      <c r="NHA53" s="708">
        <f t="shared" si="186"/>
        <v>6.638893145680187E+127</v>
      </c>
      <c r="NHB53" s="708">
        <f t="shared" si="186"/>
        <v>6.8380599400505931E+127</v>
      </c>
      <c r="NHC53" s="708">
        <f t="shared" si="186"/>
        <v>7.0432017382521116E+127</v>
      </c>
      <c r="NHD53" s="708">
        <f t="shared" si="186"/>
        <v>7.2544977903996755E+127</v>
      </c>
      <c r="NHE53" s="708">
        <f t="shared" si="186"/>
        <v>7.4721327241116664E+127</v>
      </c>
      <c r="NHF53" s="708">
        <f t="shared" si="186"/>
        <v>7.6962967058350166E+127</v>
      </c>
      <c r="NHG53" s="708">
        <f t="shared" si="186"/>
        <v>7.9271856070100671E+127</v>
      </c>
      <c r="NHH53" s="708">
        <f t="shared" si="186"/>
        <v>8.1650011752203697E+127</v>
      </c>
      <c r="NHI53" s="708">
        <f t="shared" si="186"/>
        <v>8.409951210476981E+127</v>
      </c>
      <c r="NHJ53" s="708">
        <f t="shared" si="186"/>
        <v>8.6622497467912908E+127</v>
      </c>
      <c r="NHK53" s="708">
        <f t="shared" si="186"/>
        <v>8.9221172391950298E+127</v>
      </c>
      <c r="NHL53" s="708">
        <f t="shared" si="186"/>
        <v>9.1897807563708805E+127</v>
      </c>
      <c r="NHM53" s="708">
        <f t="shared" si="186"/>
        <v>9.4654741790620067E+127</v>
      </c>
      <c r="NHN53" s="708">
        <f t="shared" si="186"/>
        <v>9.7494384044338665E+127</v>
      </c>
      <c r="NHO53" s="708">
        <f t="shared" si="186"/>
        <v>1.0041921556566883E+128</v>
      </c>
      <c r="NHP53" s="708">
        <f t="shared" si="186"/>
        <v>1.0343179203263889E+128</v>
      </c>
      <c r="NHQ53" s="708">
        <f t="shared" si="186"/>
        <v>1.0653474579361806E+128</v>
      </c>
      <c r="NHR53" s="708">
        <f t="shared" si="186"/>
        <v>1.097307881674266E+128</v>
      </c>
      <c r="NHS53" s="708">
        <f t="shared" si="186"/>
        <v>1.130227118124494E+128</v>
      </c>
      <c r="NHT53" s="708">
        <f t="shared" si="186"/>
        <v>1.1641339316682289E+128</v>
      </c>
      <c r="NHU53" s="708">
        <f t="shared" si="186"/>
        <v>1.1990579496182758E+128</v>
      </c>
      <c r="NHV53" s="708">
        <f t="shared" si="186"/>
        <v>1.2350296881068242E+128</v>
      </c>
      <c r="NHW53" s="708">
        <f t="shared" si="186"/>
        <v>1.2720805787500289E+128</v>
      </c>
      <c r="NHX53" s="708">
        <f t="shared" si="186"/>
        <v>1.3102429961125298E+128</v>
      </c>
      <c r="NHY53" s="708">
        <f t="shared" si="186"/>
        <v>1.3495502859959058E+128</v>
      </c>
      <c r="NHZ53" s="708">
        <f t="shared" si="186"/>
        <v>1.3900367945757831E+128</v>
      </c>
      <c r="NIA53" s="708">
        <f t="shared" si="186"/>
        <v>1.4317378984130567E+128</v>
      </c>
      <c r="NIB53" s="708">
        <f t="shared" si="186"/>
        <v>1.4746900353654484E+128</v>
      </c>
      <c r="NIC53" s="708">
        <f t="shared" si="186"/>
        <v>1.5189307364264118E+128</v>
      </c>
      <c r="NID53" s="708">
        <f t="shared" si="186"/>
        <v>1.5644986585192042E+128</v>
      </c>
      <c r="NIE53" s="708">
        <f t="shared" si="186"/>
        <v>1.6114336182747803E+128</v>
      </c>
      <c r="NIF53" s="708">
        <f t="shared" si="186"/>
        <v>1.6597766268230237E+128</v>
      </c>
      <c r="NIG53" s="708">
        <f t="shared" si="186"/>
        <v>1.7095699256277144E+128</v>
      </c>
      <c r="NIH53" s="708">
        <f t="shared" si="186"/>
        <v>1.7608570233965457E+128</v>
      </c>
      <c r="NII53" s="708">
        <f t="shared" si="186"/>
        <v>1.8136827340984423E+128</v>
      </c>
      <c r="NIJ53" s="708">
        <f t="shared" si="186"/>
        <v>1.8680932161213957E+128</v>
      </c>
      <c r="NIK53" s="708">
        <f t="shared" si="186"/>
        <v>1.9241360126050375E+128</v>
      </c>
      <c r="NIL53" s="708">
        <f t="shared" si="186"/>
        <v>1.9818600929831887E+128</v>
      </c>
      <c r="NIM53" s="708">
        <f t="shared" si="186"/>
        <v>2.0413158957726843E+128</v>
      </c>
      <c r="NIN53" s="708">
        <f t="shared" si="186"/>
        <v>2.1025553726458651E+128</v>
      </c>
      <c r="NIO53" s="708">
        <f t="shared" si="186"/>
        <v>2.1656320338252411E+128</v>
      </c>
      <c r="NIP53" s="708">
        <f t="shared" si="186"/>
        <v>2.2306009948399985E+128</v>
      </c>
      <c r="NIQ53" s="708">
        <f t="shared" si="186"/>
        <v>2.2975190246851984E+128</v>
      </c>
      <c r="NIR53" s="708">
        <f t="shared" si="186"/>
        <v>2.3664445954257544E+128</v>
      </c>
      <c r="NIS53" s="708">
        <f t="shared" si="186"/>
        <v>2.4374379332885272E+128</v>
      </c>
      <c r="NIT53" s="708">
        <f t="shared" si="186"/>
        <v>2.5105610712871832E+128</v>
      </c>
      <c r="NIU53" s="708">
        <f t="shared" si="186"/>
        <v>2.5858779034257986E+128</v>
      </c>
      <c r="NIV53" s="708">
        <f t="shared" si="186"/>
        <v>2.6634542405285724E+128</v>
      </c>
      <c r="NIW53" s="708">
        <f t="shared" si="186"/>
        <v>2.7433578677444297E+128</v>
      </c>
      <c r="NIX53" s="708">
        <f t="shared" si="186"/>
        <v>2.8256586037767625E+128</v>
      </c>
      <c r="NIY53" s="708">
        <f t="shared" si="186"/>
        <v>2.9104283618900653E+128</v>
      </c>
      <c r="NIZ53" s="708">
        <f t="shared" si="186"/>
        <v>2.9977412127467673E+128</v>
      </c>
      <c r="NJA53" s="708">
        <f t="shared" si="186"/>
        <v>3.0876734491291705E+128</v>
      </c>
      <c r="NJB53" s="708">
        <f t="shared" si="186"/>
        <v>3.1803036526030457E+128</v>
      </c>
      <c r="NJC53" s="708">
        <f t="shared" si="186"/>
        <v>3.2757127621811371E+128</v>
      </c>
      <c r="NJD53" s="708">
        <f t="shared" si="186"/>
        <v>3.3739841450465714E+128</v>
      </c>
      <c r="NJE53" s="708">
        <f t="shared" si="186"/>
        <v>3.4752036693979687E+128</v>
      </c>
      <c r="NJF53" s="708">
        <f t="shared" si="186"/>
        <v>3.5794597794799075E+128</v>
      </c>
      <c r="NJG53" s="708">
        <f t="shared" si="186"/>
        <v>3.686843572864305E+128</v>
      </c>
      <c r="NJH53" s="708">
        <f t="shared" si="186"/>
        <v>3.797448880050234E+128</v>
      </c>
      <c r="NJI53" s="708">
        <f t="shared" si="186"/>
        <v>3.911372346451741E+128</v>
      </c>
      <c r="NJJ53" s="708">
        <f t="shared" ref="NJJ53:NLU53" si="187">NJI53*$C$53</f>
        <v>4.0287135168452933E+128</v>
      </c>
      <c r="NJK53" s="708">
        <f t="shared" si="187"/>
        <v>4.1495749223506522E+128</v>
      </c>
      <c r="NJL53" s="708">
        <f t="shared" si="187"/>
        <v>4.2740621700211719E+128</v>
      </c>
      <c r="NJM53" s="708">
        <f t="shared" si="187"/>
        <v>4.4022840351218069E+128</v>
      </c>
      <c r="NJN53" s="708">
        <f t="shared" si="187"/>
        <v>4.5343525561754615E+128</v>
      </c>
      <c r="NJO53" s="708">
        <f t="shared" si="187"/>
        <v>4.6703831328607258E+128</v>
      </c>
      <c r="NJP53" s="708">
        <f t="shared" si="187"/>
        <v>4.810494626846548E+128</v>
      </c>
      <c r="NJQ53" s="708">
        <f t="shared" si="187"/>
        <v>4.9548094656519444E+128</v>
      </c>
      <c r="NJR53" s="708">
        <f t="shared" si="187"/>
        <v>5.1034537496215027E+128</v>
      </c>
      <c r="NJS53" s="708">
        <f t="shared" si="187"/>
        <v>5.2565573621101481E+128</v>
      </c>
      <c r="NJT53" s="708">
        <f t="shared" si="187"/>
        <v>5.4142540829734528E+128</v>
      </c>
      <c r="NJU53" s="708">
        <f t="shared" si="187"/>
        <v>5.5766817054626566E+128</v>
      </c>
      <c r="NJV53" s="708">
        <f t="shared" si="187"/>
        <v>5.7439821566265363E+128</v>
      </c>
      <c r="NJW53" s="708">
        <f t="shared" si="187"/>
        <v>5.9163016213253325E+128</v>
      </c>
      <c r="NJX53" s="708">
        <f t="shared" si="187"/>
        <v>6.0937906699650925E+128</v>
      </c>
      <c r="NJY53" s="708">
        <f t="shared" si="187"/>
        <v>6.2766043900640454E+128</v>
      </c>
      <c r="NJZ53" s="708">
        <f t="shared" si="187"/>
        <v>6.4649025217659673E+128</v>
      </c>
      <c r="NKA53" s="708">
        <f t="shared" si="187"/>
        <v>6.6588495974189463E+128</v>
      </c>
      <c r="NKB53" s="708">
        <f t="shared" si="187"/>
        <v>6.8586150853415149E+128</v>
      </c>
      <c r="NKC53" s="708">
        <f t="shared" si="187"/>
        <v>7.0643735379017613E+128</v>
      </c>
      <c r="NKD53" s="708">
        <f t="shared" si="187"/>
        <v>7.2763047440388136E+128</v>
      </c>
      <c r="NKE53" s="708">
        <f t="shared" si="187"/>
        <v>7.4945938863599779E+128</v>
      </c>
      <c r="NKF53" s="708">
        <f t="shared" si="187"/>
        <v>7.7194317029507772E+128</v>
      </c>
      <c r="NKG53" s="708">
        <f t="shared" si="187"/>
        <v>7.9510146540393001E+128</v>
      </c>
      <c r="NKH53" s="708">
        <f t="shared" si="187"/>
        <v>8.1895450936604799E+128</v>
      </c>
      <c r="NKI53" s="708">
        <f t="shared" si="187"/>
        <v>8.4352314464702952E+128</v>
      </c>
      <c r="NKJ53" s="708">
        <f t="shared" si="187"/>
        <v>8.6882883898644049E+128</v>
      </c>
      <c r="NKK53" s="708">
        <f t="shared" si="187"/>
        <v>8.9489370415603366E+128</v>
      </c>
      <c r="NKL53" s="708">
        <f t="shared" si="187"/>
        <v>9.2174051528071464E+128</v>
      </c>
      <c r="NKM53" s="708">
        <f t="shared" si="187"/>
        <v>9.4939273073913617E+128</v>
      </c>
      <c r="NKN53" s="708">
        <f t="shared" si="187"/>
        <v>9.7787451266131033E+128</v>
      </c>
      <c r="NKO53" s="708">
        <f t="shared" si="187"/>
        <v>1.0072107480411497E+129</v>
      </c>
      <c r="NKP53" s="708">
        <f t="shared" si="187"/>
        <v>1.0374270704823843E+129</v>
      </c>
      <c r="NKQ53" s="708">
        <f t="shared" si="187"/>
        <v>1.0685498825968558E+129</v>
      </c>
      <c r="NKR53" s="708">
        <f t="shared" si="187"/>
        <v>1.1006063790747615E+129</v>
      </c>
      <c r="NKS53" s="708">
        <f t="shared" si="187"/>
        <v>1.1336245704470044E+129</v>
      </c>
      <c r="NKT53" s="708">
        <f t="shared" si="187"/>
        <v>1.1676333075604145E+129</v>
      </c>
      <c r="NKU53" s="708">
        <f t="shared" si="187"/>
        <v>1.202662306787227E+129</v>
      </c>
      <c r="NKV53" s="708">
        <f t="shared" si="187"/>
        <v>1.2387421759908438E+129</v>
      </c>
      <c r="NKW53" s="708">
        <f t="shared" si="187"/>
        <v>1.2759044412705693E+129</v>
      </c>
      <c r="NKX53" s="708">
        <f t="shared" si="187"/>
        <v>1.3141815745086863E+129</v>
      </c>
      <c r="NKY53" s="708">
        <f t="shared" si="187"/>
        <v>1.3536070217439469E+129</v>
      </c>
      <c r="NKZ53" s="708">
        <f t="shared" si="187"/>
        <v>1.3942152323962652E+129</v>
      </c>
      <c r="NLA53" s="708">
        <f t="shared" si="187"/>
        <v>1.4360416893681533E+129</v>
      </c>
      <c r="NLB53" s="708">
        <f t="shared" si="187"/>
        <v>1.4791229400491978E+129</v>
      </c>
      <c r="NLC53" s="708">
        <f t="shared" si="187"/>
        <v>1.5234966282506738E+129</v>
      </c>
      <c r="NLD53" s="708">
        <f t="shared" si="187"/>
        <v>1.5692015270981941E+129</v>
      </c>
      <c r="NLE53" s="708">
        <f t="shared" si="187"/>
        <v>1.6162775729111399E+129</v>
      </c>
      <c r="NLF53" s="708">
        <f t="shared" si="187"/>
        <v>1.664765900098474E+129</v>
      </c>
      <c r="NLG53" s="708">
        <f t="shared" si="187"/>
        <v>1.7147088771014282E+129</v>
      </c>
      <c r="NLH53" s="708">
        <f t="shared" si="187"/>
        <v>1.7661501434144712E+129</v>
      </c>
      <c r="NLI53" s="708">
        <f t="shared" si="187"/>
        <v>1.8191346477169054E+129</v>
      </c>
      <c r="NLJ53" s="708">
        <f t="shared" si="187"/>
        <v>1.8737086871484126E+129</v>
      </c>
      <c r="NLK53" s="708">
        <f t="shared" si="187"/>
        <v>1.9299199477628649E+129</v>
      </c>
      <c r="NLL53" s="708">
        <f t="shared" si="187"/>
        <v>1.987817546195751E+129</v>
      </c>
      <c r="NLM53" s="708">
        <f t="shared" si="187"/>
        <v>2.0474520725816236E+129</v>
      </c>
      <c r="NLN53" s="708">
        <f t="shared" si="187"/>
        <v>2.1088756347590724E+129</v>
      </c>
      <c r="NLO53" s="708">
        <f t="shared" si="187"/>
        <v>2.1721419038018446E+129</v>
      </c>
      <c r="NLP53" s="708">
        <f t="shared" si="187"/>
        <v>2.2373061609159001E+129</v>
      </c>
      <c r="NLQ53" s="708">
        <f t="shared" si="187"/>
        <v>2.3044253457433772E+129</v>
      </c>
      <c r="NLR53" s="708">
        <f t="shared" si="187"/>
        <v>2.3735581061156786E+129</v>
      </c>
      <c r="NLS53" s="708">
        <f t="shared" si="187"/>
        <v>2.444764849299149E+129</v>
      </c>
      <c r="NLT53" s="708">
        <f t="shared" si="187"/>
        <v>2.5181077947781235E+129</v>
      </c>
      <c r="NLU53" s="708">
        <f t="shared" si="187"/>
        <v>2.5936510286214671E+129</v>
      </c>
      <c r="NLV53" s="708">
        <f t="shared" ref="NLV53:NOG53" si="188">NLU53*$C$53</f>
        <v>2.6714605594801114E+129</v>
      </c>
      <c r="NLW53" s="708">
        <f t="shared" si="188"/>
        <v>2.7516043762645148E+129</v>
      </c>
      <c r="NLX53" s="708">
        <f t="shared" si="188"/>
        <v>2.8341525075524504E+129</v>
      </c>
      <c r="NLY53" s="708">
        <f t="shared" si="188"/>
        <v>2.9191770827790238E+129</v>
      </c>
      <c r="NLZ53" s="708">
        <f t="shared" si="188"/>
        <v>3.0067523952623944E+129</v>
      </c>
      <c r="NMA53" s="708">
        <f t="shared" si="188"/>
        <v>3.0969549671202662E+129</v>
      </c>
      <c r="NMB53" s="708">
        <f t="shared" si="188"/>
        <v>3.1898636161338741E+129</v>
      </c>
      <c r="NMC53" s="708">
        <f t="shared" si="188"/>
        <v>3.2855595246178902E+129</v>
      </c>
      <c r="NMD53" s="708">
        <f t="shared" si="188"/>
        <v>3.3841263103564268E+129</v>
      </c>
      <c r="NME53" s="708">
        <f t="shared" si="188"/>
        <v>3.4856500996671196E+129</v>
      </c>
      <c r="NMF53" s="708">
        <f t="shared" si="188"/>
        <v>3.5902196026571332E+129</v>
      </c>
      <c r="NMG53" s="708">
        <f t="shared" si="188"/>
        <v>3.6979261907368474E+129</v>
      </c>
      <c r="NMH53" s="708">
        <f t="shared" si="188"/>
        <v>3.808863976458953E+129</v>
      </c>
      <c r="NMI53" s="708">
        <f t="shared" si="188"/>
        <v>3.9231298957527218E+129</v>
      </c>
      <c r="NMJ53" s="708">
        <f t="shared" si="188"/>
        <v>4.0408237926253037E+129</v>
      </c>
      <c r="NMK53" s="708">
        <f t="shared" si="188"/>
        <v>4.162048506404063E+129</v>
      </c>
      <c r="NML53" s="708">
        <f t="shared" si="188"/>
        <v>4.2869099615961851E+129</v>
      </c>
      <c r="NMM53" s="708">
        <f t="shared" si="188"/>
        <v>4.415517260444071E+129</v>
      </c>
      <c r="NMN53" s="708">
        <f t="shared" si="188"/>
        <v>4.5479827782573934E+129</v>
      </c>
      <c r="NMO53" s="708">
        <f t="shared" si="188"/>
        <v>4.6844222616051155E+129</v>
      </c>
      <c r="NMP53" s="708">
        <f t="shared" si="188"/>
        <v>4.824954929453269E+129</v>
      </c>
      <c r="NMQ53" s="708">
        <f t="shared" si="188"/>
        <v>4.969703577336867E+129</v>
      </c>
      <c r="NMR53" s="708">
        <f t="shared" si="188"/>
        <v>5.1187946846569728E+129</v>
      </c>
      <c r="NMS53" s="708">
        <f t="shared" si="188"/>
        <v>5.272358525196682E+129</v>
      </c>
      <c r="NMT53" s="708">
        <f t="shared" si="188"/>
        <v>5.4305292809525829E+129</v>
      </c>
      <c r="NMU53" s="708">
        <f t="shared" si="188"/>
        <v>5.5934451593811605E+129</v>
      </c>
      <c r="NMV53" s="708">
        <f t="shared" si="188"/>
        <v>5.7612485141625955E+129</v>
      </c>
      <c r="NMW53" s="708">
        <f t="shared" si="188"/>
        <v>5.934085969587473E+129</v>
      </c>
      <c r="NMX53" s="708">
        <f t="shared" si="188"/>
        <v>6.1121085486750972E+129</v>
      </c>
      <c r="NMY53" s="708">
        <f t="shared" si="188"/>
        <v>6.2954718051353504E+129</v>
      </c>
      <c r="NMZ53" s="708">
        <f t="shared" si="188"/>
        <v>6.4843359592894108E+129</v>
      </c>
      <c r="NNA53" s="708">
        <f t="shared" si="188"/>
        <v>6.6788660380680935E+129</v>
      </c>
      <c r="NNB53" s="708">
        <f t="shared" si="188"/>
        <v>6.879232019210137E+129</v>
      </c>
      <c r="NNC53" s="708">
        <f t="shared" si="188"/>
        <v>7.0856089797864408E+129</v>
      </c>
      <c r="NND53" s="708">
        <f t="shared" si="188"/>
        <v>7.2981772491800343E+129</v>
      </c>
      <c r="NNE53" s="708">
        <f t="shared" si="188"/>
        <v>7.5171225666554356E+129</v>
      </c>
      <c r="NNF53" s="708">
        <f t="shared" si="188"/>
        <v>7.7426362436550993E+129</v>
      </c>
      <c r="NNG53" s="708">
        <f t="shared" si="188"/>
        <v>7.9749153309647521E+129</v>
      </c>
      <c r="NNH53" s="708">
        <f t="shared" si="188"/>
        <v>8.2141627908936946E+129</v>
      </c>
      <c r="NNI53" s="708">
        <f t="shared" si="188"/>
        <v>8.460587674620506E+129</v>
      </c>
      <c r="NNJ53" s="708">
        <f t="shared" si="188"/>
        <v>8.7144053048591219E+129</v>
      </c>
      <c r="NNK53" s="708">
        <f t="shared" si="188"/>
        <v>8.9758374640048955E+129</v>
      </c>
      <c r="NNL53" s="708">
        <f t="shared" si="188"/>
        <v>9.2451125879250424E+129</v>
      </c>
      <c r="NNM53" s="708">
        <f t="shared" si="188"/>
        <v>9.5224659655627939E+129</v>
      </c>
      <c r="NNN53" s="708">
        <f t="shared" si="188"/>
        <v>9.8081399445296774E+129</v>
      </c>
      <c r="NNO53" s="708">
        <f t="shared" si="188"/>
        <v>1.0102384142865568E+130</v>
      </c>
      <c r="NNP53" s="708">
        <f t="shared" si="188"/>
        <v>1.0405455667151534E+130</v>
      </c>
      <c r="NNQ53" s="708">
        <f t="shared" si="188"/>
        <v>1.071761933716608E+130</v>
      </c>
      <c r="NNR53" s="708">
        <f t="shared" si="188"/>
        <v>1.1039147917281064E+130</v>
      </c>
      <c r="NNS53" s="708">
        <f t="shared" si="188"/>
        <v>1.1370322354799496E+130</v>
      </c>
      <c r="NNT53" s="708">
        <f t="shared" si="188"/>
        <v>1.1711432025443481E+130</v>
      </c>
      <c r="NNU53" s="708">
        <f t="shared" si="188"/>
        <v>1.2062774986206786E+130</v>
      </c>
      <c r="NNV53" s="708">
        <f t="shared" si="188"/>
        <v>1.242465823579299E+130</v>
      </c>
      <c r="NNW53" s="708">
        <f t="shared" si="188"/>
        <v>1.279739798286678E+130</v>
      </c>
      <c r="NNX53" s="708">
        <f t="shared" si="188"/>
        <v>1.3181319922352783E+130</v>
      </c>
      <c r="NNY53" s="708">
        <f t="shared" si="188"/>
        <v>1.3576759520023368E+130</v>
      </c>
      <c r="NNZ53" s="708">
        <f t="shared" si="188"/>
        <v>1.3984062305624069E+130</v>
      </c>
      <c r="NOA53" s="708">
        <f t="shared" si="188"/>
        <v>1.4403584174792791E+130</v>
      </c>
      <c r="NOB53" s="708">
        <f t="shared" si="188"/>
        <v>1.4835691700036574E+130</v>
      </c>
      <c r="NOC53" s="708">
        <f t="shared" si="188"/>
        <v>1.5280762451037671E+130</v>
      </c>
      <c r="NOD53" s="708">
        <f t="shared" si="188"/>
        <v>1.5739185324568803E+130</v>
      </c>
      <c r="NOE53" s="708">
        <f t="shared" si="188"/>
        <v>1.6211360884305867E+130</v>
      </c>
      <c r="NOF53" s="708">
        <f t="shared" si="188"/>
        <v>1.6697701710835044E+130</v>
      </c>
      <c r="NOG53" s="708">
        <f t="shared" si="188"/>
        <v>1.7198632762160096E+130</v>
      </c>
      <c r="NOH53" s="708">
        <f t="shared" ref="NOH53:NQS53" si="189">NOG53*$C$53</f>
        <v>1.7714591745024899E+130</v>
      </c>
      <c r="NOI53" s="708">
        <f t="shared" si="189"/>
        <v>1.8246029497375647E+130</v>
      </c>
      <c r="NOJ53" s="708">
        <f t="shared" si="189"/>
        <v>1.8793410382296918E+130</v>
      </c>
      <c r="NOK53" s="708">
        <f t="shared" si="189"/>
        <v>1.9357212693765827E+130</v>
      </c>
      <c r="NOL53" s="708">
        <f t="shared" si="189"/>
        <v>1.9937929074578801E+130</v>
      </c>
      <c r="NOM53" s="708">
        <f t="shared" si="189"/>
        <v>2.0536066946816165E+130</v>
      </c>
      <c r="NON53" s="708">
        <f t="shared" si="189"/>
        <v>2.115214895522065E+130</v>
      </c>
      <c r="NOO53" s="708">
        <f t="shared" si="189"/>
        <v>2.1786713423877271E+130</v>
      </c>
      <c r="NOP53" s="708">
        <f t="shared" si="189"/>
        <v>2.2440314826593589E+130</v>
      </c>
      <c r="NOQ53" s="708">
        <f t="shared" si="189"/>
        <v>2.3113524271391398E+130</v>
      </c>
      <c r="NOR53" s="708">
        <f t="shared" si="189"/>
        <v>2.3806929999533141E+130</v>
      </c>
      <c r="NOS53" s="708">
        <f t="shared" si="189"/>
        <v>2.4521137899519138E+130</v>
      </c>
      <c r="NOT53" s="708">
        <f t="shared" si="189"/>
        <v>2.5256772036504715E+130</v>
      </c>
      <c r="NOU53" s="708">
        <f t="shared" si="189"/>
        <v>2.6014475197599855E+130</v>
      </c>
      <c r="NOV53" s="708">
        <f t="shared" si="189"/>
        <v>2.6794909453527853E+130</v>
      </c>
      <c r="NOW53" s="708">
        <f t="shared" si="189"/>
        <v>2.7598756737133688E+130</v>
      </c>
      <c r="NOX53" s="708">
        <f t="shared" si="189"/>
        <v>2.8426719439247699E+130</v>
      </c>
      <c r="NOY53" s="708">
        <f t="shared" si="189"/>
        <v>2.9279521022425131E+130</v>
      </c>
      <c r="NOZ53" s="708">
        <f t="shared" si="189"/>
        <v>3.0157906653097885E+130</v>
      </c>
      <c r="NPA53" s="708">
        <f t="shared" si="189"/>
        <v>3.1062643852690821E+130</v>
      </c>
      <c r="NPB53" s="708">
        <f t="shared" si="189"/>
        <v>3.1994523168271548E+130</v>
      </c>
      <c r="NPC53" s="708">
        <f t="shared" si="189"/>
        <v>3.2954358863319695E+130</v>
      </c>
      <c r="NPD53" s="708">
        <f t="shared" si="189"/>
        <v>3.3942989629219287E+130</v>
      </c>
      <c r="NPE53" s="708">
        <f t="shared" si="189"/>
        <v>3.4961279318095869E+130</v>
      </c>
      <c r="NPF53" s="708">
        <f t="shared" si="189"/>
        <v>3.6010117697638744E+130</v>
      </c>
      <c r="NPG53" s="708">
        <f t="shared" si="189"/>
        <v>3.709042122856791E+130</v>
      </c>
      <c r="NPH53" s="708">
        <f t="shared" si="189"/>
        <v>3.8203133865424946E+130</v>
      </c>
      <c r="NPI53" s="708">
        <f t="shared" si="189"/>
        <v>3.9349227881387697E+130</v>
      </c>
      <c r="NPJ53" s="708">
        <f t="shared" si="189"/>
        <v>4.0529704717829328E+130</v>
      </c>
      <c r="NPK53" s="708">
        <f t="shared" si="189"/>
        <v>4.174559585936421E+130</v>
      </c>
      <c r="NPL53" s="708">
        <f t="shared" si="189"/>
        <v>4.2997963735145135E+130</v>
      </c>
      <c r="NPM53" s="708">
        <f t="shared" si="189"/>
        <v>4.4287902647199489E+130</v>
      </c>
      <c r="NPN53" s="708">
        <f t="shared" si="189"/>
        <v>4.5616539726615472E+130</v>
      </c>
      <c r="NPO53" s="708">
        <f t="shared" si="189"/>
        <v>4.6985035918413941E+130</v>
      </c>
      <c r="NPP53" s="708">
        <f t="shared" si="189"/>
        <v>4.8394586995966364E+130</v>
      </c>
      <c r="NPQ53" s="708">
        <f t="shared" si="189"/>
        <v>4.9846424605845356E+130</v>
      </c>
      <c r="NPR53" s="708">
        <f t="shared" si="189"/>
        <v>5.1341817344020715E+130</v>
      </c>
      <c r="NPS53" s="708">
        <f t="shared" si="189"/>
        <v>5.2882071864341336E+130</v>
      </c>
      <c r="NPT53" s="708">
        <f t="shared" si="189"/>
        <v>5.446853402027158E+130</v>
      </c>
      <c r="NPU53" s="708">
        <f t="shared" si="189"/>
        <v>5.6102590040879732E+130</v>
      </c>
      <c r="NPV53" s="708">
        <f t="shared" si="189"/>
        <v>5.778566774210612E+130</v>
      </c>
      <c r="NPW53" s="708">
        <f t="shared" si="189"/>
        <v>5.9519237774369304E+130</v>
      </c>
      <c r="NPX53" s="708">
        <f t="shared" si="189"/>
        <v>6.1304814907600386E+130</v>
      </c>
      <c r="NPY53" s="708">
        <f t="shared" si="189"/>
        <v>6.3143959354828404E+130</v>
      </c>
      <c r="NPZ53" s="708">
        <f t="shared" si="189"/>
        <v>6.5038278135473261E+130</v>
      </c>
      <c r="NQA53" s="708">
        <f t="shared" si="189"/>
        <v>6.6989426479537458E+130</v>
      </c>
      <c r="NQB53" s="708">
        <f t="shared" si="189"/>
        <v>6.8999109273923585E+130</v>
      </c>
      <c r="NQC53" s="708">
        <f t="shared" si="189"/>
        <v>7.1069082552141294E+130</v>
      </c>
      <c r="NQD53" s="708">
        <f t="shared" si="189"/>
        <v>7.3201155028705535E+130</v>
      </c>
      <c r="NQE53" s="708">
        <f t="shared" si="189"/>
        <v>7.5397189679566703E+130</v>
      </c>
      <c r="NQF53" s="708">
        <f t="shared" si="189"/>
        <v>7.7659105369953702E+130</v>
      </c>
      <c r="NQG53" s="708">
        <f t="shared" si="189"/>
        <v>7.9988878531052315E+130</v>
      </c>
      <c r="NQH53" s="708">
        <f t="shared" si="189"/>
        <v>8.2388544886983887E+130</v>
      </c>
      <c r="NQI53" s="708">
        <f t="shared" si="189"/>
        <v>8.4860201233593407E+130</v>
      </c>
      <c r="NQJ53" s="708">
        <f t="shared" si="189"/>
        <v>8.7406007270601208E+130</v>
      </c>
      <c r="NQK53" s="708">
        <f t="shared" si="189"/>
        <v>9.0028187488719239E+130</v>
      </c>
      <c r="NQL53" s="708">
        <f t="shared" si="189"/>
        <v>9.2729033113380822E+130</v>
      </c>
      <c r="NQM53" s="708">
        <f t="shared" si="189"/>
        <v>9.5510904106782258E+130</v>
      </c>
      <c r="NQN53" s="708">
        <f t="shared" si="189"/>
        <v>9.8376231229985736E+130</v>
      </c>
      <c r="NQO53" s="708">
        <f t="shared" si="189"/>
        <v>1.0132751816688532E+131</v>
      </c>
      <c r="NQP53" s="708">
        <f t="shared" si="189"/>
        <v>1.0436734371189188E+131</v>
      </c>
      <c r="NQQ53" s="708">
        <f t="shared" si="189"/>
        <v>1.0749836402324864E+131</v>
      </c>
      <c r="NQR53" s="708">
        <f t="shared" si="189"/>
        <v>1.107233149439461E+131</v>
      </c>
      <c r="NQS53" s="708">
        <f t="shared" si="189"/>
        <v>1.1404501439226449E+131</v>
      </c>
      <c r="NQT53" s="708">
        <f t="shared" ref="NQT53:NTE53" si="190">NQS53*$C$53</f>
        <v>1.1746636482403242E+131</v>
      </c>
      <c r="NQU53" s="708">
        <f t="shared" si="190"/>
        <v>1.2099035576875339E+131</v>
      </c>
      <c r="NQV53" s="708">
        <f t="shared" si="190"/>
        <v>1.2462006644181601E+131</v>
      </c>
      <c r="NQW53" s="708">
        <f t="shared" si="190"/>
        <v>1.283586684350705E+131</v>
      </c>
      <c r="NQX53" s="708">
        <f t="shared" si="190"/>
        <v>1.3220942848812262E+131</v>
      </c>
      <c r="NQY53" s="708">
        <f t="shared" si="190"/>
        <v>1.361757113427663E+131</v>
      </c>
      <c r="NQZ53" s="708">
        <f t="shared" si="190"/>
        <v>1.402609826830493E+131</v>
      </c>
      <c r="NRA53" s="708">
        <f t="shared" si="190"/>
        <v>1.4446881216354078E+131</v>
      </c>
      <c r="NRB53" s="708">
        <f t="shared" si="190"/>
        <v>1.4880287652844701E+131</v>
      </c>
      <c r="NRC53" s="708">
        <f t="shared" si="190"/>
        <v>1.5326696282430043E+131</v>
      </c>
      <c r="NRD53" s="708">
        <f t="shared" si="190"/>
        <v>1.5786497170902945E+131</v>
      </c>
      <c r="NRE53" s="708">
        <f t="shared" si="190"/>
        <v>1.6260092086030035E+131</v>
      </c>
      <c r="NRF53" s="708">
        <f t="shared" si="190"/>
        <v>1.6747894848610938E+131</v>
      </c>
      <c r="NRG53" s="708">
        <f t="shared" si="190"/>
        <v>1.7250331694069266E+131</v>
      </c>
      <c r="NRH53" s="708">
        <f t="shared" si="190"/>
        <v>1.7767841644891346E+131</v>
      </c>
      <c r="NRI53" s="708">
        <f t="shared" si="190"/>
        <v>1.8300876894238086E+131</v>
      </c>
      <c r="NRJ53" s="708">
        <f t="shared" si="190"/>
        <v>1.8849903201065227E+131</v>
      </c>
      <c r="NRK53" s="708">
        <f t="shared" si="190"/>
        <v>1.9415400297097184E+131</v>
      </c>
      <c r="NRL53" s="708">
        <f t="shared" si="190"/>
        <v>1.99978623060101E+131</v>
      </c>
      <c r="NRM53" s="708">
        <f t="shared" si="190"/>
        <v>2.0597798175190404E+131</v>
      </c>
      <c r="NRN53" s="708">
        <f t="shared" si="190"/>
        <v>2.1215732120446116E+131</v>
      </c>
      <c r="NRO53" s="708">
        <f t="shared" si="190"/>
        <v>2.18522040840595E+131</v>
      </c>
      <c r="NRP53" s="708">
        <f t="shared" si="190"/>
        <v>2.2507770206581287E+131</v>
      </c>
      <c r="NRQ53" s="708">
        <f t="shared" si="190"/>
        <v>2.3183003312778725E+131</v>
      </c>
      <c r="NRR53" s="708">
        <f t="shared" si="190"/>
        <v>2.3878493412162086E+131</v>
      </c>
      <c r="NRS53" s="708">
        <f t="shared" si="190"/>
        <v>2.4594848214526949E+131</v>
      </c>
      <c r="NRT53" s="708">
        <f t="shared" si="190"/>
        <v>2.5332693660962757E+131</v>
      </c>
      <c r="NRU53" s="708">
        <f t="shared" si="190"/>
        <v>2.609267447079164E+131</v>
      </c>
      <c r="NRV53" s="708">
        <f t="shared" si="190"/>
        <v>2.6875454704915388E+131</v>
      </c>
      <c r="NRW53" s="708">
        <f t="shared" si="190"/>
        <v>2.7681718346062852E+131</v>
      </c>
      <c r="NRX53" s="708">
        <f t="shared" si="190"/>
        <v>2.8512169896444737E+131</v>
      </c>
      <c r="NRY53" s="708">
        <f t="shared" si="190"/>
        <v>2.936753499333808E+131</v>
      </c>
      <c r="NRZ53" s="708">
        <f t="shared" si="190"/>
        <v>3.0248561043138222E+131</v>
      </c>
      <c r="NSA53" s="708">
        <f t="shared" si="190"/>
        <v>3.1156017874432371E+131</v>
      </c>
      <c r="NSB53" s="708">
        <f t="shared" si="190"/>
        <v>3.2090698410665345E+131</v>
      </c>
      <c r="NSC53" s="708">
        <f t="shared" si="190"/>
        <v>3.3053419362985305E+131</v>
      </c>
      <c r="NSD53" s="708">
        <f t="shared" si="190"/>
        <v>3.4045021943874865E+131</v>
      </c>
      <c r="NSE53" s="708">
        <f t="shared" si="190"/>
        <v>3.506637260219111E+131</v>
      </c>
      <c r="NSF53" s="708">
        <f t="shared" si="190"/>
        <v>3.6118363780256847E+131</v>
      </c>
      <c r="NSG53" s="708">
        <f t="shared" si="190"/>
        <v>3.7201914693664552E+131</v>
      </c>
      <c r="NSH53" s="708">
        <f t="shared" si="190"/>
        <v>3.8317972134474491E+131</v>
      </c>
      <c r="NSI53" s="708">
        <f t="shared" si="190"/>
        <v>3.9467511298508726E+131</v>
      </c>
      <c r="NSJ53" s="708">
        <f t="shared" si="190"/>
        <v>4.0651536637463987E+131</v>
      </c>
      <c r="NSK53" s="708">
        <f t="shared" si="190"/>
        <v>4.1871082736587909E+131</v>
      </c>
      <c r="NSL53" s="708">
        <f t="shared" si="190"/>
        <v>4.3127215218685545E+131</v>
      </c>
      <c r="NSM53" s="708">
        <f t="shared" si="190"/>
        <v>4.4421031675246108E+131</v>
      </c>
      <c r="NSN53" s="708">
        <f t="shared" si="190"/>
        <v>4.5753662625503491E+131</v>
      </c>
      <c r="NSO53" s="708">
        <f t="shared" si="190"/>
        <v>4.7126272504268595E+131</v>
      </c>
      <c r="NSP53" s="708">
        <f t="shared" si="190"/>
        <v>4.8540060679396652E+131</v>
      </c>
      <c r="NSQ53" s="708">
        <f t="shared" si="190"/>
        <v>4.9996262499778555E+131</v>
      </c>
      <c r="NSR53" s="708">
        <f t="shared" si="190"/>
        <v>5.149615037477191E+131</v>
      </c>
      <c r="NSS53" s="708">
        <f t="shared" si="190"/>
        <v>5.3041034886015072E+131</v>
      </c>
      <c r="NST53" s="708">
        <f t="shared" si="190"/>
        <v>5.4632265932595526E+131</v>
      </c>
      <c r="NSU53" s="708">
        <f t="shared" si="190"/>
        <v>5.6271233910573392E+131</v>
      </c>
      <c r="NSV53" s="708">
        <f t="shared" si="190"/>
        <v>5.7959370927890594E+131</v>
      </c>
      <c r="NSW53" s="708">
        <f t="shared" si="190"/>
        <v>5.9698152055727314E+131</v>
      </c>
      <c r="NSX53" s="708">
        <f t="shared" si="190"/>
        <v>6.1489096617399138E+131</v>
      </c>
      <c r="NSY53" s="708">
        <f t="shared" si="190"/>
        <v>6.3333769515921111E+131</v>
      </c>
      <c r="NSZ53" s="708">
        <f t="shared" si="190"/>
        <v>6.5233782601398744E+131</v>
      </c>
      <c r="NTA53" s="708">
        <f t="shared" si="190"/>
        <v>6.7190796079440712E+131</v>
      </c>
      <c r="NTB53" s="708">
        <f t="shared" si="190"/>
        <v>6.9206519961823938E+131</v>
      </c>
      <c r="NTC53" s="708">
        <f t="shared" si="190"/>
        <v>7.1282715560678653E+131</v>
      </c>
      <c r="NTD53" s="708">
        <f t="shared" si="190"/>
        <v>7.342119702749901E+131</v>
      </c>
      <c r="NTE53" s="708">
        <f t="shared" si="190"/>
        <v>7.5623832938323983E+131</v>
      </c>
      <c r="NTF53" s="708">
        <f t="shared" ref="NTF53:NVQ53" si="191">NTE53*$C$53</f>
        <v>7.7892547926473698E+131</v>
      </c>
      <c r="NTG53" s="708">
        <f t="shared" si="191"/>
        <v>8.022932436426791E+131</v>
      </c>
      <c r="NTH53" s="708">
        <f t="shared" si="191"/>
        <v>8.2636204095195956E+131</v>
      </c>
      <c r="NTI53" s="708">
        <f t="shared" si="191"/>
        <v>8.5115290218051843E+131</v>
      </c>
      <c r="NTJ53" s="708">
        <f t="shared" si="191"/>
        <v>8.76687489245934E+131</v>
      </c>
      <c r="NTK53" s="708">
        <f t="shared" si="191"/>
        <v>9.0298811392331199E+131</v>
      </c>
      <c r="NTL53" s="708">
        <f t="shared" si="191"/>
        <v>9.3007775734101131E+131</v>
      </c>
      <c r="NTM53" s="708">
        <f t="shared" si="191"/>
        <v>9.5798009006124167E+131</v>
      </c>
      <c r="NTN53" s="708">
        <f t="shared" si="191"/>
        <v>9.8671949276307894E+131</v>
      </c>
      <c r="NTO53" s="708">
        <f t="shared" si="191"/>
        <v>1.0163210775459713E+132</v>
      </c>
      <c r="NTP53" s="708">
        <f t="shared" si="191"/>
        <v>1.0468107098723504E+132</v>
      </c>
      <c r="NTQ53" s="708">
        <f t="shared" si="191"/>
        <v>1.0782150311685209E+132</v>
      </c>
      <c r="NTR53" s="708">
        <f t="shared" si="191"/>
        <v>1.1105614821035766E+132</v>
      </c>
      <c r="NTS53" s="708">
        <f t="shared" si="191"/>
        <v>1.1438783265666839E+132</v>
      </c>
      <c r="NTT53" s="708">
        <f t="shared" si="191"/>
        <v>1.1781946763636844E+132</v>
      </c>
      <c r="NTU53" s="708">
        <f t="shared" si="191"/>
        <v>1.2135405166545951E+132</v>
      </c>
      <c r="NTV53" s="708">
        <f t="shared" si="191"/>
        <v>1.2499467321542329E+132</v>
      </c>
      <c r="NTW53" s="708">
        <f t="shared" si="191"/>
        <v>1.28744513411886E+132</v>
      </c>
      <c r="NTX53" s="708">
        <f t="shared" si="191"/>
        <v>1.3260684881424259E+132</v>
      </c>
      <c r="NTY53" s="708">
        <f t="shared" si="191"/>
        <v>1.3658505427866987E+132</v>
      </c>
      <c r="NTZ53" s="708">
        <f t="shared" si="191"/>
        <v>1.4068260590702997E+132</v>
      </c>
      <c r="NUA53" s="708">
        <f t="shared" si="191"/>
        <v>1.4490308408424088E+132</v>
      </c>
      <c r="NUB53" s="708">
        <f t="shared" si="191"/>
        <v>1.492501766067681E+132</v>
      </c>
      <c r="NUC53" s="708">
        <f t="shared" si="191"/>
        <v>1.5372768190497115E+132</v>
      </c>
      <c r="NUD53" s="708">
        <f t="shared" si="191"/>
        <v>1.5833951236212029E+132</v>
      </c>
      <c r="NUE53" s="708">
        <f t="shared" si="191"/>
        <v>1.630896977329839E+132</v>
      </c>
      <c r="NUF53" s="708">
        <f t="shared" si="191"/>
        <v>1.6798238866497343E+132</v>
      </c>
      <c r="NUG53" s="708">
        <f t="shared" si="191"/>
        <v>1.7302186032492263E+132</v>
      </c>
      <c r="NUH53" s="708">
        <f t="shared" si="191"/>
        <v>1.782125161346703E+132</v>
      </c>
      <c r="NUI53" s="708">
        <f t="shared" si="191"/>
        <v>1.835588916187104E+132</v>
      </c>
      <c r="NUJ53" s="708">
        <f t="shared" si="191"/>
        <v>1.8906565836727171E+132</v>
      </c>
      <c r="NUK53" s="708">
        <f t="shared" si="191"/>
        <v>1.9473762811828988E+132</v>
      </c>
      <c r="NUL53" s="708">
        <f t="shared" si="191"/>
        <v>2.0057975696183857E+132</v>
      </c>
      <c r="NUM53" s="708">
        <f t="shared" si="191"/>
        <v>2.0659714967069374E+132</v>
      </c>
      <c r="NUN53" s="708">
        <f t="shared" si="191"/>
        <v>2.1279506416081454E+132</v>
      </c>
      <c r="NUO53" s="708">
        <f t="shared" si="191"/>
        <v>2.1917891608563899E+132</v>
      </c>
      <c r="NUP53" s="708">
        <f t="shared" si="191"/>
        <v>2.2575428356820817E+132</v>
      </c>
      <c r="NUQ53" s="708">
        <f t="shared" si="191"/>
        <v>2.3252691207525441E+132</v>
      </c>
      <c r="NUR53" s="708">
        <f t="shared" si="191"/>
        <v>2.3950271943751204E+132</v>
      </c>
      <c r="NUS53" s="708">
        <f t="shared" si="191"/>
        <v>2.466878010206374E+132</v>
      </c>
      <c r="NUT53" s="708">
        <f t="shared" si="191"/>
        <v>2.5408843505125653E+132</v>
      </c>
      <c r="NUU53" s="708">
        <f t="shared" si="191"/>
        <v>2.6171108810279424E+132</v>
      </c>
      <c r="NUV53" s="708">
        <f t="shared" si="191"/>
        <v>2.6956242074587806E+132</v>
      </c>
      <c r="NUW53" s="708">
        <f t="shared" si="191"/>
        <v>2.776492933682544E+132</v>
      </c>
      <c r="NUX53" s="708">
        <f t="shared" si="191"/>
        <v>2.8597877216930203E+132</v>
      </c>
      <c r="NUY53" s="708">
        <f t="shared" si="191"/>
        <v>2.9455813533438112E+132</v>
      </c>
      <c r="NUZ53" s="708">
        <f t="shared" si="191"/>
        <v>3.0339487939441255E+132</v>
      </c>
      <c r="NVA53" s="708">
        <f t="shared" si="191"/>
        <v>3.1249672577624494E+132</v>
      </c>
      <c r="NVB53" s="708">
        <f t="shared" si="191"/>
        <v>3.2187162754953232E+132</v>
      </c>
      <c r="NVC53" s="708">
        <f t="shared" si="191"/>
        <v>3.3152777637601828E+132</v>
      </c>
      <c r="NVD53" s="708">
        <f t="shared" si="191"/>
        <v>3.4147360966729882E+132</v>
      </c>
      <c r="NVE53" s="708">
        <f t="shared" si="191"/>
        <v>3.5171781795731776E+132</v>
      </c>
      <c r="NVF53" s="708">
        <f t="shared" si="191"/>
        <v>3.6226935249603732E+132</v>
      </c>
      <c r="NVG53" s="708">
        <f t="shared" si="191"/>
        <v>3.7313743307091844E+132</v>
      </c>
      <c r="NVH53" s="708">
        <f t="shared" si="191"/>
        <v>3.8433155606304601E+132</v>
      </c>
      <c r="NVI53" s="708">
        <f t="shared" si="191"/>
        <v>3.9586150274493739E+132</v>
      </c>
      <c r="NVJ53" s="708">
        <f t="shared" si="191"/>
        <v>4.0773734782728549E+132</v>
      </c>
      <c r="NVK53" s="708">
        <f t="shared" si="191"/>
        <v>4.1996946826210407E+132</v>
      </c>
      <c r="NVL53" s="708">
        <f t="shared" si="191"/>
        <v>4.3256855230996719E+132</v>
      </c>
      <c r="NVM53" s="708">
        <f t="shared" si="191"/>
        <v>4.4554560887926619E+132</v>
      </c>
      <c r="NVN53" s="708">
        <f t="shared" si="191"/>
        <v>4.5891197714564419E+132</v>
      </c>
      <c r="NVO53" s="708">
        <f t="shared" si="191"/>
        <v>4.7267933646001351E+132</v>
      </c>
      <c r="NVP53" s="708">
        <f t="shared" si="191"/>
        <v>4.8685971655381393E+132</v>
      </c>
      <c r="NVQ53" s="708">
        <f t="shared" si="191"/>
        <v>5.0146550805042834E+132</v>
      </c>
      <c r="NVR53" s="708">
        <f t="shared" ref="NVR53:NYC53" si="192">NVQ53*$C$53</f>
        <v>5.1650947329194121E+132</v>
      </c>
      <c r="NVS53" s="708">
        <f t="shared" si="192"/>
        <v>5.3200475749069945E+132</v>
      </c>
      <c r="NVT53" s="708">
        <f t="shared" si="192"/>
        <v>5.4796490021542045E+132</v>
      </c>
      <c r="NVU53" s="708">
        <f t="shared" si="192"/>
        <v>5.6440384722188306E+132</v>
      </c>
      <c r="NVV53" s="708">
        <f t="shared" si="192"/>
        <v>5.813359626385396E+132</v>
      </c>
      <c r="NVW53" s="708">
        <f t="shared" si="192"/>
        <v>5.9877604151769586E+132</v>
      </c>
      <c r="NVX53" s="708">
        <f t="shared" si="192"/>
        <v>6.1673932276322677E+132</v>
      </c>
      <c r="NVY53" s="708">
        <f t="shared" si="192"/>
        <v>6.3524150244612363E+132</v>
      </c>
      <c r="NVZ53" s="708">
        <f t="shared" si="192"/>
        <v>6.5429874751950735E+132</v>
      </c>
      <c r="NWA53" s="708">
        <f t="shared" si="192"/>
        <v>6.7392770994509263E+132</v>
      </c>
      <c r="NWB53" s="708">
        <f t="shared" si="192"/>
        <v>6.9414554124344544E+132</v>
      </c>
      <c r="NWC53" s="708">
        <f t="shared" si="192"/>
        <v>7.1496990748074887E+132</v>
      </c>
      <c r="NWD53" s="708">
        <f t="shared" si="192"/>
        <v>7.3641900470517129E+132</v>
      </c>
      <c r="NWE53" s="708">
        <f t="shared" si="192"/>
        <v>7.5851157484632645E+132</v>
      </c>
      <c r="NWF53" s="708">
        <f t="shared" si="192"/>
        <v>7.812669220917163E+132</v>
      </c>
      <c r="NWG53" s="708">
        <f t="shared" si="192"/>
        <v>8.0470492975446778E+132</v>
      </c>
      <c r="NWH53" s="708">
        <f t="shared" si="192"/>
        <v>8.2884607764710183E+132</v>
      </c>
      <c r="NWI53" s="708">
        <f t="shared" si="192"/>
        <v>8.5371145997651485E+132</v>
      </c>
      <c r="NWJ53" s="708">
        <f t="shared" si="192"/>
        <v>8.7932280377581026E+132</v>
      </c>
      <c r="NWK53" s="708">
        <f t="shared" si="192"/>
        <v>9.057024878890846E+132</v>
      </c>
      <c r="NWL53" s="708">
        <f t="shared" si="192"/>
        <v>9.3287356252575718E+132</v>
      </c>
      <c r="NWM53" s="708">
        <f t="shared" si="192"/>
        <v>9.6085976940152994E+132</v>
      </c>
      <c r="NWN53" s="708">
        <f t="shared" si="192"/>
        <v>9.8968556248357584E+132</v>
      </c>
      <c r="NWO53" s="708">
        <f t="shared" si="192"/>
        <v>1.0193761293580831E+133</v>
      </c>
      <c r="NWP53" s="708">
        <f t="shared" si="192"/>
        <v>1.0499574132388256E+133</v>
      </c>
      <c r="NWQ53" s="708">
        <f t="shared" si="192"/>
        <v>1.0814561356359905E+133</v>
      </c>
      <c r="NWR53" s="708">
        <f t="shared" si="192"/>
        <v>1.1138998197050702E+133</v>
      </c>
      <c r="NWS53" s="708">
        <f t="shared" si="192"/>
        <v>1.1473168142962224E+133</v>
      </c>
      <c r="NWT53" s="708">
        <f t="shared" si="192"/>
        <v>1.181736318725109E+133</v>
      </c>
      <c r="NWU53" s="708">
        <f t="shared" si="192"/>
        <v>1.2171884082868622E+133</v>
      </c>
      <c r="NWV53" s="708">
        <f t="shared" si="192"/>
        <v>1.2537040605354681E+133</v>
      </c>
      <c r="NWW53" s="708">
        <f t="shared" si="192"/>
        <v>1.2913151823515322E+133</v>
      </c>
      <c r="NWX53" s="708">
        <f t="shared" si="192"/>
        <v>1.3300546378220782E+133</v>
      </c>
      <c r="NWY53" s="708">
        <f t="shared" si="192"/>
        <v>1.3699562769567406E+133</v>
      </c>
      <c r="NWZ53" s="708">
        <f t="shared" si="192"/>
        <v>1.4110549652654428E+133</v>
      </c>
      <c r="NXA53" s="708">
        <f t="shared" si="192"/>
        <v>1.4533866142234062E+133</v>
      </c>
      <c r="NXB53" s="708">
        <f t="shared" si="192"/>
        <v>1.4969882126501085E+133</v>
      </c>
      <c r="NXC53" s="708">
        <f t="shared" si="192"/>
        <v>1.5418978590296119E+133</v>
      </c>
      <c r="NXD53" s="708">
        <f t="shared" si="192"/>
        <v>1.5881547948005003E+133</v>
      </c>
      <c r="NXE53" s="708">
        <f t="shared" si="192"/>
        <v>1.6357994386445154E+133</v>
      </c>
      <c r="NXF53" s="708">
        <f t="shared" si="192"/>
        <v>1.6848734218038508E+133</v>
      </c>
      <c r="NXG53" s="708">
        <f t="shared" si="192"/>
        <v>1.7354196244579664E+133</v>
      </c>
      <c r="NXH53" s="708">
        <f t="shared" si="192"/>
        <v>1.7874822131917055E+133</v>
      </c>
      <c r="NXI53" s="708">
        <f t="shared" si="192"/>
        <v>1.8411066795874566E+133</v>
      </c>
      <c r="NXJ53" s="708">
        <f t="shared" si="192"/>
        <v>1.8963398799750805E+133</v>
      </c>
      <c r="NXK53" s="708">
        <f t="shared" si="192"/>
        <v>1.9532300763743328E+133</v>
      </c>
      <c r="NXL53" s="708">
        <f t="shared" si="192"/>
        <v>2.011826978665563E+133</v>
      </c>
      <c r="NXM53" s="708">
        <f t="shared" si="192"/>
        <v>2.0721817880255299E+133</v>
      </c>
      <c r="NXN53" s="708">
        <f t="shared" si="192"/>
        <v>2.1343472416662957E+133</v>
      </c>
      <c r="NXO53" s="708">
        <f t="shared" si="192"/>
        <v>2.1983776589162846E+133</v>
      </c>
      <c r="NXP53" s="708">
        <f t="shared" si="192"/>
        <v>2.2643289886837733E+133</v>
      </c>
      <c r="NXQ53" s="708">
        <f t="shared" si="192"/>
        <v>2.3322588583442864E+133</v>
      </c>
      <c r="NXR53" s="708">
        <f t="shared" si="192"/>
        <v>2.4022266240946149E+133</v>
      </c>
      <c r="NXS53" s="708">
        <f t="shared" si="192"/>
        <v>2.4742934228174532E+133</v>
      </c>
      <c r="NXT53" s="708">
        <f t="shared" si="192"/>
        <v>2.5485222255019767E+133</v>
      </c>
      <c r="NXU53" s="708">
        <f t="shared" si="192"/>
        <v>2.6249778922670362E+133</v>
      </c>
      <c r="NXV53" s="708">
        <f t="shared" si="192"/>
        <v>2.7037272290350476E+133</v>
      </c>
      <c r="NXW53" s="708">
        <f t="shared" si="192"/>
        <v>2.784839045906099E+133</v>
      </c>
      <c r="NXX53" s="708">
        <f t="shared" si="192"/>
        <v>2.8683842172832822E+133</v>
      </c>
      <c r="NXY53" s="708">
        <f t="shared" si="192"/>
        <v>2.9544357438017806E+133</v>
      </c>
      <c r="NXZ53" s="708">
        <f t="shared" si="192"/>
        <v>3.043068816115834E+133</v>
      </c>
      <c r="NYA53" s="708">
        <f t="shared" si="192"/>
        <v>3.1343608805993089E+133</v>
      </c>
      <c r="NYB53" s="708">
        <f t="shared" si="192"/>
        <v>3.2283917070172884E+133</v>
      </c>
      <c r="NYC53" s="708">
        <f t="shared" si="192"/>
        <v>3.3252434582278074E+133</v>
      </c>
      <c r="NYD53" s="708">
        <f t="shared" ref="NYD53:OAO53" si="193">NYC53*$C$53</f>
        <v>3.4250007619746417E+133</v>
      </c>
      <c r="NYE53" s="708">
        <f t="shared" si="193"/>
        <v>3.5277507848338812E+133</v>
      </c>
      <c r="NYF53" s="708">
        <f t="shared" si="193"/>
        <v>3.6335833083788978E+133</v>
      </c>
      <c r="NYG53" s="708">
        <f t="shared" si="193"/>
        <v>3.7425908076302648E+133</v>
      </c>
      <c r="NYH53" s="708">
        <f t="shared" si="193"/>
        <v>3.8548685318591729E+133</v>
      </c>
      <c r="NYI53" s="708">
        <f t="shared" si="193"/>
        <v>3.9705145878149481E+133</v>
      </c>
      <c r="NYJ53" s="708">
        <f t="shared" si="193"/>
        <v>4.0896300254493968E+133</v>
      </c>
      <c r="NYK53" s="708">
        <f t="shared" si="193"/>
        <v>4.2123189262128786E+133</v>
      </c>
      <c r="NYL53" s="708">
        <f t="shared" si="193"/>
        <v>4.3386884939992649E+133</v>
      </c>
      <c r="NYM53" s="708">
        <f t="shared" si="193"/>
        <v>4.468849148819243E+133</v>
      </c>
      <c r="NYN53" s="708">
        <f t="shared" si="193"/>
        <v>4.6029146232838201E+133</v>
      </c>
      <c r="NYO53" s="708">
        <f t="shared" si="193"/>
        <v>4.7410020619823343E+133</v>
      </c>
      <c r="NYP53" s="708">
        <f t="shared" si="193"/>
        <v>4.8832321238418048E+133</v>
      </c>
      <c r="NYQ53" s="708">
        <f t="shared" si="193"/>
        <v>5.0297290875570592E+133</v>
      </c>
      <c r="NYR53" s="708">
        <f t="shared" si="193"/>
        <v>5.1806209601837706E+133</v>
      </c>
      <c r="NYS53" s="708">
        <f t="shared" si="193"/>
        <v>5.3360395889892842E+133</v>
      </c>
      <c r="NYT53" s="708">
        <f t="shared" si="193"/>
        <v>5.4961207766589629E+133</v>
      </c>
      <c r="NYU53" s="708">
        <f t="shared" si="193"/>
        <v>5.6610043999587319E+133</v>
      </c>
      <c r="NYV53" s="708">
        <f t="shared" si="193"/>
        <v>5.8308345319574942E+133</v>
      </c>
      <c r="NYW53" s="708">
        <f t="shared" si="193"/>
        <v>6.0057595679162191E+133</v>
      </c>
      <c r="NYX53" s="708">
        <f t="shared" si="193"/>
        <v>6.1859323549537056E+133</v>
      </c>
      <c r="NYY53" s="708">
        <f t="shared" si="193"/>
        <v>6.3715103256023171E+133</v>
      </c>
      <c r="NYZ53" s="708">
        <f t="shared" si="193"/>
        <v>6.5626556353703868E+133</v>
      </c>
      <c r="NZA53" s="708">
        <f t="shared" si="193"/>
        <v>6.7595353044314982E+133</v>
      </c>
      <c r="NZB53" s="708">
        <f t="shared" si="193"/>
        <v>6.9623213635644432E+133</v>
      </c>
      <c r="NZC53" s="708">
        <f t="shared" si="193"/>
        <v>7.1711910044713769E+133</v>
      </c>
      <c r="NZD53" s="708">
        <f t="shared" si="193"/>
        <v>7.386326734605518E+133</v>
      </c>
      <c r="NZE53" s="708">
        <f t="shared" si="193"/>
        <v>7.607916536643684E+133</v>
      </c>
      <c r="NZF53" s="708">
        <f t="shared" si="193"/>
        <v>7.836154032742995E+133</v>
      </c>
      <c r="NZG53" s="708">
        <f t="shared" si="193"/>
        <v>8.0712386537252852E+133</v>
      </c>
      <c r="NZH53" s="708">
        <f t="shared" si="193"/>
        <v>8.3133758133370435E+133</v>
      </c>
      <c r="NZI53" s="708">
        <f t="shared" si="193"/>
        <v>8.5627770877371551E+133</v>
      </c>
      <c r="NZJ53" s="708">
        <f t="shared" si="193"/>
        <v>8.8196604003692695E+133</v>
      </c>
      <c r="NZK53" s="708">
        <f t="shared" si="193"/>
        <v>9.0842502123803475E+133</v>
      </c>
      <c r="NZL53" s="708">
        <f t="shared" si="193"/>
        <v>9.3567777187517575E+133</v>
      </c>
      <c r="NZM53" s="708">
        <f t="shared" si="193"/>
        <v>9.6374810503143095E+133</v>
      </c>
      <c r="NZN53" s="708">
        <f t="shared" si="193"/>
        <v>9.9266054818237385E+133</v>
      </c>
      <c r="NZO53" s="708">
        <f t="shared" si="193"/>
        <v>1.0224403646278451E+134</v>
      </c>
      <c r="NZP53" s="708">
        <f t="shared" si="193"/>
        <v>1.0531135755666805E+134</v>
      </c>
      <c r="NZQ53" s="708">
        <f t="shared" si="193"/>
        <v>1.0847069828336809E+134</v>
      </c>
      <c r="NZR53" s="708">
        <f t="shared" si="193"/>
        <v>1.1172481923186914E+134</v>
      </c>
      <c r="NZS53" s="708">
        <f t="shared" si="193"/>
        <v>1.1507656380882522E+134</v>
      </c>
      <c r="NZT53" s="708">
        <f t="shared" si="193"/>
        <v>1.1852886072308997E+134</v>
      </c>
      <c r="NZU53" s="708">
        <f t="shared" si="193"/>
        <v>1.2208472654478267E+134</v>
      </c>
      <c r="NZV53" s="708">
        <f t="shared" si="193"/>
        <v>1.2574726834112616E+134</v>
      </c>
      <c r="NZW53" s="708">
        <f t="shared" si="193"/>
        <v>1.2951968639135996E+134</v>
      </c>
      <c r="NZX53" s="708">
        <f t="shared" si="193"/>
        <v>1.3340527698310076E+134</v>
      </c>
      <c r="NZY53" s="708">
        <f t="shared" si="193"/>
        <v>1.3740743529259378E+134</v>
      </c>
      <c r="NZZ53" s="708">
        <f t="shared" si="193"/>
        <v>1.415296583513716E+134</v>
      </c>
      <c r="OAA53" s="708">
        <f t="shared" si="193"/>
        <v>1.4577554810191276E+134</v>
      </c>
      <c r="OAB53" s="708">
        <f t="shared" si="193"/>
        <v>1.5014881454497014E+134</v>
      </c>
      <c r="OAC53" s="708">
        <f t="shared" si="193"/>
        <v>1.5465327898131926E+134</v>
      </c>
      <c r="OAD53" s="708">
        <f t="shared" si="193"/>
        <v>1.5929287735075885E+134</v>
      </c>
      <c r="OAE53" s="708">
        <f t="shared" si="193"/>
        <v>1.6407166367128161E+134</v>
      </c>
      <c r="OAF53" s="708">
        <f t="shared" si="193"/>
        <v>1.6899381358142006E+134</v>
      </c>
      <c r="OAG53" s="708">
        <f t="shared" si="193"/>
        <v>1.7406362798886267E+134</v>
      </c>
      <c r="OAH53" s="708">
        <f t="shared" si="193"/>
        <v>1.7928553682852856E+134</v>
      </c>
      <c r="OAI53" s="708">
        <f t="shared" si="193"/>
        <v>1.846641029333844E+134</v>
      </c>
      <c r="OAJ53" s="708">
        <f t="shared" si="193"/>
        <v>1.9020402602138595E+134</v>
      </c>
      <c r="OAK53" s="708">
        <f t="shared" si="193"/>
        <v>1.9591014680202753E+134</v>
      </c>
      <c r="OAL53" s="708">
        <f t="shared" si="193"/>
        <v>2.0178745120608835E+134</v>
      </c>
      <c r="OAM53" s="708">
        <f t="shared" si="193"/>
        <v>2.0784107474227101E+134</v>
      </c>
      <c r="OAN53" s="708">
        <f t="shared" si="193"/>
        <v>2.1407630698453913E+134</v>
      </c>
      <c r="OAO53" s="708">
        <f t="shared" si="193"/>
        <v>2.2049859619407533E+134</v>
      </c>
      <c r="OAP53" s="708">
        <f t="shared" ref="OAP53:ODA53" si="194">OAO53*$C$53</f>
        <v>2.271135540798976E+134</v>
      </c>
      <c r="OAQ53" s="708">
        <f t="shared" si="194"/>
        <v>2.3392696070229453E+134</v>
      </c>
      <c r="OAR53" s="708">
        <f t="shared" si="194"/>
        <v>2.4094476952336336E+134</v>
      </c>
      <c r="OAS53" s="708">
        <f t="shared" si="194"/>
        <v>2.4817311260906428E+134</v>
      </c>
      <c r="OAT53" s="708">
        <f t="shared" si="194"/>
        <v>2.5561830598733622E+134</v>
      </c>
      <c r="OAU53" s="708">
        <f t="shared" si="194"/>
        <v>2.632868551669563E+134</v>
      </c>
      <c r="OAV53" s="708">
        <f t="shared" si="194"/>
        <v>2.7118546082196502E+134</v>
      </c>
      <c r="OAW53" s="708">
        <f t="shared" si="194"/>
        <v>2.7932102464662397E+134</v>
      </c>
      <c r="OAX53" s="708">
        <f t="shared" si="194"/>
        <v>2.8770065538602268E+134</v>
      </c>
      <c r="OAY53" s="708">
        <f t="shared" si="194"/>
        <v>2.9633167504760335E+134</v>
      </c>
      <c r="OAZ53" s="708">
        <f t="shared" si="194"/>
        <v>3.0522162529903145E+134</v>
      </c>
      <c r="OBA53" s="708">
        <f t="shared" si="194"/>
        <v>3.143782740580024E+134</v>
      </c>
      <c r="OBB53" s="708">
        <f t="shared" si="194"/>
        <v>3.2380962227974246E+134</v>
      </c>
      <c r="OBC53" s="708">
        <f t="shared" si="194"/>
        <v>3.3352391094813474E+134</v>
      </c>
      <c r="OBD53" s="708">
        <f t="shared" si="194"/>
        <v>3.4352962827657879E+134</v>
      </c>
      <c r="OBE53" s="708">
        <f t="shared" si="194"/>
        <v>3.5383551712487617E+134</v>
      </c>
      <c r="OBF53" s="708">
        <f t="shared" si="194"/>
        <v>3.644505826386225E+134</v>
      </c>
      <c r="OBG53" s="708">
        <f t="shared" si="194"/>
        <v>3.7538410011778122E+134</v>
      </c>
      <c r="OBH53" s="708">
        <f t="shared" si="194"/>
        <v>3.8664562312131463E+134</v>
      </c>
      <c r="OBI53" s="708">
        <f t="shared" si="194"/>
        <v>3.9824499181495407E+134</v>
      </c>
      <c r="OBJ53" s="708">
        <f t="shared" si="194"/>
        <v>4.1019234156940268E+134</v>
      </c>
      <c r="OBK53" s="708">
        <f t="shared" si="194"/>
        <v>4.2249811181648478E+134</v>
      </c>
      <c r="OBL53" s="708">
        <f t="shared" si="194"/>
        <v>4.3517305517097935E+134</v>
      </c>
      <c r="OBM53" s="708">
        <f t="shared" si="194"/>
        <v>4.4822824682610877E+134</v>
      </c>
      <c r="OBN53" s="708">
        <f t="shared" si="194"/>
        <v>4.6167509423089205E+134</v>
      </c>
      <c r="OBO53" s="708">
        <f t="shared" si="194"/>
        <v>4.7552534705781884E+134</v>
      </c>
      <c r="OBP53" s="708">
        <f t="shared" si="194"/>
        <v>4.8979110746955346E+134</v>
      </c>
      <c r="OBQ53" s="708">
        <f t="shared" si="194"/>
        <v>5.0448484069364007E+134</v>
      </c>
      <c r="OBR53" s="708">
        <f t="shared" si="194"/>
        <v>5.1961938591444929E+134</v>
      </c>
      <c r="OBS53" s="708">
        <f t="shared" si="194"/>
        <v>5.3520796749188282E+134</v>
      </c>
      <c r="OBT53" s="708">
        <f t="shared" si="194"/>
        <v>5.5126420651663929E+134</v>
      </c>
      <c r="OBU53" s="708">
        <f t="shared" si="194"/>
        <v>5.678021327121385E+134</v>
      </c>
      <c r="OBV53" s="708">
        <f t="shared" si="194"/>
        <v>5.8483619669350267E+134</v>
      </c>
      <c r="OBW53" s="708">
        <f t="shared" si="194"/>
        <v>6.023812825943078E+134</v>
      </c>
      <c r="OBX53" s="708">
        <f t="shared" si="194"/>
        <v>6.2045272107213705E+134</v>
      </c>
      <c r="OBY53" s="708">
        <f t="shared" si="194"/>
        <v>6.3906630270430117E+134</v>
      </c>
      <c r="OBZ53" s="708">
        <f t="shared" si="194"/>
        <v>6.582382917854302E+134</v>
      </c>
      <c r="OCA53" s="708">
        <f t="shared" si="194"/>
        <v>6.7798544053899316E+134</v>
      </c>
      <c r="OCB53" s="708">
        <f t="shared" si="194"/>
        <v>6.98325003755163E+134</v>
      </c>
      <c r="OCC53" s="708">
        <f t="shared" si="194"/>
        <v>7.192747538678179E+134</v>
      </c>
      <c r="OCD53" s="708">
        <f t="shared" si="194"/>
        <v>7.4085299648385247E+134</v>
      </c>
      <c r="OCE53" s="708">
        <f t="shared" si="194"/>
        <v>7.6307858637836799E+134</v>
      </c>
      <c r="OCF53" s="708">
        <f t="shared" si="194"/>
        <v>7.8597094396971907E+134</v>
      </c>
      <c r="OCG53" s="708">
        <f t="shared" si="194"/>
        <v>8.0955007228881068E+134</v>
      </c>
      <c r="OCH53" s="708">
        <f t="shared" si="194"/>
        <v>8.3383657445747503E+134</v>
      </c>
      <c r="OCI53" s="708">
        <f t="shared" si="194"/>
        <v>8.5885167169119926E+134</v>
      </c>
      <c r="OCJ53" s="708">
        <f t="shared" si="194"/>
        <v>8.8461722184193529E+134</v>
      </c>
      <c r="OCK53" s="708">
        <f t="shared" si="194"/>
        <v>9.1115573849719333E+134</v>
      </c>
      <c r="OCL53" s="708">
        <f t="shared" si="194"/>
        <v>9.3849041065210914E+134</v>
      </c>
      <c r="OCM53" s="708">
        <f t="shared" si="194"/>
        <v>9.6664512297167245E+134</v>
      </c>
      <c r="OCN53" s="708">
        <f t="shared" si="194"/>
        <v>9.9564447666082263E+134</v>
      </c>
      <c r="OCO53" s="708">
        <f t="shared" si="194"/>
        <v>1.0255138109606473E+135</v>
      </c>
      <c r="OCP53" s="708">
        <f t="shared" si="194"/>
        <v>1.0562792252894668E+135</v>
      </c>
      <c r="OCQ53" s="708">
        <f t="shared" si="194"/>
        <v>1.0879676020481508E+135</v>
      </c>
      <c r="OCR53" s="708">
        <f t="shared" si="194"/>
        <v>1.1206066301095953E+135</v>
      </c>
      <c r="OCS53" s="708">
        <f t="shared" si="194"/>
        <v>1.1542248290128831E+135</v>
      </c>
      <c r="OCT53" s="708">
        <f t="shared" si="194"/>
        <v>1.1888515738832696E+135</v>
      </c>
      <c r="OCU53" s="708">
        <f t="shared" si="194"/>
        <v>1.2245171210997678E+135</v>
      </c>
      <c r="OCV53" s="708">
        <f t="shared" si="194"/>
        <v>1.2612526347327608E+135</v>
      </c>
      <c r="OCW53" s="708">
        <f t="shared" si="194"/>
        <v>1.2990902137747437E+135</v>
      </c>
      <c r="OCX53" s="708">
        <f t="shared" si="194"/>
        <v>1.3380629201879861E+135</v>
      </c>
      <c r="OCY53" s="708">
        <f t="shared" si="194"/>
        <v>1.3782048077936257E+135</v>
      </c>
      <c r="OCZ53" s="708">
        <f t="shared" si="194"/>
        <v>1.4195509520274346E+135</v>
      </c>
      <c r="ODA53" s="708">
        <f t="shared" si="194"/>
        <v>1.4621374805882577E+135</v>
      </c>
      <c r="ODB53" s="708">
        <f t="shared" ref="ODB53:OFM53" si="195">ODA53*$C$53</f>
        <v>1.5060016050059055E+135</v>
      </c>
      <c r="ODC53" s="708">
        <f t="shared" si="195"/>
        <v>1.5511816531560826E+135</v>
      </c>
      <c r="ODD53" s="708">
        <f t="shared" si="195"/>
        <v>1.597717102750765E+135</v>
      </c>
      <c r="ODE53" s="708">
        <f t="shared" si="195"/>
        <v>1.6456486158332879E+135</v>
      </c>
      <c r="ODF53" s="708">
        <f t="shared" si="195"/>
        <v>1.6950180743082865E+135</v>
      </c>
      <c r="ODG53" s="708">
        <f t="shared" si="195"/>
        <v>1.7458686165375352E+135</v>
      </c>
      <c r="ODH53" s="708">
        <f t="shared" si="195"/>
        <v>1.7982446750336612E+135</v>
      </c>
      <c r="ODI53" s="708">
        <f t="shared" si="195"/>
        <v>1.8521920152846712E+135</v>
      </c>
      <c r="ODJ53" s="708">
        <f t="shared" si="195"/>
        <v>1.9077577757432112E+135</v>
      </c>
      <c r="ODK53" s="708">
        <f t="shared" si="195"/>
        <v>1.9649905090155076E+135</v>
      </c>
      <c r="ODL53" s="708">
        <f t="shared" si="195"/>
        <v>2.023940224285973E+135</v>
      </c>
      <c r="ODM53" s="708">
        <f t="shared" si="195"/>
        <v>2.0846584310145522E+135</v>
      </c>
      <c r="ODN53" s="708">
        <f t="shared" si="195"/>
        <v>2.1471981839449887E+135</v>
      </c>
      <c r="ODO53" s="708">
        <f t="shared" si="195"/>
        <v>2.2116141294633383E+135</v>
      </c>
      <c r="ODP53" s="708">
        <f t="shared" si="195"/>
        <v>2.2779625533472386E+135</v>
      </c>
      <c r="ODQ53" s="708">
        <f t="shared" si="195"/>
        <v>2.3463014299476559E+135</v>
      </c>
      <c r="ODR53" s="708">
        <f t="shared" si="195"/>
        <v>2.4166904728460857E+135</v>
      </c>
      <c r="ODS53" s="708">
        <f t="shared" si="195"/>
        <v>2.4891911870314683E+135</v>
      </c>
      <c r="ODT53" s="708">
        <f t="shared" si="195"/>
        <v>2.5638669226424124E+135</v>
      </c>
      <c r="ODU53" s="708">
        <f t="shared" si="195"/>
        <v>2.6407829303216849E+135</v>
      </c>
      <c r="ODV53" s="708">
        <f t="shared" si="195"/>
        <v>2.7200064182313356E+135</v>
      </c>
      <c r="ODW53" s="708">
        <f t="shared" si="195"/>
        <v>2.8016066107782757E+135</v>
      </c>
      <c r="ODX53" s="708">
        <f t="shared" si="195"/>
        <v>2.8856548091016241E+135</v>
      </c>
      <c r="ODY53" s="708">
        <f t="shared" si="195"/>
        <v>2.9722244533746728E+135</v>
      </c>
      <c r="ODZ53" s="708">
        <f t="shared" si="195"/>
        <v>3.0613911869759128E+135</v>
      </c>
      <c r="OEA53" s="708">
        <f t="shared" si="195"/>
        <v>3.1532329225851905E+135</v>
      </c>
      <c r="OEB53" s="708">
        <f t="shared" si="195"/>
        <v>3.2478299102627461E+135</v>
      </c>
      <c r="OEC53" s="708">
        <f t="shared" si="195"/>
        <v>3.3452648075706288E+135</v>
      </c>
      <c r="OED53" s="708">
        <f t="shared" si="195"/>
        <v>3.4456227517977478E+135</v>
      </c>
      <c r="OEE53" s="708">
        <f t="shared" si="195"/>
        <v>3.5489914343516804E+135</v>
      </c>
      <c r="OEF53" s="708">
        <f t="shared" si="195"/>
        <v>3.655461177382231E+135</v>
      </c>
      <c r="OEG53" s="708">
        <f t="shared" si="195"/>
        <v>3.765125012703698E+135</v>
      </c>
      <c r="OEH53" s="708">
        <f t="shared" si="195"/>
        <v>3.8780787630848087E+135</v>
      </c>
      <c r="OEI53" s="708">
        <f t="shared" si="195"/>
        <v>3.994421125977353E+135</v>
      </c>
      <c r="OEJ53" s="708">
        <f t="shared" si="195"/>
        <v>4.1142537597566739E+135</v>
      </c>
      <c r="OEK53" s="708">
        <f t="shared" si="195"/>
        <v>4.237681372549374E+135</v>
      </c>
      <c r="OEL53" s="708">
        <f t="shared" si="195"/>
        <v>4.3648118137258551E+135</v>
      </c>
      <c r="OEM53" s="708">
        <f t="shared" si="195"/>
        <v>4.4957561681376311E+135</v>
      </c>
      <c r="OEN53" s="708">
        <f t="shared" si="195"/>
        <v>4.6306288531817601E+135</v>
      </c>
      <c r="OEO53" s="708">
        <f t="shared" si="195"/>
        <v>4.769547718777213E+135</v>
      </c>
      <c r="OEP53" s="708">
        <f t="shared" si="195"/>
        <v>4.9126341503405295E+135</v>
      </c>
      <c r="OEQ53" s="708">
        <f t="shared" si="195"/>
        <v>5.0600131748507457E+135</v>
      </c>
      <c r="OER53" s="708">
        <f t="shared" si="195"/>
        <v>5.2118135700962685E+135</v>
      </c>
      <c r="OES53" s="708">
        <f t="shared" si="195"/>
        <v>5.3681679771991564E+135</v>
      </c>
      <c r="OET53" s="708">
        <f t="shared" si="195"/>
        <v>5.5292130165151313E+135</v>
      </c>
      <c r="OEU53" s="708">
        <f t="shared" si="195"/>
        <v>5.6950894070105857E+135</v>
      </c>
      <c r="OEV53" s="708">
        <f t="shared" si="195"/>
        <v>5.8659420892209037E+135</v>
      </c>
      <c r="OEW53" s="708">
        <f t="shared" si="195"/>
        <v>6.0419203518975306E+135</v>
      </c>
      <c r="OEX53" s="708">
        <f t="shared" si="195"/>
        <v>6.2231779624544571E+135</v>
      </c>
      <c r="OEY53" s="708">
        <f t="shared" si="195"/>
        <v>6.4098733013280915E+135</v>
      </c>
      <c r="OEZ53" s="708">
        <f t="shared" si="195"/>
        <v>6.6021695003679341E+135</v>
      </c>
      <c r="OFA53" s="708">
        <f t="shared" si="195"/>
        <v>6.8002345853789725E+135</v>
      </c>
      <c r="OFB53" s="708">
        <f t="shared" si="195"/>
        <v>7.0042416229403418E+135</v>
      </c>
      <c r="OFC53" s="708">
        <f t="shared" si="195"/>
        <v>7.2143688716285521E+135</v>
      </c>
      <c r="OFD53" s="708">
        <f t="shared" si="195"/>
        <v>7.4307999377774086E+135</v>
      </c>
      <c r="OFE53" s="708">
        <f t="shared" si="195"/>
        <v>7.6537239359107313E+135</v>
      </c>
      <c r="OFF53" s="708">
        <f t="shared" si="195"/>
        <v>7.8833356539880538E+135</v>
      </c>
      <c r="OFG53" s="708">
        <f t="shared" si="195"/>
        <v>8.1198357236076954E+135</v>
      </c>
      <c r="OFH53" s="708">
        <f t="shared" si="195"/>
        <v>8.3634307953159263E+135</v>
      </c>
      <c r="OFI53" s="708">
        <f t="shared" si="195"/>
        <v>8.6143337191754047E+135</v>
      </c>
      <c r="OFJ53" s="708">
        <f t="shared" si="195"/>
        <v>8.8727637307506666E+135</v>
      </c>
      <c r="OFK53" s="708">
        <f t="shared" si="195"/>
        <v>9.1389466426731868E+135</v>
      </c>
      <c r="OFL53" s="708">
        <f t="shared" si="195"/>
        <v>9.4131150419533824E+135</v>
      </c>
      <c r="OFM53" s="708">
        <f t="shared" si="195"/>
        <v>9.6955084932119838E+135</v>
      </c>
      <c r="OFN53" s="708">
        <f t="shared" ref="OFN53:OHY53" si="196">OFM53*$C$53</f>
        <v>9.9863737480083437E+135</v>
      </c>
      <c r="OFO53" s="708">
        <f t="shared" si="196"/>
        <v>1.0285964960448595E+136</v>
      </c>
      <c r="OFP53" s="708">
        <f t="shared" si="196"/>
        <v>1.0594543909262053E+136</v>
      </c>
      <c r="OFQ53" s="708">
        <f t="shared" si="196"/>
        <v>1.0912380226539914E+136</v>
      </c>
      <c r="OFR53" s="708">
        <f t="shared" si="196"/>
        <v>1.1239751633336112E+136</v>
      </c>
      <c r="OFS53" s="708">
        <f t="shared" si="196"/>
        <v>1.1576944182336195E+136</v>
      </c>
      <c r="OFT53" s="708">
        <f t="shared" si="196"/>
        <v>1.1924252507806281E+136</v>
      </c>
      <c r="OFU53" s="708">
        <f t="shared" si="196"/>
        <v>1.2281980083040469E+136</v>
      </c>
      <c r="OFV53" s="708">
        <f t="shared" si="196"/>
        <v>1.2650439485531684E+136</v>
      </c>
      <c r="OFW53" s="708">
        <f t="shared" si="196"/>
        <v>1.3029952670097636E+136</v>
      </c>
      <c r="OFX53" s="708">
        <f t="shared" si="196"/>
        <v>1.3420851250200564E+136</v>
      </c>
      <c r="OFY53" s="708">
        <f t="shared" si="196"/>
        <v>1.3823476787706581E+136</v>
      </c>
      <c r="OFZ53" s="708">
        <f t="shared" si="196"/>
        <v>1.4238181091337778E+136</v>
      </c>
      <c r="OGA53" s="708">
        <f t="shared" si="196"/>
        <v>1.4665326524077912E+136</v>
      </c>
      <c r="OGB53" s="708">
        <f t="shared" si="196"/>
        <v>1.510528631980025E+136</v>
      </c>
      <c r="OGC53" s="708">
        <f t="shared" si="196"/>
        <v>1.5558444909394259E+136</v>
      </c>
      <c r="OGD53" s="708">
        <f t="shared" si="196"/>
        <v>1.6025198256676086E+136</v>
      </c>
      <c r="OGE53" s="708">
        <f t="shared" si="196"/>
        <v>1.6505954204376369E+136</v>
      </c>
      <c r="OGF53" s="708">
        <f t="shared" si="196"/>
        <v>1.700113283050766E+136</v>
      </c>
      <c r="OGG53" s="708">
        <f t="shared" si="196"/>
        <v>1.751116681542289E+136</v>
      </c>
      <c r="OGH53" s="708">
        <f t="shared" si="196"/>
        <v>1.8036501819885577E+136</v>
      </c>
      <c r="OGI53" s="708">
        <f t="shared" si="196"/>
        <v>1.8577596874482145E+136</v>
      </c>
      <c r="OGJ53" s="708">
        <f t="shared" si="196"/>
        <v>1.913492478071661E+136</v>
      </c>
      <c r="OGK53" s="708">
        <f t="shared" si="196"/>
        <v>1.9708972524138109E+136</v>
      </c>
      <c r="OGL53" s="708">
        <f t="shared" si="196"/>
        <v>2.0300241699862252E+136</v>
      </c>
      <c r="OGM53" s="708">
        <f t="shared" si="196"/>
        <v>2.0909248950858121E+136</v>
      </c>
      <c r="OGN53" s="708">
        <f t="shared" si="196"/>
        <v>2.1536526419383864E+136</v>
      </c>
      <c r="OGO53" s="708">
        <f t="shared" si="196"/>
        <v>2.218262221196538E+136</v>
      </c>
      <c r="OGP53" s="708">
        <f t="shared" si="196"/>
        <v>2.2848100878324341E+136</v>
      </c>
      <c r="OGQ53" s="708">
        <f t="shared" si="196"/>
        <v>2.353354390467407E+136</v>
      </c>
      <c r="OGR53" s="708">
        <f t="shared" si="196"/>
        <v>2.4239550221814295E+136</v>
      </c>
      <c r="OGS53" s="708">
        <f t="shared" si="196"/>
        <v>2.4966736728468724E+136</v>
      </c>
      <c r="OGT53" s="708">
        <f t="shared" si="196"/>
        <v>2.5715738830322784E+136</v>
      </c>
      <c r="OGU53" s="708">
        <f t="shared" si="196"/>
        <v>2.6487210995232468E+136</v>
      </c>
      <c r="OGV53" s="708">
        <f t="shared" si="196"/>
        <v>2.7281827325089443E+136</v>
      </c>
      <c r="OGW53" s="708">
        <f t="shared" si="196"/>
        <v>2.8100282144842127E+136</v>
      </c>
      <c r="OGX53" s="708">
        <f t="shared" si="196"/>
        <v>2.8943290609187394E+136</v>
      </c>
      <c r="OGY53" s="708">
        <f t="shared" si="196"/>
        <v>2.9811589327463016E+136</v>
      </c>
      <c r="OGZ53" s="708">
        <f t="shared" si="196"/>
        <v>3.0705937007286905E+136</v>
      </c>
      <c r="OHA53" s="708">
        <f t="shared" si="196"/>
        <v>3.1627115117505514E+136</v>
      </c>
      <c r="OHB53" s="708">
        <f t="shared" si="196"/>
        <v>3.2575928571030681E+136</v>
      </c>
      <c r="OHC53" s="708">
        <f t="shared" si="196"/>
        <v>3.3553206428161604E+136</v>
      </c>
      <c r="OHD53" s="708">
        <f t="shared" si="196"/>
        <v>3.4559802621006451E+136</v>
      </c>
      <c r="OHE53" s="708">
        <f t="shared" si="196"/>
        <v>3.5596596699636645E+136</v>
      </c>
      <c r="OHF53" s="708">
        <f t="shared" si="196"/>
        <v>3.6664494600625744E+136</v>
      </c>
      <c r="OHG53" s="708">
        <f t="shared" si="196"/>
        <v>3.7764429438644518E+136</v>
      </c>
      <c r="OHH53" s="708">
        <f t="shared" si="196"/>
        <v>3.8897362321803856E+136</v>
      </c>
      <c r="OHI53" s="708">
        <f t="shared" si="196"/>
        <v>4.0064283191457971E+136</v>
      </c>
      <c r="OHJ53" s="708">
        <f t="shared" si="196"/>
        <v>4.1266211687201713E+136</v>
      </c>
      <c r="OHK53" s="708">
        <f t="shared" si="196"/>
        <v>4.2504198037817766E+136</v>
      </c>
      <c r="OHL53" s="708">
        <f t="shared" si="196"/>
        <v>4.3779323978952299E+136</v>
      </c>
      <c r="OHM53" s="708">
        <f t="shared" si="196"/>
        <v>4.5092703698320872E+136</v>
      </c>
      <c r="OHN53" s="708">
        <f t="shared" si="196"/>
        <v>4.6445484809270498E+136</v>
      </c>
      <c r="OHO53" s="708">
        <f t="shared" si="196"/>
        <v>4.7838849353548609E+136</v>
      </c>
      <c r="OHP53" s="708">
        <f t="shared" si="196"/>
        <v>4.9274014834155066E+136</v>
      </c>
      <c r="OHQ53" s="708">
        <f t="shared" si="196"/>
        <v>5.0752235279179721E+136</v>
      </c>
      <c r="OHR53" s="708">
        <f t="shared" si="196"/>
        <v>5.2274802337555109E+136</v>
      </c>
      <c r="OHS53" s="708">
        <f t="shared" si="196"/>
        <v>5.3843046407681767E+136</v>
      </c>
      <c r="OHT53" s="708">
        <f t="shared" si="196"/>
        <v>5.5458337799912222E+136</v>
      </c>
      <c r="OHU53" s="708">
        <f t="shared" si="196"/>
        <v>5.7122087933909591E+136</v>
      </c>
      <c r="OHV53" s="708">
        <f t="shared" si="196"/>
        <v>5.8835750571926883E+136</v>
      </c>
      <c r="OHW53" s="708">
        <f t="shared" si="196"/>
        <v>6.0600823089084696E+136</v>
      </c>
      <c r="OHX53" s="708">
        <f t="shared" si="196"/>
        <v>6.2418847781757242E+136</v>
      </c>
      <c r="OHY53" s="708">
        <f t="shared" si="196"/>
        <v>6.4291413215209964E+136</v>
      </c>
      <c r="OHZ53" s="708">
        <f t="shared" ref="OHZ53:OKK53" si="197">OHY53*$C$53</f>
        <v>6.6220155611666262E+136</v>
      </c>
      <c r="OIA53" s="708">
        <f t="shared" si="197"/>
        <v>6.8206760280016252E+136</v>
      </c>
      <c r="OIB53" s="708">
        <f t="shared" si="197"/>
        <v>7.0252963088416745E+136</v>
      </c>
      <c r="OIC53" s="708">
        <f t="shared" si="197"/>
        <v>7.2360551981069251E+136</v>
      </c>
      <c r="OID53" s="708">
        <f t="shared" si="197"/>
        <v>7.4531368540501329E+136</v>
      </c>
      <c r="OIE53" s="708">
        <f t="shared" si="197"/>
        <v>7.6767309596716366E+136</v>
      </c>
      <c r="OIF53" s="708">
        <f t="shared" si="197"/>
        <v>7.907032888461786E+136</v>
      </c>
      <c r="OIG53" s="708">
        <f t="shared" si="197"/>
        <v>8.1442438751156399E+136</v>
      </c>
      <c r="OIH53" s="708">
        <f t="shared" si="197"/>
        <v>8.3885711913691098E+136</v>
      </c>
      <c r="OII53" s="708">
        <f t="shared" si="197"/>
        <v>8.6402283271101837E+136</v>
      </c>
      <c r="OIJ53" s="708">
        <f t="shared" si="197"/>
        <v>8.899435176923489E+136</v>
      </c>
      <c r="OIK53" s="708">
        <f t="shared" si="197"/>
        <v>9.1664182322311944E+136</v>
      </c>
      <c r="OIL53" s="708">
        <f t="shared" si="197"/>
        <v>9.4414107791981299E+136</v>
      </c>
      <c r="OIM53" s="708">
        <f t="shared" si="197"/>
        <v>9.7246531025740737E+136</v>
      </c>
      <c r="OIN53" s="708">
        <f t="shared" si="197"/>
        <v>1.0016392695651296E+137</v>
      </c>
      <c r="OIO53" s="708">
        <f t="shared" si="197"/>
        <v>1.0316884476520834E+137</v>
      </c>
      <c r="OIP53" s="708">
        <f t="shared" si="197"/>
        <v>1.062639101081646E+137</v>
      </c>
      <c r="OIQ53" s="708">
        <f t="shared" si="197"/>
        <v>1.0945182741140953E+137</v>
      </c>
      <c r="OIR53" s="708">
        <f t="shared" si="197"/>
        <v>1.1273538223375181E+137</v>
      </c>
      <c r="OIS53" s="708">
        <f t="shared" si="197"/>
        <v>1.1611744370076436E+137</v>
      </c>
      <c r="OIT53" s="708">
        <f t="shared" si="197"/>
        <v>1.196009670117873E+137</v>
      </c>
      <c r="OIU53" s="708">
        <f t="shared" si="197"/>
        <v>1.2318899602214092E+137</v>
      </c>
      <c r="OIV53" s="708">
        <f t="shared" si="197"/>
        <v>1.2688466590280516E+137</v>
      </c>
      <c r="OIW53" s="708">
        <f t="shared" si="197"/>
        <v>1.3069120587988931E+137</v>
      </c>
      <c r="OIX53" s="708">
        <f t="shared" si="197"/>
        <v>1.34611942056286E+137</v>
      </c>
      <c r="OIY53" s="708">
        <f t="shared" si="197"/>
        <v>1.3865030031797458E+137</v>
      </c>
      <c r="OIZ53" s="708">
        <f t="shared" si="197"/>
        <v>1.4280980932751383E+137</v>
      </c>
      <c r="OJA53" s="708">
        <f t="shared" si="197"/>
        <v>1.4709410360733925E+137</v>
      </c>
      <c r="OJB53" s="708">
        <f t="shared" si="197"/>
        <v>1.5150692671555942E+137</v>
      </c>
      <c r="OJC53" s="708">
        <f t="shared" si="197"/>
        <v>1.5605213451702621E+137</v>
      </c>
      <c r="OJD53" s="708">
        <f t="shared" si="197"/>
        <v>1.6073369855253699E+137</v>
      </c>
      <c r="OJE53" s="708">
        <f t="shared" si="197"/>
        <v>1.6555570950911311E+137</v>
      </c>
      <c r="OJF53" s="708">
        <f t="shared" si="197"/>
        <v>1.705223807943865E+137</v>
      </c>
      <c r="OJG53" s="708">
        <f t="shared" si="197"/>
        <v>1.7563805221821809E+137</v>
      </c>
      <c r="OJH53" s="708">
        <f t="shared" si="197"/>
        <v>1.8090719378476464E+137</v>
      </c>
      <c r="OJI53" s="708">
        <f t="shared" si="197"/>
        <v>1.863344095983076E+137</v>
      </c>
      <c r="OJJ53" s="708">
        <f t="shared" si="197"/>
        <v>1.9192444188625684E+137</v>
      </c>
      <c r="OJK53" s="708">
        <f t="shared" si="197"/>
        <v>1.9768217514284456E+137</v>
      </c>
      <c r="OJL53" s="708">
        <f t="shared" si="197"/>
        <v>2.0361264039712989E+137</v>
      </c>
      <c r="OJM53" s="708">
        <f t="shared" si="197"/>
        <v>2.0972101960904377E+137</v>
      </c>
      <c r="OJN53" s="708">
        <f t="shared" si="197"/>
        <v>2.1601265019731511E+137</v>
      </c>
      <c r="OJO53" s="708">
        <f t="shared" si="197"/>
        <v>2.2249302970323456E+137</v>
      </c>
      <c r="OJP53" s="708">
        <f t="shared" si="197"/>
        <v>2.2916782059433161E+137</v>
      </c>
      <c r="OJQ53" s="708">
        <f t="shared" si="197"/>
        <v>2.3604285521216156E+137</v>
      </c>
      <c r="OJR53" s="708">
        <f t="shared" si="197"/>
        <v>2.4312414086852641E+137</v>
      </c>
      <c r="OJS53" s="708">
        <f t="shared" si="197"/>
        <v>2.5041786509458222E+137</v>
      </c>
      <c r="OJT53" s="708">
        <f t="shared" si="197"/>
        <v>2.579304010474197E+137</v>
      </c>
      <c r="OJU53" s="708">
        <f t="shared" si="197"/>
        <v>2.656683130788423E+137</v>
      </c>
      <c r="OJV53" s="708">
        <f t="shared" si="197"/>
        <v>2.7363836247120758E+137</v>
      </c>
      <c r="OJW53" s="708">
        <f t="shared" si="197"/>
        <v>2.8184751334534383E+137</v>
      </c>
      <c r="OJX53" s="708">
        <f t="shared" si="197"/>
        <v>2.9030293874570413E+137</v>
      </c>
      <c r="OJY53" s="708">
        <f t="shared" si="197"/>
        <v>2.9901202690807526E+137</v>
      </c>
      <c r="OJZ53" s="708">
        <f t="shared" si="197"/>
        <v>3.0798238771531754E+137</v>
      </c>
      <c r="OKA53" s="708">
        <f t="shared" si="197"/>
        <v>3.1722185934677706E+137</v>
      </c>
      <c r="OKB53" s="708">
        <f t="shared" si="197"/>
        <v>3.2673851512718038E+137</v>
      </c>
      <c r="OKC53" s="708">
        <f t="shared" si="197"/>
        <v>3.365406705809958E+137</v>
      </c>
      <c r="OKD53" s="708">
        <f t="shared" si="197"/>
        <v>3.4663689069842566E+137</v>
      </c>
      <c r="OKE53" s="708">
        <f t="shared" si="197"/>
        <v>3.5703599741937845E+137</v>
      </c>
      <c r="OKF53" s="708">
        <f t="shared" si="197"/>
        <v>3.6774707734195981E+137</v>
      </c>
      <c r="OKG53" s="708">
        <f t="shared" si="197"/>
        <v>3.7877948966221865E+137</v>
      </c>
      <c r="OKH53" s="708">
        <f t="shared" si="197"/>
        <v>3.9014287435208523E+137</v>
      </c>
      <c r="OKI53" s="708">
        <f t="shared" si="197"/>
        <v>4.0184716058264778E+137</v>
      </c>
      <c r="OKJ53" s="708">
        <f t="shared" si="197"/>
        <v>4.1390257540012719E+137</v>
      </c>
      <c r="OKK53" s="708">
        <f t="shared" si="197"/>
        <v>4.2631965266213102E+137</v>
      </c>
      <c r="OKL53" s="708">
        <f t="shared" ref="OKL53:OMW53" si="198">OKK53*$C$53</f>
        <v>4.3910924224199494E+137</v>
      </c>
      <c r="OKM53" s="708">
        <f t="shared" si="198"/>
        <v>4.522825195092548E+137</v>
      </c>
      <c r="OKN53" s="708">
        <f t="shared" si="198"/>
        <v>4.6585099509453246E+137</v>
      </c>
      <c r="OKO53" s="708">
        <f t="shared" si="198"/>
        <v>4.7982652494736843E+137</v>
      </c>
      <c r="OKP53" s="708">
        <f t="shared" si="198"/>
        <v>4.9422132069578952E+137</v>
      </c>
      <c r="OKQ53" s="708">
        <f t="shared" si="198"/>
        <v>5.0904796031666325E+137</v>
      </c>
      <c r="OKR53" s="708">
        <f t="shared" si="198"/>
        <v>5.243193991261632E+137</v>
      </c>
      <c r="OKS53" s="708">
        <f t="shared" si="198"/>
        <v>5.4004898109994811E+137</v>
      </c>
      <c r="OKT53" s="708">
        <f t="shared" si="198"/>
        <v>5.5625045053294656E+137</v>
      </c>
      <c r="OKU53" s="708">
        <f t="shared" si="198"/>
        <v>5.7293796404893499E+137</v>
      </c>
      <c r="OKV53" s="708">
        <f t="shared" si="198"/>
        <v>5.9012610297040303E+137</v>
      </c>
      <c r="OKW53" s="708">
        <f t="shared" si="198"/>
        <v>6.0782988605951517E+137</v>
      </c>
      <c r="OKX53" s="708">
        <f t="shared" si="198"/>
        <v>6.2606478264130067E+137</v>
      </c>
      <c r="OKY53" s="708">
        <f t="shared" si="198"/>
        <v>6.448467261205397E+137</v>
      </c>
      <c r="OKZ53" s="708">
        <f t="shared" si="198"/>
        <v>6.641921279041559E+137</v>
      </c>
      <c r="OLA53" s="708">
        <f t="shared" si="198"/>
        <v>6.8411789174128061E+137</v>
      </c>
      <c r="OLB53" s="708">
        <f t="shared" si="198"/>
        <v>7.0464142849351903E+137</v>
      </c>
      <c r="OLC53" s="708">
        <f t="shared" si="198"/>
        <v>7.2578067134832465E+137</v>
      </c>
      <c r="OLD53" s="708">
        <f t="shared" si="198"/>
        <v>7.4755409148877437E+137</v>
      </c>
      <c r="OLE53" s="708">
        <f t="shared" si="198"/>
        <v>7.699807142334377E+137</v>
      </c>
      <c r="OLF53" s="708">
        <f t="shared" si="198"/>
        <v>7.9308013566044092E+137</v>
      </c>
      <c r="OLG53" s="708">
        <f t="shared" si="198"/>
        <v>8.168725397302541E+137</v>
      </c>
      <c r="OLH53" s="708">
        <f t="shared" si="198"/>
        <v>8.4137871592216183E+137</v>
      </c>
      <c r="OLI53" s="708">
        <f t="shared" si="198"/>
        <v>8.6662007739982668E+137</v>
      </c>
      <c r="OLJ53" s="708">
        <f t="shared" si="198"/>
        <v>8.9261867972182149E+137</v>
      </c>
      <c r="OLK53" s="708">
        <f t="shared" si="198"/>
        <v>9.1939724011347621E+137</v>
      </c>
      <c r="OLL53" s="708">
        <f t="shared" si="198"/>
        <v>9.4697915731688053E+137</v>
      </c>
      <c r="OLM53" s="708">
        <f t="shared" si="198"/>
        <v>9.7538853203638701E+137</v>
      </c>
      <c r="OLN53" s="708">
        <f t="shared" si="198"/>
        <v>1.0046501879974786E+138</v>
      </c>
      <c r="OLO53" s="708">
        <f t="shared" si="198"/>
        <v>1.0347896936374029E+138</v>
      </c>
      <c r="OLP53" s="708">
        <f t="shared" si="198"/>
        <v>1.065833384446525E+138</v>
      </c>
      <c r="OLQ53" s="708">
        <f t="shared" si="198"/>
        <v>1.0978083859799208E+138</v>
      </c>
      <c r="OLR53" s="708">
        <f t="shared" si="198"/>
        <v>1.1307426375593184E+138</v>
      </c>
      <c r="OLS53" s="708">
        <f t="shared" si="198"/>
        <v>1.1646649166860979E+138</v>
      </c>
      <c r="OLT53" s="708">
        <f t="shared" si="198"/>
        <v>1.1996048641866809E+138</v>
      </c>
      <c r="OLU53" s="708">
        <f t="shared" si="198"/>
        <v>1.2355930101122813E+138</v>
      </c>
      <c r="OLV53" s="708">
        <f t="shared" si="198"/>
        <v>1.2726608004156498E+138</v>
      </c>
      <c r="OLW53" s="708">
        <f t="shared" si="198"/>
        <v>1.3108406244281193E+138</v>
      </c>
      <c r="OLX53" s="708">
        <f t="shared" si="198"/>
        <v>1.3501658431609629E+138</v>
      </c>
      <c r="OLY53" s="708">
        <f t="shared" si="198"/>
        <v>1.3906708184557918E+138</v>
      </c>
      <c r="OLZ53" s="708">
        <f t="shared" si="198"/>
        <v>1.4323909430094656E+138</v>
      </c>
      <c r="OMA53" s="708">
        <f t="shared" si="198"/>
        <v>1.4753626712997496E+138</v>
      </c>
      <c r="OMB53" s="708">
        <f t="shared" si="198"/>
        <v>1.5196235514387422E+138</v>
      </c>
      <c r="OMC53" s="708">
        <f t="shared" si="198"/>
        <v>1.5652122579819044E+138</v>
      </c>
      <c r="OMD53" s="708">
        <f t="shared" si="198"/>
        <v>1.6121686257213614E+138</v>
      </c>
      <c r="OME53" s="708">
        <f t="shared" si="198"/>
        <v>1.6605336844930024E+138</v>
      </c>
      <c r="OMF53" s="708">
        <f t="shared" si="198"/>
        <v>1.7103496950277926E+138</v>
      </c>
      <c r="OMG53" s="708">
        <f t="shared" si="198"/>
        <v>1.7616601858786263E+138</v>
      </c>
      <c r="OMH53" s="708">
        <f t="shared" si="198"/>
        <v>1.8145099914549853E+138</v>
      </c>
      <c r="OMI53" s="708">
        <f t="shared" si="198"/>
        <v>1.8689452911986348E+138</v>
      </c>
      <c r="OMJ53" s="708">
        <f t="shared" si="198"/>
        <v>1.925013649934594E+138</v>
      </c>
      <c r="OMK53" s="708">
        <f t="shared" si="198"/>
        <v>1.9827640594326319E+138</v>
      </c>
      <c r="OML53" s="708">
        <f t="shared" si="198"/>
        <v>2.0422469812156109E+138</v>
      </c>
      <c r="OMM53" s="708">
        <f t="shared" si="198"/>
        <v>2.1035143906520793E+138</v>
      </c>
      <c r="OMN53" s="708">
        <f t="shared" si="198"/>
        <v>2.1666198223716418E+138</v>
      </c>
      <c r="OMO53" s="708">
        <f t="shared" si="198"/>
        <v>2.2316184170427913E+138</v>
      </c>
      <c r="OMP53" s="708">
        <f t="shared" si="198"/>
        <v>2.2985669695540749E+138</v>
      </c>
      <c r="OMQ53" s="708">
        <f t="shared" si="198"/>
        <v>2.3675239786406972E+138</v>
      </c>
      <c r="OMR53" s="708">
        <f t="shared" si="198"/>
        <v>2.4385496979999181E+138</v>
      </c>
      <c r="OMS53" s="708">
        <f t="shared" si="198"/>
        <v>2.5117061889399156E+138</v>
      </c>
      <c r="OMT53" s="708">
        <f t="shared" si="198"/>
        <v>2.5870573746081131E+138</v>
      </c>
      <c r="OMU53" s="708">
        <f t="shared" si="198"/>
        <v>2.6646690958463565E+138</v>
      </c>
      <c r="OMV53" s="708">
        <f t="shared" si="198"/>
        <v>2.7446091687217473E+138</v>
      </c>
      <c r="OMW53" s="708">
        <f t="shared" si="198"/>
        <v>2.8269474437833998E+138</v>
      </c>
      <c r="OMX53" s="708">
        <f t="shared" ref="OMX53:OPI53" si="199">OMW53*$C$53</f>
        <v>2.9117558670969018E+138</v>
      </c>
      <c r="OMY53" s="708">
        <f t="shared" si="199"/>
        <v>2.9991085431098092E+138</v>
      </c>
      <c r="OMZ53" s="708">
        <f t="shared" si="199"/>
        <v>3.0890817994031032E+138</v>
      </c>
      <c r="ONA53" s="708">
        <f t="shared" si="199"/>
        <v>3.1817542533851967E+138</v>
      </c>
      <c r="ONB53" s="708">
        <f t="shared" si="199"/>
        <v>3.2772068809867525E+138</v>
      </c>
      <c r="ONC53" s="708">
        <f t="shared" si="199"/>
        <v>3.3755230874163553E+138</v>
      </c>
      <c r="OND53" s="708">
        <f t="shared" si="199"/>
        <v>3.4767887800388459E+138</v>
      </c>
      <c r="ONE53" s="708">
        <f t="shared" si="199"/>
        <v>3.5810924434400111E+138</v>
      </c>
      <c r="ONF53" s="708">
        <f t="shared" si="199"/>
        <v>3.6885252167432117E+138</v>
      </c>
      <c r="ONG53" s="708">
        <f t="shared" si="199"/>
        <v>3.7991809732455079E+138</v>
      </c>
      <c r="ONH53" s="708">
        <f t="shared" si="199"/>
        <v>3.9131564024428733E+138</v>
      </c>
      <c r="ONI53" s="708">
        <f t="shared" si="199"/>
        <v>4.0305510945161596E+138</v>
      </c>
      <c r="ONJ53" s="708">
        <f t="shared" si="199"/>
        <v>4.1514676273516444E+138</v>
      </c>
      <c r="ONK53" s="708">
        <f t="shared" si="199"/>
        <v>4.2760116561721937E+138</v>
      </c>
      <c r="ONL53" s="708">
        <f t="shared" si="199"/>
        <v>4.4042920058573596E+138</v>
      </c>
      <c r="ONM53" s="708">
        <f t="shared" si="199"/>
        <v>4.5364207660330807E+138</v>
      </c>
      <c r="ONN53" s="708">
        <f t="shared" si="199"/>
        <v>4.6725133890140734E+138</v>
      </c>
      <c r="ONO53" s="708">
        <f t="shared" si="199"/>
        <v>4.8126887906844957E+138</v>
      </c>
      <c r="ONP53" s="708">
        <f t="shared" si="199"/>
        <v>4.9570694544050307E+138</v>
      </c>
      <c r="ONQ53" s="708">
        <f t="shared" si="199"/>
        <v>5.1057815380371815E+138</v>
      </c>
      <c r="ONR53" s="708">
        <f t="shared" si="199"/>
        <v>5.2589549841782974E+138</v>
      </c>
      <c r="ONS53" s="708">
        <f t="shared" si="199"/>
        <v>5.4167236337036466E+138</v>
      </c>
      <c r="ONT53" s="708">
        <f t="shared" si="199"/>
        <v>5.5792253427147565E+138</v>
      </c>
      <c r="ONU53" s="708">
        <f t="shared" si="199"/>
        <v>5.7466021029961992E+138</v>
      </c>
      <c r="ONV53" s="708">
        <f t="shared" si="199"/>
        <v>5.9190001660860857E+138</v>
      </c>
      <c r="ONW53" s="708">
        <f t="shared" si="199"/>
        <v>6.0965701710686679E+138</v>
      </c>
      <c r="ONX53" s="708">
        <f t="shared" si="199"/>
        <v>6.2794672762007281E+138</v>
      </c>
      <c r="ONY53" s="708">
        <f t="shared" si="199"/>
        <v>6.4678512944867498E+138</v>
      </c>
      <c r="ONZ53" s="708">
        <f t="shared" si="199"/>
        <v>6.6618868333213519E+138</v>
      </c>
      <c r="OOA53" s="708">
        <f t="shared" si="199"/>
        <v>6.861743438320993E+138</v>
      </c>
      <c r="OOB53" s="708">
        <f t="shared" si="199"/>
        <v>7.0675957414706227E+138</v>
      </c>
      <c r="OOC53" s="708">
        <f t="shared" si="199"/>
        <v>7.2796236137147413E+138</v>
      </c>
      <c r="OOD53" s="708">
        <f t="shared" si="199"/>
        <v>7.4980123221261832E+138</v>
      </c>
      <c r="OOE53" s="708">
        <f t="shared" si="199"/>
        <v>7.7229526917899693E+138</v>
      </c>
      <c r="OOF53" s="708">
        <f t="shared" si="199"/>
        <v>7.954641272543669E+138</v>
      </c>
      <c r="OOG53" s="708">
        <f t="shared" si="199"/>
        <v>8.1932805107199788E+138</v>
      </c>
      <c r="OOH53" s="708">
        <f t="shared" si="199"/>
        <v>8.4390789260415788E+138</v>
      </c>
      <c r="OOI53" s="708">
        <f t="shared" si="199"/>
        <v>8.6922512938228258E+138</v>
      </c>
      <c r="OOJ53" s="708">
        <f t="shared" si="199"/>
        <v>8.9530188326375108E+138</v>
      </c>
      <c r="OOK53" s="708">
        <f t="shared" si="199"/>
        <v>9.2216093976166367E+138</v>
      </c>
      <c r="OOL53" s="708">
        <f t="shared" si="199"/>
        <v>9.4982576795451359E+138</v>
      </c>
      <c r="OOM53" s="708">
        <f t="shared" si="199"/>
        <v>9.7832054099314905E+138</v>
      </c>
      <c r="OON53" s="708">
        <f t="shared" si="199"/>
        <v>1.0076701572229435E+139</v>
      </c>
      <c r="OOO53" s="708">
        <f t="shared" si="199"/>
        <v>1.0379002619396319E+139</v>
      </c>
      <c r="OOP53" s="708">
        <f t="shared" si="199"/>
        <v>1.0690372697978209E+139</v>
      </c>
      <c r="OOQ53" s="708">
        <f t="shared" si="199"/>
        <v>1.1011083878917556E+139</v>
      </c>
      <c r="OOR53" s="708">
        <f t="shared" si="199"/>
        <v>1.1341416395285084E+139</v>
      </c>
      <c r="OOS53" s="708">
        <f t="shared" si="199"/>
        <v>1.1681658887143636E+139</v>
      </c>
      <c r="OOT53" s="708">
        <f t="shared" si="199"/>
        <v>1.2032108653757946E+139</v>
      </c>
      <c r="OOU53" s="708">
        <f t="shared" si="199"/>
        <v>1.2393071913370685E+139</v>
      </c>
      <c r="OOV53" s="708">
        <f t="shared" si="199"/>
        <v>1.2764864070771806E+139</v>
      </c>
      <c r="OOW53" s="708">
        <f t="shared" si="199"/>
        <v>1.314780999289496E+139</v>
      </c>
      <c r="OOX53" s="708">
        <f t="shared" si="199"/>
        <v>1.3542244292681809E+139</v>
      </c>
      <c r="OOY53" s="708">
        <f t="shared" si="199"/>
        <v>1.3948511621462264E+139</v>
      </c>
      <c r="OOZ53" s="708">
        <f t="shared" si="199"/>
        <v>1.4366966970106131E+139</v>
      </c>
      <c r="OPA53" s="708">
        <f t="shared" si="199"/>
        <v>1.4797975979209317E+139</v>
      </c>
      <c r="OPB53" s="708">
        <f t="shared" si="199"/>
        <v>1.5241915258585596E+139</v>
      </c>
      <c r="OPC53" s="708">
        <f t="shared" si="199"/>
        <v>1.5699172716343163E+139</v>
      </c>
      <c r="OPD53" s="708">
        <f t="shared" si="199"/>
        <v>1.6170147897833457E+139</v>
      </c>
      <c r="OPE53" s="708">
        <f t="shared" si="199"/>
        <v>1.6655252334768462E+139</v>
      </c>
      <c r="OPF53" s="708">
        <f t="shared" si="199"/>
        <v>1.7154909904811515E+139</v>
      </c>
      <c r="OPG53" s="708">
        <f t="shared" si="199"/>
        <v>1.7669557201955861E+139</v>
      </c>
      <c r="OPH53" s="708">
        <f t="shared" si="199"/>
        <v>1.8199643918014537E+139</v>
      </c>
      <c r="OPI53" s="708">
        <f t="shared" si="199"/>
        <v>1.8745633235554974E+139</v>
      </c>
      <c r="OPJ53" s="708">
        <f t="shared" ref="OPJ53:ORU53" si="200">OPI53*$C$53</f>
        <v>1.9308002232621625E+139</v>
      </c>
      <c r="OPK53" s="708">
        <f t="shared" si="200"/>
        <v>1.9887242299600273E+139</v>
      </c>
      <c r="OPL53" s="708">
        <f t="shared" si="200"/>
        <v>2.0483859568588283E+139</v>
      </c>
      <c r="OPM53" s="708">
        <f t="shared" si="200"/>
        <v>2.1098375355645932E+139</v>
      </c>
      <c r="OPN53" s="708">
        <f t="shared" si="200"/>
        <v>2.173132661631531E+139</v>
      </c>
      <c r="OPO53" s="708">
        <f t="shared" si="200"/>
        <v>2.2383266414804769E+139</v>
      </c>
      <c r="OPP53" s="708">
        <f t="shared" si="200"/>
        <v>2.3054764407248913E+139</v>
      </c>
      <c r="OPQ53" s="708">
        <f t="shared" si="200"/>
        <v>2.3746407339466382E+139</v>
      </c>
      <c r="OPR53" s="708">
        <f t="shared" si="200"/>
        <v>2.4458799559650375E+139</v>
      </c>
      <c r="OPS53" s="708">
        <f t="shared" si="200"/>
        <v>2.5192563546439885E+139</v>
      </c>
      <c r="OPT53" s="708">
        <f t="shared" si="200"/>
        <v>2.5948340452833081E+139</v>
      </c>
      <c r="OPU53" s="708">
        <f t="shared" si="200"/>
        <v>2.6726790666418072E+139</v>
      </c>
      <c r="OPV53" s="708">
        <f t="shared" si="200"/>
        <v>2.7528594386410614E+139</v>
      </c>
      <c r="OPW53" s="708">
        <f t="shared" si="200"/>
        <v>2.8354452218002931E+139</v>
      </c>
      <c r="OPX53" s="708">
        <f t="shared" si="200"/>
        <v>2.9205085784543018E+139</v>
      </c>
      <c r="OPY53" s="708">
        <f t="shared" si="200"/>
        <v>3.0081238358079309E+139</v>
      </c>
      <c r="OPZ53" s="708">
        <f t="shared" si="200"/>
        <v>3.0983675508821692E+139</v>
      </c>
      <c r="OQA53" s="708">
        <f t="shared" si="200"/>
        <v>3.1913185774086344E+139</v>
      </c>
      <c r="OQB53" s="708">
        <f t="shared" si="200"/>
        <v>3.2870581347308935E+139</v>
      </c>
      <c r="OQC53" s="708">
        <f t="shared" si="200"/>
        <v>3.3856698787728203E+139</v>
      </c>
      <c r="OQD53" s="708">
        <f t="shared" si="200"/>
        <v>3.4872399751360048E+139</v>
      </c>
      <c r="OQE53" s="708">
        <f t="shared" si="200"/>
        <v>3.591857174390085E+139</v>
      </c>
      <c r="OQF53" s="708">
        <f t="shared" si="200"/>
        <v>3.6996128896217878E+139</v>
      </c>
      <c r="OQG53" s="708">
        <f t="shared" si="200"/>
        <v>3.8106012763104417E+139</v>
      </c>
      <c r="OQH53" s="708">
        <f t="shared" si="200"/>
        <v>3.9249193145997551E+139</v>
      </c>
      <c r="OQI53" s="708">
        <f t="shared" si="200"/>
        <v>4.0426668940377481E+139</v>
      </c>
      <c r="OQJ53" s="708">
        <f t="shared" si="200"/>
        <v>4.1639469008588805E+139</v>
      </c>
      <c r="OQK53" s="708">
        <f t="shared" si="200"/>
        <v>4.288865307884647E+139</v>
      </c>
      <c r="OQL53" s="708">
        <f t="shared" si="200"/>
        <v>4.4175312671211866E+139</v>
      </c>
      <c r="OQM53" s="708">
        <f t="shared" si="200"/>
        <v>4.5500572051348222E+139</v>
      </c>
      <c r="OQN53" s="708">
        <f t="shared" si="200"/>
        <v>4.6865589212888669E+139</v>
      </c>
      <c r="OQO53" s="708">
        <f t="shared" si="200"/>
        <v>4.8271556889275329E+139</v>
      </c>
      <c r="OQP53" s="708">
        <f t="shared" si="200"/>
        <v>4.9719703595953593E+139</v>
      </c>
      <c r="OQQ53" s="708">
        <f t="shared" si="200"/>
        <v>5.1211294703832205E+139</v>
      </c>
      <c r="OQR53" s="708">
        <f t="shared" si="200"/>
        <v>5.2747633544947169E+139</v>
      </c>
      <c r="OQS53" s="708">
        <f t="shared" si="200"/>
        <v>5.4330062551295591E+139</v>
      </c>
      <c r="OQT53" s="708">
        <f t="shared" si="200"/>
        <v>5.5959964427834464E+139</v>
      </c>
      <c r="OQU53" s="708">
        <f t="shared" si="200"/>
        <v>5.7638763360669505E+139</v>
      </c>
      <c r="OQV53" s="708">
        <f t="shared" si="200"/>
        <v>5.9367926261489594E+139</v>
      </c>
      <c r="OQW53" s="708">
        <f t="shared" si="200"/>
        <v>6.1148964049334278E+139</v>
      </c>
      <c r="OQX53" s="708">
        <f t="shared" si="200"/>
        <v>6.2983432970814308E+139</v>
      </c>
      <c r="OQY53" s="708">
        <f t="shared" si="200"/>
        <v>6.4872935959938741E+139</v>
      </c>
      <c r="OQZ53" s="708">
        <f t="shared" si="200"/>
        <v>6.6819124038736901E+139</v>
      </c>
      <c r="ORA53" s="708">
        <f t="shared" si="200"/>
        <v>6.882369775989901E+139</v>
      </c>
      <c r="ORB53" s="708">
        <f t="shared" si="200"/>
        <v>7.0888408692695979E+139</v>
      </c>
      <c r="ORC53" s="708">
        <f t="shared" si="200"/>
        <v>7.301506095347686E+139</v>
      </c>
      <c r="ORD53" s="708">
        <f t="shared" si="200"/>
        <v>7.520551278208117E+139</v>
      </c>
      <c r="ORE53" s="708">
        <f t="shared" si="200"/>
        <v>7.7461678165543611E+139</v>
      </c>
      <c r="ORF53" s="708">
        <f t="shared" si="200"/>
        <v>7.9785528510509917E+139</v>
      </c>
      <c r="ORG53" s="708">
        <f t="shared" si="200"/>
        <v>8.2179094365825216E+139</v>
      </c>
      <c r="ORH53" s="708">
        <f t="shared" si="200"/>
        <v>8.4644467196799978E+139</v>
      </c>
      <c r="ORI53" s="708">
        <f t="shared" si="200"/>
        <v>8.7183801212703978E+139</v>
      </c>
      <c r="ORJ53" s="708">
        <f t="shared" si="200"/>
        <v>8.9799315249085103E+139</v>
      </c>
      <c r="ORK53" s="708">
        <f t="shared" si="200"/>
        <v>9.2493294706557661E+139</v>
      </c>
      <c r="ORL53" s="708">
        <f t="shared" si="200"/>
        <v>9.5268093547754394E+139</v>
      </c>
      <c r="ORM53" s="708">
        <f t="shared" si="200"/>
        <v>9.8126136354187022E+139</v>
      </c>
      <c r="ORN53" s="708">
        <f t="shared" si="200"/>
        <v>1.0106992044481263E+140</v>
      </c>
      <c r="ORO53" s="708">
        <f t="shared" si="200"/>
        <v>1.0410201805815701E+140</v>
      </c>
      <c r="ORP53" s="708">
        <f t="shared" si="200"/>
        <v>1.0722507859990172E+140</v>
      </c>
      <c r="ORQ53" s="708">
        <f t="shared" si="200"/>
        <v>1.1044183095789878E+140</v>
      </c>
      <c r="ORR53" s="708">
        <f t="shared" si="200"/>
        <v>1.1375508588663574E+140</v>
      </c>
      <c r="ORS53" s="708">
        <f t="shared" si="200"/>
        <v>1.1716773846323482E+140</v>
      </c>
      <c r="ORT53" s="708">
        <f t="shared" si="200"/>
        <v>1.2068277061713186E+140</v>
      </c>
      <c r="ORU53" s="708">
        <f t="shared" si="200"/>
        <v>1.2430325373564582E+140</v>
      </c>
      <c r="ORV53" s="708">
        <f t="shared" ref="ORV53:OUG53" si="201">ORU53*$C$53</f>
        <v>1.280323513477152E+140</v>
      </c>
      <c r="ORW53" s="708">
        <f t="shared" si="201"/>
        <v>1.3187332188814666E+140</v>
      </c>
      <c r="ORX53" s="708">
        <f t="shared" si="201"/>
        <v>1.3582952154479107E+140</v>
      </c>
      <c r="ORY53" s="708">
        <f t="shared" si="201"/>
        <v>1.399044071911348E+140</v>
      </c>
      <c r="ORZ53" s="708">
        <f t="shared" si="201"/>
        <v>1.4410153940686885E+140</v>
      </c>
      <c r="OSA53" s="708">
        <f t="shared" si="201"/>
        <v>1.4842458558907493E+140</v>
      </c>
      <c r="OSB53" s="708">
        <f t="shared" si="201"/>
        <v>1.5287732315674718E+140</v>
      </c>
      <c r="OSC53" s="708">
        <f t="shared" si="201"/>
        <v>1.5746364285144959E+140</v>
      </c>
      <c r="OSD53" s="708">
        <f t="shared" si="201"/>
        <v>1.6218755213699309E+140</v>
      </c>
      <c r="OSE53" s="708">
        <f t="shared" si="201"/>
        <v>1.6705317870110289E+140</v>
      </c>
      <c r="OSF53" s="708">
        <f t="shared" si="201"/>
        <v>1.7206477406213598E+140</v>
      </c>
      <c r="OSG53" s="708">
        <f t="shared" si="201"/>
        <v>1.7722671728400006E+140</v>
      </c>
      <c r="OSH53" s="708">
        <f t="shared" si="201"/>
        <v>1.8254351880252006E+140</v>
      </c>
      <c r="OSI53" s="708">
        <f t="shared" si="201"/>
        <v>1.8801982436659566E+140</v>
      </c>
      <c r="OSJ53" s="708">
        <f t="shared" si="201"/>
        <v>1.9366041909759354E+140</v>
      </c>
      <c r="OSK53" s="708">
        <f t="shared" si="201"/>
        <v>1.9947023167052134E+140</v>
      </c>
      <c r="OSL53" s="708">
        <f t="shared" si="201"/>
        <v>2.05454338620637E+140</v>
      </c>
      <c r="OSM53" s="708">
        <f t="shared" si="201"/>
        <v>2.1161796877925611E+140</v>
      </c>
      <c r="OSN53" s="708">
        <f t="shared" si="201"/>
        <v>2.1796650784263381E+140</v>
      </c>
      <c r="OSO53" s="708">
        <f t="shared" si="201"/>
        <v>2.2450550307791283E+140</v>
      </c>
      <c r="OSP53" s="708">
        <f t="shared" si="201"/>
        <v>2.3124066817025024E+140</v>
      </c>
      <c r="OSQ53" s="708">
        <f t="shared" si="201"/>
        <v>2.3817788821535776E+140</v>
      </c>
      <c r="OSR53" s="708">
        <f t="shared" si="201"/>
        <v>2.4532322486181849E+140</v>
      </c>
      <c r="OSS53" s="708">
        <f t="shared" si="201"/>
        <v>2.5268292160767306E+140</v>
      </c>
      <c r="OST53" s="708">
        <f t="shared" si="201"/>
        <v>2.6026340925590327E+140</v>
      </c>
      <c r="OSU53" s="708">
        <f t="shared" si="201"/>
        <v>2.6807131153358036E+140</v>
      </c>
      <c r="OSV53" s="708">
        <f t="shared" si="201"/>
        <v>2.7611345087958778E+140</v>
      </c>
      <c r="OSW53" s="708">
        <f t="shared" si="201"/>
        <v>2.8439685440597543E+140</v>
      </c>
      <c r="OSX53" s="708">
        <f t="shared" si="201"/>
        <v>2.929287600381547E+140</v>
      </c>
      <c r="OSY53" s="708">
        <f t="shared" si="201"/>
        <v>3.0171662283929934E+140</v>
      </c>
      <c r="OSZ53" s="708">
        <f t="shared" si="201"/>
        <v>3.1076812152447835E+140</v>
      </c>
      <c r="OTA53" s="708">
        <f t="shared" si="201"/>
        <v>3.200911651702127E+140</v>
      </c>
      <c r="OTB53" s="708">
        <f t="shared" si="201"/>
        <v>3.2969390012531909E+140</v>
      </c>
      <c r="OTC53" s="708">
        <f t="shared" si="201"/>
        <v>3.3958471712907866E+140</v>
      </c>
      <c r="OTD53" s="708">
        <f t="shared" si="201"/>
        <v>3.4977225864295105E+140</v>
      </c>
      <c r="OTE53" s="708">
        <f t="shared" si="201"/>
        <v>3.6026542640223957E+140</v>
      </c>
      <c r="OTF53" s="708">
        <f t="shared" si="201"/>
        <v>3.7107338919430675E+140</v>
      </c>
      <c r="OTG53" s="708">
        <f t="shared" si="201"/>
        <v>3.8220559087013594E+140</v>
      </c>
      <c r="OTH53" s="708">
        <f t="shared" si="201"/>
        <v>3.9367175859624004E+140</v>
      </c>
      <c r="OTI53" s="708">
        <f t="shared" si="201"/>
        <v>4.0548191135412729E+140</v>
      </c>
      <c r="OTJ53" s="708">
        <f t="shared" si="201"/>
        <v>4.1764636869475116E+140</v>
      </c>
      <c r="OTK53" s="708">
        <f t="shared" si="201"/>
        <v>4.3017575975559372E+140</v>
      </c>
      <c r="OTL53" s="708">
        <f t="shared" si="201"/>
        <v>4.4308103254826152E+140</v>
      </c>
      <c r="OTM53" s="708">
        <f t="shared" si="201"/>
        <v>4.5637346352470938E+140</v>
      </c>
      <c r="OTN53" s="708">
        <f t="shared" si="201"/>
        <v>4.7006466743045068E+140</v>
      </c>
      <c r="OTO53" s="708">
        <f t="shared" si="201"/>
        <v>4.8416660745336424E+140</v>
      </c>
      <c r="OTP53" s="708">
        <f t="shared" si="201"/>
        <v>4.9869160567696521E+140</v>
      </c>
      <c r="OTQ53" s="708">
        <f t="shared" si="201"/>
        <v>5.1365235384727419E+140</v>
      </c>
      <c r="OTR53" s="708">
        <f t="shared" si="201"/>
        <v>5.2906192446269239E+140</v>
      </c>
      <c r="OTS53" s="708">
        <f t="shared" si="201"/>
        <v>5.4493378219657319E+140</v>
      </c>
      <c r="OTT53" s="708">
        <f t="shared" si="201"/>
        <v>5.6128179566247041E+140</v>
      </c>
      <c r="OTU53" s="708">
        <f t="shared" si="201"/>
        <v>5.7812024953234457E+140</v>
      </c>
      <c r="OTV53" s="708">
        <f t="shared" si="201"/>
        <v>5.9546385701831491E+140</v>
      </c>
      <c r="OTW53" s="708">
        <f t="shared" si="201"/>
        <v>6.1332777272886436E+140</v>
      </c>
      <c r="OTX53" s="708">
        <f t="shared" si="201"/>
        <v>6.3172760591073032E+140</v>
      </c>
      <c r="OTY53" s="708">
        <f t="shared" si="201"/>
        <v>6.5067943408805224E+140</v>
      </c>
      <c r="OTZ53" s="708">
        <f t="shared" si="201"/>
        <v>6.7019981711069383E+140</v>
      </c>
      <c r="OUA53" s="708">
        <f t="shared" si="201"/>
        <v>6.9030581162401467E+140</v>
      </c>
      <c r="OUB53" s="708">
        <f t="shared" si="201"/>
        <v>7.1101498597273513E+140</v>
      </c>
      <c r="OUC53" s="708">
        <f t="shared" si="201"/>
        <v>7.3234543555191717E+140</v>
      </c>
      <c r="OUD53" s="708">
        <f t="shared" si="201"/>
        <v>7.5431579861847467E+140</v>
      </c>
      <c r="OUE53" s="708">
        <f t="shared" si="201"/>
        <v>7.7694527257702898E+140</v>
      </c>
      <c r="OUF53" s="708">
        <f t="shared" si="201"/>
        <v>8.0025363075433991E+140</v>
      </c>
      <c r="OUG53" s="708">
        <f t="shared" si="201"/>
        <v>8.2426123967697006E+140</v>
      </c>
      <c r="OUH53" s="708">
        <f t="shared" ref="OUH53:OWS53" si="202">OUG53*$C$53</f>
        <v>8.4898907686727917E+140</v>
      </c>
      <c r="OUI53" s="708">
        <f t="shared" si="202"/>
        <v>8.7445874917329765E+140</v>
      </c>
      <c r="OUJ53" s="708">
        <f t="shared" si="202"/>
        <v>9.0069251164849655E+140</v>
      </c>
      <c r="OUK53" s="708">
        <f t="shared" si="202"/>
        <v>9.277132869979515E+140</v>
      </c>
      <c r="OUL53" s="708">
        <f t="shared" si="202"/>
        <v>9.5554468560789006E+140</v>
      </c>
      <c r="OUM53" s="708">
        <f t="shared" si="202"/>
        <v>9.8421102617612681E+140</v>
      </c>
      <c r="OUN53" s="708">
        <f t="shared" si="202"/>
        <v>1.0137373569614106E+141</v>
      </c>
      <c r="OUO53" s="708">
        <f t="shared" si="202"/>
        <v>1.0441494776702528E+141</v>
      </c>
      <c r="OUP53" s="708">
        <f t="shared" si="202"/>
        <v>1.0754739620003605E+141</v>
      </c>
      <c r="OUQ53" s="708">
        <f t="shared" si="202"/>
        <v>1.1077381808603713E+141</v>
      </c>
      <c r="OUR53" s="708">
        <f t="shared" si="202"/>
        <v>1.1409703262861825E+141</v>
      </c>
      <c r="OUS53" s="708">
        <f t="shared" si="202"/>
        <v>1.175199436074768E+141</v>
      </c>
      <c r="OUT53" s="708">
        <f t="shared" si="202"/>
        <v>1.210455419157011E+141</v>
      </c>
      <c r="OUU53" s="708">
        <f t="shared" si="202"/>
        <v>1.2467690817317215E+141</v>
      </c>
      <c r="OUV53" s="708">
        <f t="shared" si="202"/>
        <v>1.2841721541836732E+141</v>
      </c>
      <c r="OUW53" s="708">
        <f t="shared" si="202"/>
        <v>1.3226973188091834E+141</v>
      </c>
      <c r="OUX53" s="708">
        <f t="shared" si="202"/>
        <v>1.3623782383734588E+141</v>
      </c>
      <c r="OUY53" s="708">
        <f t="shared" si="202"/>
        <v>1.4032495855246626E+141</v>
      </c>
      <c r="OUZ53" s="708">
        <f t="shared" si="202"/>
        <v>1.4453470730904026E+141</v>
      </c>
      <c r="OVA53" s="708">
        <f t="shared" si="202"/>
        <v>1.4887074852831148E+141</v>
      </c>
      <c r="OVB53" s="708">
        <f t="shared" si="202"/>
        <v>1.5333687098416082E+141</v>
      </c>
      <c r="OVC53" s="708">
        <f t="shared" si="202"/>
        <v>1.5793697711368565E+141</v>
      </c>
      <c r="OVD53" s="708">
        <f t="shared" si="202"/>
        <v>1.6267508642709622E+141</v>
      </c>
      <c r="OVE53" s="708">
        <f t="shared" si="202"/>
        <v>1.6755533901990909E+141</v>
      </c>
      <c r="OVF53" s="708">
        <f t="shared" si="202"/>
        <v>1.7258199919050639E+141</v>
      </c>
      <c r="OVG53" s="708">
        <f t="shared" si="202"/>
        <v>1.777594591662216E+141</v>
      </c>
      <c r="OVH53" s="708">
        <f t="shared" si="202"/>
        <v>1.8309224294120826E+141</v>
      </c>
      <c r="OVI53" s="708">
        <f t="shared" si="202"/>
        <v>1.885850102294445E+141</v>
      </c>
      <c r="OVJ53" s="708">
        <f t="shared" si="202"/>
        <v>1.9424256053632783E+141</v>
      </c>
      <c r="OVK53" s="708">
        <f t="shared" si="202"/>
        <v>2.0006983735241766E+141</v>
      </c>
      <c r="OVL53" s="708">
        <f t="shared" si="202"/>
        <v>2.0607193247299018E+141</v>
      </c>
      <c r="OVM53" s="708">
        <f t="shared" si="202"/>
        <v>2.1225409044717989E+141</v>
      </c>
      <c r="OVN53" s="708">
        <f t="shared" si="202"/>
        <v>2.186217131605953E+141</v>
      </c>
      <c r="OVO53" s="708">
        <f t="shared" si="202"/>
        <v>2.2518036455541318E+141</v>
      </c>
      <c r="OVP53" s="708">
        <f t="shared" si="202"/>
        <v>2.319357754920756E+141</v>
      </c>
      <c r="OVQ53" s="708">
        <f t="shared" si="202"/>
        <v>2.3889384875683786E+141</v>
      </c>
      <c r="OVR53" s="708">
        <f t="shared" si="202"/>
        <v>2.4606066421954301E+141</v>
      </c>
      <c r="OVS53" s="708">
        <f t="shared" si="202"/>
        <v>2.534424841461293E+141</v>
      </c>
      <c r="OVT53" s="708">
        <f t="shared" si="202"/>
        <v>2.610457586705132E+141</v>
      </c>
      <c r="OVU53" s="708">
        <f t="shared" si="202"/>
        <v>2.6887713143062862E+141</v>
      </c>
      <c r="OVV53" s="708">
        <f t="shared" si="202"/>
        <v>2.7694344537354749E+141</v>
      </c>
      <c r="OVW53" s="708">
        <f t="shared" si="202"/>
        <v>2.8525174873475391E+141</v>
      </c>
      <c r="OVX53" s="708">
        <f t="shared" si="202"/>
        <v>2.9380930119679655E+141</v>
      </c>
      <c r="OVY53" s="708">
        <f t="shared" si="202"/>
        <v>3.0262358023270046E+141</v>
      </c>
      <c r="OVZ53" s="708">
        <f t="shared" si="202"/>
        <v>3.1170228763968148E+141</v>
      </c>
      <c r="OWA53" s="708">
        <f t="shared" si="202"/>
        <v>3.2105335626887194E+141</v>
      </c>
      <c r="OWB53" s="708">
        <f t="shared" si="202"/>
        <v>3.3068495695693807E+141</v>
      </c>
      <c r="OWC53" s="708">
        <f t="shared" si="202"/>
        <v>3.4060550566564624E+141</v>
      </c>
      <c r="OWD53" s="708">
        <f t="shared" si="202"/>
        <v>3.5082367083561566E+141</v>
      </c>
      <c r="OWE53" s="708">
        <f t="shared" si="202"/>
        <v>3.6134838096068411E+141</v>
      </c>
      <c r="OWF53" s="708">
        <f t="shared" si="202"/>
        <v>3.7218883238950466E+141</v>
      </c>
      <c r="OWG53" s="708">
        <f t="shared" si="202"/>
        <v>3.8335449736118981E+141</v>
      </c>
      <c r="OWH53" s="708">
        <f t="shared" si="202"/>
        <v>3.9485513228202554E+141</v>
      </c>
      <c r="OWI53" s="708">
        <f t="shared" si="202"/>
        <v>4.0670078625048629E+141</v>
      </c>
      <c r="OWJ53" s="708">
        <f t="shared" si="202"/>
        <v>4.1890180983800091E+141</v>
      </c>
      <c r="OWK53" s="708">
        <f t="shared" si="202"/>
        <v>4.3146886413314097E+141</v>
      </c>
      <c r="OWL53" s="708">
        <f t="shared" si="202"/>
        <v>4.4441293005713518E+141</v>
      </c>
      <c r="OWM53" s="708">
        <f t="shared" si="202"/>
        <v>4.5774531795884925E+141</v>
      </c>
      <c r="OWN53" s="708">
        <f t="shared" si="202"/>
        <v>4.7147767749761472E+141</v>
      </c>
      <c r="OWO53" s="708">
        <f t="shared" si="202"/>
        <v>4.8562200782254314E+141</v>
      </c>
      <c r="OWP53" s="708">
        <f t="shared" si="202"/>
        <v>5.0019066805721947E+141</v>
      </c>
      <c r="OWQ53" s="708">
        <f t="shared" si="202"/>
        <v>5.1519638809893606E+141</v>
      </c>
      <c r="OWR53" s="708">
        <f t="shared" si="202"/>
        <v>5.3065227974190413E+141</v>
      </c>
      <c r="OWS53" s="708">
        <f t="shared" si="202"/>
        <v>5.4657184813416124E+141</v>
      </c>
      <c r="OWT53" s="708">
        <f t="shared" ref="OWT53:OZE53" si="203">OWS53*$C$53</f>
        <v>5.6296900357818611E+141</v>
      </c>
      <c r="OWU53" s="708">
        <f t="shared" si="203"/>
        <v>5.7985807368553172E+141</v>
      </c>
      <c r="OWV53" s="708">
        <f t="shared" si="203"/>
        <v>5.9725381589609766E+141</v>
      </c>
      <c r="OWW53" s="708">
        <f t="shared" si="203"/>
        <v>6.1517143037298058E+141</v>
      </c>
      <c r="OWX53" s="708">
        <f t="shared" si="203"/>
        <v>6.3362657328417007E+141</v>
      </c>
      <c r="OWY53" s="708">
        <f t="shared" si="203"/>
        <v>6.5263537048269515E+141</v>
      </c>
      <c r="OWZ53" s="708">
        <f t="shared" si="203"/>
        <v>6.7221443159717607E+141</v>
      </c>
      <c r="OXA53" s="708">
        <f t="shared" si="203"/>
        <v>6.9238086454509132E+141</v>
      </c>
      <c r="OXB53" s="708">
        <f t="shared" si="203"/>
        <v>7.1315229048144407E+141</v>
      </c>
      <c r="OXC53" s="708">
        <f t="shared" si="203"/>
        <v>7.3454685919588735E+141</v>
      </c>
      <c r="OXD53" s="708">
        <f t="shared" si="203"/>
        <v>7.5658326497176396E+141</v>
      </c>
      <c r="OXE53" s="708">
        <f t="shared" si="203"/>
        <v>7.7928076292091693E+141</v>
      </c>
      <c r="OXF53" s="708">
        <f t="shared" si="203"/>
        <v>8.0265918580854444E+141</v>
      </c>
      <c r="OXG53" s="708">
        <f t="shared" si="203"/>
        <v>8.2673896138280086E+141</v>
      </c>
      <c r="OXH53" s="708">
        <f t="shared" si="203"/>
        <v>8.515411302242849E+141</v>
      </c>
      <c r="OXI53" s="708">
        <f t="shared" si="203"/>
        <v>8.7708736413101343E+141</v>
      </c>
      <c r="OXJ53" s="708">
        <f t="shared" si="203"/>
        <v>9.0339998505494387E+141</v>
      </c>
      <c r="OXK53" s="708">
        <f t="shared" si="203"/>
        <v>9.3050198460659218E+141</v>
      </c>
      <c r="OXL53" s="708">
        <f t="shared" si="203"/>
        <v>9.5841704414479001E+141</v>
      </c>
      <c r="OXM53" s="708">
        <f t="shared" si="203"/>
        <v>9.8716955546913369E+141</v>
      </c>
      <c r="OXN53" s="708">
        <f t="shared" si="203"/>
        <v>1.0167846421332078E+142</v>
      </c>
      <c r="OXO53" s="708">
        <f t="shared" si="203"/>
        <v>1.047288181397204E+142</v>
      </c>
      <c r="OXP53" s="708">
        <f t="shared" si="203"/>
        <v>1.0787068268391201E+142</v>
      </c>
      <c r="OXQ53" s="708">
        <f t="shared" si="203"/>
        <v>1.1110680316442938E+142</v>
      </c>
      <c r="OXR53" s="708">
        <f t="shared" si="203"/>
        <v>1.1444000725936226E+142</v>
      </c>
      <c r="OXS53" s="708">
        <f t="shared" si="203"/>
        <v>1.1787320747714313E+142</v>
      </c>
      <c r="OXT53" s="708">
        <f t="shared" si="203"/>
        <v>1.2140940370145742E+142</v>
      </c>
      <c r="OXU53" s="708">
        <f t="shared" si="203"/>
        <v>1.2505168581250115E+142</v>
      </c>
      <c r="OXV53" s="708">
        <f t="shared" si="203"/>
        <v>1.2880323638687619E+142</v>
      </c>
      <c r="OXW53" s="708">
        <f t="shared" si="203"/>
        <v>1.3266733347848249E+142</v>
      </c>
      <c r="OXX53" s="708">
        <f t="shared" si="203"/>
        <v>1.3664735348283698E+142</v>
      </c>
      <c r="OXY53" s="708">
        <f t="shared" si="203"/>
        <v>1.4074677408732208E+142</v>
      </c>
      <c r="OXZ53" s="708">
        <f t="shared" si="203"/>
        <v>1.4496917730994175E+142</v>
      </c>
      <c r="OYA53" s="708">
        <f t="shared" si="203"/>
        <v>1.4931825262924001E+142</v>
      </c>
      <c r="OYB53" s="708">
        <f t="shared" si="203"/>
        <v>1.5379780020811721E+142</v>
      </c>
      <c r="OYC53" s="708">
        <f t="shared" si="203"/>
        <v>1.5841173421436074E+142</v>
      </c>
      <c r="OYD53" s="708">
        <f t="shared" si="203"/>
        <v>1.6316408624079156E+142</v>
      </c>
      <c r="OYE53" s="708">
        <f t="shared" si="203"/>
        <v>1.680590088280153E+142</v>
      </c>
      <c r="OYF53" s="708">
        <f t="shared" si="203"/>
        <v>1.7310077909285577E+142</v>
      </c>
      <c r="OYG53" s="708">
        <f t="shared" si="203"/>
        <v>1.7829380246564145E+142</v>
      </c>
      <c r="OYH53" s="708">
        <f t="shared" si="203"/>
        <v>1.8364261653961071E+142</v>
      </c>
      <c r="OYI53" s="708">
        <f t="shared" si="203"/>
        <v>1.8915189503579902E+142</v>
      </c>
      <c r="OYJ53" s="708">
        <f t="shared" si="203"/>
        <v>1.9482645188687299E+142</v>
      </c>
      <c r="OYK53" s="708">
        <f t="shared" si="203"/>
        <v>2.0067124544347918E+142</v>
      </c>
      <c r="OYL53" s="708">
        <f t="shared" si="203"/>
        <v>2.0669138280678355E+142</v>
      </c>
      <c r="OYM53" s="708">
        <f t="shared" si="203"/>
        <v>2.1289212429098706E+142</v>
      </c>
      <c r="OYN53" s="708">
        <f t="shared" si="203"/>
        <v>2.1927888801971667E+142</v>
      </c>
      <c r="OYO53" s="708">
        <f t="shared" si="203"/>
        <v>2.2585725466030816E+142</v>
      </c>
      <c r="OYP53" s="708">
        <f t="shared" si="203"/>
        <v>2.3263297230011742E+142</v>
      </c>
      <c r="OYQ53" s="708">
        <f t="shared" si="203"/>
        <v>2.3961196146912094E+142</v>
      </c>
      <c r="OYR53" s="708">
        <f t="shared" si="203"/>
        <v>2.4680032031319456E+142</v>
      </c>
      <c r="OYS53" s="708">
        <f t="shared" si="203"/>
        <v>2.5420432992259041E+142</v>
      </c>
      <c r="OYT53" s="708">
        <f t="shared" si="203"/>
        <v>2.6183045982026814E+142</v>
      </c>
      <c r="OYU53" s="708">
        <f t="shared" si="203"/>
        <v>2.6968537361487621E+142</v>
      </c>
      <c r="OYV53" s="708">
        <f t="shared" si="203"/>
        <v>2.7777593482332252E+142</v>
      </c>
      <c r="OYW53" s="708">
        <f t="shared" si="203"/>
        <v>2.861092128680222E+142</v>
      </c>
      <c r="OYX53" s="708">
        <f t="shared" si="203"/>
        <v>2.946924892540629E+142</v>
      </c>
      <c r="OYY53" s="708">
        <f t="shared" si="203"/>
        <v>3.0353326393168479E+142</v>
      </c>
      <c r="OYZ53" s="708">
        <f t="shared" si="203"/>
        <v>3.1263926184963536E+142</v>
      </c>
      <c r="OZA53" s="708">
        <f t="shared" si="203"/>
        <v>3.2201843970512442E+142</v>
      </c>
      <c r="OZB53" s="708">
        <f t="shared" si="203"/>
        <v>3.3167899289627814E+142</v>
      </c>
      <c r="OZC53" s="708">
        <f t="shared" si="203"/>
        <v>3.416293626831665E+142</v>
      </c>
      <c r="OZD53" s="708">
        <f t="shared" si="203"/>
        <v>3.5187824356366152E+142</v>
      </c>
      <c r="OZE53" s="708">
        <f t="shared" si="203"/>
        <v>3.6243459087057135E+142</v>
      </c>
      <c r="OZF53" s="708">
        <f t="shared" ref="OZF53:PBQ53" si="204">OZE53*$C$53</f>
        <v>3.7330762859668852E+142</v>
      </c>
      <c r="OZG53" s="708">
        <f t="shared" si="204"/>
        <v>3.8450685745458921E+142</v>
      </c>
      <c r="OZH53" s="708">
        <f t="shared" si="204"/>
        <v>3.9604206317822691E+142</v>
      </c>
      <c r="OZI53" s="708">
        <f t="shared" si="204"/>
        <v>4.0792332507357371E+142</v>
      </c>
      <c r="OZJ53" s="708">
        <f t="shared" si="204"/>
        <v>4.2016102482578093E+142</v>
      </c>
      <c r="OZK53" s="708">
        <f t="shared" si="204"/>
        <v>4.3276585557055438E+142</v>
      </c>
      <c r="OZL53" s="708">
        <f t="shared" si="204"/>
        <v>4.4574883123767102E+142</v>
      </c>
      <c r="OZM53" s="708">
        <f t="shared" si="204"/>
        <v>4.5912129617480116E+142</v>
      </c>
      <c r="OZN53" s="708">
        <f t="shared" si="204"/>
        <v>4.7289493506004521E+142</v>
      </c>
      <c r="OZO53" s="708">
        <f t="shared" si="204"/>
        <v>4.870817831118466E+142</v>
      </c>
      <c r="OZP53" s="708">
        <f t="shared" si="204"/>
        <v>5.0169423660520202E+142</v>
      </c>
      <c r="OZQ53" s="708">
        <f t="shared" si="204"/>
        <v>5.1674506370335807E+142</v>
      </c>
      <c r="OZR53" s="708">
        <f t="shared" si="204"/>
        <v>5.3224741561445882E+142</v>
      </c>
      <c r="OZS53" s="708">
        <f t="shared" si="204"/>
        <v>5.4821483808289264E+142</v>
      </c>
      <c r="OZT53" s="708">
        <f t="shared" si="204"/>
        <v>5.6466128322537947E+142</v>
      </c>
      <c r="OZU53" s="708">
        <f t="shared" si="204"/>
        <v>5.816011217221409E+142</v>
      </c>
      <c r="OZV53" s="708">
        <f t="shared" si="204"/>
        <v>5.9904915537380516E+142</v>
      </c>
      <c r="OZW53" s="708">
        <f t="shared" si="204"/>
        <v>6.1702063003501937E+142</v>
      </c>
      <c r="OZX53" s="708">
        <f t="shared" si="204"/>
        <v>6.3553124893607001E+142</v>
      </c>
      <c r="OZY53" s="708">
        <f t="shared" si="204"/>
        <v>6.5459718640415211E+142</v>
      </c>
      <c r="OZZ53" s="708">
        <f t="shared" si="204"/>
        <v>6.7423510199627665E+142</v>
      </c>
      <c r="PAA53" s="708">
        <f t="shared" si="204"/>
        <v>6.9446215505616493E+142</v>
      </c>
      <c r="PAB53" s="708">
        <f t="shared" si="204"/>
        <v>7.1529601970784986E+142</v>
      </c>
      <c r="PAC53" s="708">
        <f t="shared" si="204"/>
        <v>7.3675490029908539E+142</v>
      </c>
      <c r="PAD53" s="708">
        <f t="shared" si="204"/>
        <v>7.5885754730805801E+142</v>
      </c>
      <c r="PAE53" s="708">
        <f t="shared" si="204"/>
        <v>7.8162327372729977E+142</v>
      </c>
      <c r="PAF53" s="708">
        <f t="shared" si="204"/>
        <v>8.0507197193911883E+142</v>
      </c>
      <c r="PAG53" s="708">
        <f t="shared" si="204"/>
        <v>8.2922413109729245E+142</v>
      </c>
      <c r="PAH53" s="708">
        <f t="shared" si="204"/>
        <v>8.5410085503021125E+142</v>
      </c>
      <c r="PAI53" s="708">
        <f t="shared" si="204"/>
        <v>8.7972388068111763E+142</v>
      </c>
      <c r="PAJ53" s="708">
        <f t="shared" si="204"/>
        <v>9.0611559710155122E+142</v>
      </c>
      <c r="PAK53" s="708">
        <f t="shared" si="204"/>
        <v>9.3329906501459783E+142</v>
      </c>
      <c r="PAL53" s="708">
        <f t="shared" si="204"/>
        <v>9.6129803696503576E+142</v>
      </c>
      <c r="PAM53" s="708">
        <f t="shared" si="204"/>
        <v>9.901369780739868E+142</v>
      </c>
      <c r="PAN53" s="708">
        <f t="shared" si="204"/>
        <v>1.0198410874162065E+143</v>
      </c>
      <c r="PAO53" s="708">
        <f t="shared" si="204"/>
        <v>1.0504363200386927E+143</v>
      </c>
      <c r="PAP53" s="708">
        <f t="shared" si="204"/>
        <v>1.0819494096398536E+143</v>
      </c>
      <c r="PAQ53" s="708">
        <f t="shared" si="204"/>
        <v>1.1144078919290492E+143</v>
      </c>
      <c r="PAR53" s="708">
        <f t="shared" si="204"/>
        <v>1.1478401286869207E+143</v>
      </c>
      <c r="PAS53" s="708">
        <f t="shared" si="204"/>
        <v>1.1822753325475284E+143</v>
      </c>
      <c r="PAT53" s="708">
        <f t="shared" si="204"/>
        <v>1.2177435925239543E+143</v>
      </c>
      <c r="PAU53" s="708">
        <f t="shared" si="204"/>
        <v>1.254275900299673E+143</v>
      </c>
      <c r="PAV53" s="708">
        <f t="shared" si="204"/>
        <v>1.2919041773086633E+143</v>
      </c>
      <c r="PAW53" s="708">
        <f t="shared" si="204"/>
        <v>1.3306613026279233E+143</v>
      </c>
      <c r="PAX53" s="708">
        <f t="shared" si="204"/>
        <v>1.370581141706761E+143</v>
      </c>
      <c r="PAY53" s="708">
        <f t="shared" si="204"/>
        <v>1.4116985759579638E+143</v>
      </c>
      <c r="PAZ53" s="708">
        <f t="shared" si="204"/>
        <v>1.4540495332367027E+143</v>
      </c>
      <c r="PBA53" s="708">
        <f t="shared" si="204"/>
        <v>1.4976710192338038E+143</v>
      </c>
      <c r="PBB53" s="708">
        <f t="shared" si="204"/>
        <v>1.5426011498108179E+143</v>
      </c>
      <c r="PBC53" s="708">
        <f t="shared" si="204"/>
        <v>1.5888791843051425E+143</v>
      </c>
      <c r="PBD53" s="708">
        <f t="shared" si="204"/>
        <v>1.6365455598342969E+143</v>
      </c>
      <c r="PBE53" s="708">
        <f t="shared" si="204"/>
        <v>1.6856419266293259E+143</v>
      </c>
      <c r="PBF53" s="708">
        <f t="shared" si="204"/>
        <v>1.7362111844282057E+143</v>
      </c>
      <c r="PBG53" s="708">
        <f t="shared" si="204"/>
        <v>1.7882975199610519E+143</v>
      </c>
      <c r="PBH53" s="708">
        <f t="shared" si="204"/>
        <v>1.8419464455598835E+143</v>
      </c>
      <c r="PBI53" s="708">
        <f t="shared" si="204"/>
        <v>1.8972048389266801E+143</v>
      </c>
      <c r="PBJ53" s="708">
        <f t="shared" si="204"/>
        <v>1.9541209840944807E+143</v>
      </c>
      <c r="PBK53" s="708">
        <f t="shared" si="204"/>
        <v>2.0127446136173152E+143</v>
      </c>
      <c r="PBL53" s="708">
        <f t="shared" si="204"/>
        <v>2.0731269520258348E+143</v>
      </c>
      <c r="PBM53" s="708">
        <f t="shared" si="204"/>
        <v>2.13532076058661E+143</v>
      </c>
      <c r="PBN53" s="708">
        <f t="shared" si="204"/>
        <v>2.1993803834042082E+143</v>
      </c>
      <c r="PBO53" s="708">
        <f t="shared" si="204"/>
        <v>2.2653617949063343E+143</v>
      </c>
      <c r="PBP53" s="708">
        <f t="shared" si="204"/>
        <v>2.3333226487535244E+143</v>
      </c>
      <c r="PBQ53" s="708">
        <f t="shared" si="204"/>
        <v>2.4033223282161304E+143</v>
      </c>
      <c r="PBR53" s="708">
        <f t="shared" ref="PBR53:PEC53" si="205">PBQ53*$C$53</f>
        <v>2.4754219980626142E+143</v>
      </c>
      <c r="PBS53" s="708">
        <f t="shared" si="205"/>
        <v>2.5496846580044925E+143</v>
      </c>
      <c r="PBT53" s="708">
        <f t="shared" si="205"/>
        <v>2.6261751977446275E+143</v>
      </c>
      <c r="PBU53" s="708">
        <f t="shared" si="205"/>
        <v>2.7049604536769662E+143</v>
      </c>
      <c r="PBV53" s="708">
        <f t="shared" si="205"/>
        <v>2.7861092672872753E+143</v>
      </c>
      <c r="PBW53" s="708">
        <f t="shared" si="205"/>
        <v>2.8696925453058937E+143</v>
      </c>
      <c r="PBX53" s="708">
        <f t="shared" si="205"/>
        <v>2.9557833216650703E+143</v>
      </c>
      <c r="PBY53" s="708">
        <f t="shared" si="205"/>
        <v>3.0444568213150226E+143</v>
      </c>
      <c r="PBZ53" s="708">
        <f t="shared" si="205"/>
        <v>3.1357905259544735E+143</v>
      </c>
      <c r="PCA53" s="708">
        <f t="shared" si="205"/>
        <v>3.2298642417331079E+143</v>
      </c>
      <c r="PCB53" s="708">
        <f t="shared" si="205"/>
        <v>3.3267601689851011E+143</v>
      </c>
      <c r="PCC53" s="708">
        <f t="shared" si="205"/>
        <v>3.4265629740546541E+143</v>
      </c>
      <c r="PCD53" s="708">
        <f t="shared" si="205"/>
        <v>3.5293598632762937E+143</v>
      </c>
      <c r="PCE53" s="708">
        <f t="shared" si="205"/>
        <v>3.6352406591745825E+143</v>
      </c>
      <c r="PCF53" s="708">
        <f t="shared" si="205"/>
        <v>3.7442978789498201E+143</v>
      </c>
      <c r="PCG53" s="708">
        <f t="shared" si="205"/>
        <v>3.856626815318315E+143</v>
      </c>
      <c r="PCH53" s="708">
        <f t="shared" si="205"/>
        <v>3.9723256197778648E+143</v>
      </c>
      <c r="PCI53" s="708">
        <f t="shared" si="205"/>
        <v>4.0914953883712006E+143</v>
      </c>
      <c r="PCJ53" s="708">
        <f t="shared" si="205"/>
        <v>4.2142402500223367E+143</v>
      </c>
      <c r="PCK53" s="708">
        <f t="shared" si="205"/>
        <v>4.3406674575230069E+143</v>
      </c>
      <c r="PCL53" s="708">
        <f t="shared" si="205"/>
        <v>4.470887481248697E+143</v>
      </c>
      <c r="PCM53" s="708">
        <f t="shared" si="205"/>
        <v>4.6050141056861581E+143</v>
      </c>
      <c r="PCN53" s="708">
        <f t="shared" si="205"/>
        <v>4.7431645288567433E+143</v>
      </c>
      <c r="PCO53" s="708">
        <f t="shared" si="205"/>
        <v>4.8854594647224458E+143</v>
      </c>
      <c r="PCP53" s="708">
        <f t="shared" si="205"/>
        <v>5.0320232486641193E+143</v>
      </c>
      <c r="PCQ53" s="708">
        <f t="shared" si="205"/>
        <v>5.1829839461240429E+143</v>
      </c>
      <c r="PCR53" s="708">
        <f t="shared" si="205"/>
        <v>5.3384734645077645E+143</v>
      </c>
      <c r="PCS53" s="708">
        <f t="shared" si="205"/>
        <v>5.4986276684429977E+143</v>
      </c>
      <c r="PCT53" s="708">
        <f t="shared" si="205"/>
        <v>5.6635864984962875E+143</v>
      </c>
      <c r="PCU53" s="708">
        <f t="shared" si="205"/>
        <v>5.8334940934511763E+143</v>
      </c>
      <c r="PCV53" s="708">
        <f t="shared" si="205"/>
        <v>6.0084989162547118E+143</v>
      </c>
      <c r="PCW53" s="708">
        <f t="shared" si="205"/>
        <v>6.1887538837423532E+143</v>
      </c>
      <c r="PCX53" s="708">
        <f t="shared" si="205"/>
        <v>6.3744165002546243E+143</v>
      </c>
      <c r="PCY53" s="708">
        <f t="shared" si="205"/>
        <v>6.5656489952622628E+143</v>
      </c>
      <c r="PCZ53" s="708">
        <f t="shared" si="205"/>
        <v>6.7626184651201309E+143</v>
      </c>
      <c r="PDA53" s="708">
        <f t="shared" si="205"/>
        <v>6.9654970190737354E+143</v>
      </c>
      <c r="PDB53" s="708">
        <f t="shared" si="205"/>
        <v>7.1744619296459476E+143</v>
      </c>
      <c r="PDC53" s="708">
        <f t="shared" si="205"/>
        <v>7.3896957875353264E+143</v>
      </c>
      <c r="PDD53" s="708">
        <f t="shared" si="205"/>
        <v>7.611386661161386E+143</v>
      </c>
      <c r="PDE53" s="708">
        <f t="shared" si="205"/>
        <v>7.8397282609962276E+143</v>
      </c>
      <c r="PDF53" s="708">
        <f t="shared" si="205"/>
        <v>8.0749201088261147E+143</v>
      </c>
      <c r="PDG53" s="708">
        <f t="shared" si="205"/>
        <v>8.3171677120908978E+143</v>
      </c>
      <c r="PDH53" s="708">
        <f t="shared" si="205"/>
        <v>8.5666827434536244E+143</v>
      </c>
      <c r="PDI53" s="708">
        <f t="shared" si="205"/>
        <v>8.823683225757233E+143</v>
      </c>
      <c r="PDJ53" s="708">
        <f t="shared" si="205"/>
        <v>9.08839372252995E+143</v>
      </c>
      <c r="PDK53" s="708">
        <f t="shared" si="205"/>
        <v>9.3610455342058483E+143</v>
      </c>
      <c r="PDL53" s="708">
        <f t="shared" si="205"/>
        <v>9.6418769002320232E+143</v>
      </c>
      <c r="PDM53" s="708">
        <f t="shared" si="205"/>
        <v>9.9311332072389849E+143</v>
      </c>
      <c r="PDN53" s="708">
        <f t="shared" si="205"/>
        <v>1.0229067203456155E+144</v>
      </c>
      <c r="PDO53" s="708">
        <f t="shared" si="205"/>
        <v>1.0535939219559841E+144</v>
      </c>
      <c r="PDP53" s="708">
        <f t="shared" si="205"/>
        <v>1.0852017396146637E+144</v>
      </c>
      <c r="PDQ53" s="708">
        <f t="shared" si="205"/>
        <v>1.1177577918031036E+144</v>
      </c>
      <c r="PDR53" s="708">
        <f t="shared" si="205"/>
        <v>1.1512905255571967E+144</v>
      </c>
      <c r="PDS53" s="708">
        <f t="shared" si="205"/>
        <v>1.1858292413239126E+144</v>
      </c>
      <c r="PDT53" s="708">
        <f t="shared" si="205"/>
        <v>1.2214041185636301E+144</v>
      </c>
      <c r="PDU53" s="708">
        <f t="shared" si="205"/>
        <v>1.258046242120539E+144</v>
      </c>
      <c r="PDV53" s="708">
        <f t="shared" si="205"/>
        <v>1.2957876293841552E+144</v>
      </c>
      <c r="PDW53" s="708">
        <f t="shared" si="205"/>
        <v>1.33466125826568E+144</v>
      </c>
      <c r="PDX53" s="708">
        <f t="shared" si="205"/>
        <v>1.3747010960136504E+144</v>
      </c>
      <c r="PDY53" s="708">
        <f t="shared" si="205"/>
        <v>1.4159421288940598E+144</v>
      </c>
      <c r="PDZ53" s="708">
        <f t="shared" si="205"/>
        <v>1.4584203927608818E+144</v>
      </c>
      <c r="PEA53" s="708">
        <f t="shared" si="205"/>
        <v>1.5021730045437082E+144</v>
      </c>
      <c r="PEB53" s="708">
        <f t="shared" si="205"/>
        <v>1.5472381946800195E+144</v>
      </c>
      <c r="PEC53" s="708">
        <f t="shared" si="205"/>
        <v>1.5936553405204201E+144</v>
      </c>
      <c r="PED53" s="708">
        <f t="shared" ref="PED53:PGO53" si="206">PEC53*$C$53</f>
        <v>1.6414650007360327E+144</v>
      </c>
      <c r="PEE53" s="708">
        <f t="shared" si="206"/>
        <v>1.6907089507581138E+144</v>
      </c>
      <c r="PEF53" s="708">
        <f t="shared" si="206"/>
        <v>1.7414302192808572E+144</v>
      </c>
      <c r="PEG53" s="708">
        <f t="shared" si="206"/>
        <v>1.7936731258592831E+144</v>
      </c>
      <c r="PEH53" s="708">
        <f t="shared" si="206"/>
        <v>1.8474833196350615E+144</v>
      </c>
      <c r="PEI53" s="708">
        <f t="shared" si="206"/>
        <v>1.9029078192241134E+144</v>
      </c>
      <c r="PEJ53" s="708">
        <f t="shared" si="206"/>
        <v>1.9599950538008367E+144</v>
      </c>
      <c r="PEK53" s="708">
        <f t="shared" si="206"/>
        <v>2.0187949054148617E+144</v>
      </c>
      <c r="PEL53" s="708">
        <f t="shared" si="206"/>
        <v>2.0793587525773075E+144</v>
      </c>
      <c r="PEM53" s="708">
        <f t="shared" si="206"/>
        <v>2.1417395151546269E+144</v>
      </c>
      <c r="PEN53" s="708">
        <f t="shared" si="206"/>
        <v>2.2059917006092658E+144</v>
      </c>
      <c r="PEO53" s="708">
        <f t="shared" si="206"/>
        <v>2.2721714516275438E+144</v>
      </c>
      <c r="PEP53" s="708">
        <f t="shared" si="206"/>
        <v>2.34033659517637E+144</v>
      </c>
      <c r="PEQ53" s="708">
        <f t="shared" si="206"/>
        <v>2.4105466930316612E+144</v>
      </c>
      <c r="PER53" s="708">
        <f t="shared" si="206"/>
        <v>2.4828630938226111E+144</v>
      </c>
      <c r="PES53" s="708">
        <f t="shared" si="206"/>
        <v>2.5573489866372894E+144</v>
      </c>
      <c r="PET53" s="708">
        <f t="shared" si="206"/>
        <v>2.6340694562364079E+144</v>
      </c>
      <c r="PEU53" s="708">
        <f t="shared" si="206"/>
        <v>2.7130915399235003E+144</v>
      </c>
      <c r="PEV53" s="708">
        <f t="shared" si="206"/>
        <v>2.7944842861212053E+144</v>
      </c>
      <c r="PEW53" s="708">
        <f t="shared" si="206"/>
        <v>2.8783188147048416E+144</v>
      </c>
      <c r="PEX53" s="708">
        <f t="shared" si="206"/>
        <v>2.9646683791459867E+144</v>
      </c>
      <c r="PEY53" s="708">
        <f t="shared" si="206"/>
        <v>3.0536084305203665E+144</v>
      </c>
      <c r="PEZ53" s="708">
        <f t="shared" si="206"/>
        <v>3.1452166834359775E+144</v>
      </c>
      <c r="PFA53" s="708">
        <f t="shared" si="206"/>
        <v>3.239573183939057E+144</v>
      </c>
      <c r="PFB53" s="708">
        <f t="shared" si="206"/>
        <v>3.3367603794572289E+144</v>
      </c>
      <c r="PFC53" s="708">
        <f t="shared" si="206"/>
        <v>3.4368631908409461E+144</v>
      </c>
      <c r="PFD53" s="708">
        <f t="shared" si="206"/>
        <v>3.5399690865661747E+144</v>
      </c>
      <c r="PFE53" s="708">
        <f t="shared" si="206"/>
        <v>3.64616815916316E+144</v>
      </c>
      <c r="PFF53" s="708">
        <f t="shared" si="206"/>
        <v>3.755553203938055E+144</v>
      </c>
      <c r="PFG53" s="708">
        <f t="shared" si="206"/>
        <v>3.8682198000561967E+144</v>
      </c>
      <c r="PFH53" s="708">
        <f t="shared" si="206"/>
        <v>3.9842663940578827E+144</v>
      </c>
      <c r="PFI53" s="708">
        <f t="shared" si="206"/>
        <v>4.103794385879619E+144</v>
      </c>
      <c r="PFJ53" s="708">
        <f t="shared" si="206"/>
        <v>4.2269082174560076E+144</v>
      </c>
      <c r="PFK53" s="708">
        <f t="shared" si="206"/>
        <v>4.3537154639796882E+144</v>
      </c>
      <c r="PFL53" s="708">
        <f t="shared" si="206"/>
        <v>4.4843269278990789E+144</v>
      </c>
      <c r="PFM53" s="708">
        <f t="shared" si="206"/>
        <v>4.6188567357360516E+144</v>
      </c>
      <c r="PFN53" s="708">
        <f t="shared" si="206"/>
        <v>4.7574224378081331E+144</v>
      </c>
      <c r="PFO53" s="708">
        <f t="shared" si="206"/>
        <v>4.9001451109423769E+144</v>
      </c>
      <c r="PFP53" s="708">
        <f t="shared" si="206"/>
        <v>5.0471494642706485E+144</v>
      </c>
      <c r="PFQ53" s="708">
        <f t="shared" si="206"/>
        <v>5.1985639481987683E+144</v>
      </c>
      <c r="PFR53" s="708">
        <f t="shared" si="206"/>
        <v>5.3545208666447317E+144</v>
      </c>
      <c r="PFS53" s="708">
        <f t="shared" si="206"/>
        <v>5.515156492644074E+144</v>
      </c>
      <c r="PFT53" s="708">
        <f t="shared" si="206"/>
        <v>5.6806111874233962E+144</v>
      </c>
      <c r="PFU53" s="708">
        <f t="shared" si="206"/>
        <v>5.8510295230460981E+144</v>
      </c>
      <c r="PFV53" s="708">
        <f t="shared" si="206"/>
        <v>6.0265604087374809E+144</v>
      </c>
      <c r="PFW53" s="708">
        <f t="shared" si="206"/>
        <v>6.2073572209996056E+144</v>
      </c>
      <c r="PFX53" s="708">
        <f t="shared" si="206"/>
        <v>6.3935779376295942E+144</v>
      </c>
      <c r="PFY53" s="708">
        <f t="shared" si="206"/>
        <v>6.5853852757584826E+144</v>
      </c>
      <c r="PFZ53" s="708">
        <f t="shared" si="206"/>
        <v>6.7829468340312373E+144</v>
      </c>
      <c r="PGA53" s="708">
        <f t="shared" si="206"/>
        <v>6.986435239052174E+144</v>
      </c>
      <c r="PGB53" s="708">
        <f t="shared" si="206"/>
        <v>7.1960282962237388E+144</v>
      </c>
      <c r="PGC53" s="708">
        <f t="shared" si="206"/>
        <v>7.4119091451104511E+144</v>
      </c>
      <c r="PGD53" s="708">
        <f t="shared" si="206"/>
        <v>7.6342664194637647E+144</v>
      </c>
      <c r="PGE53" s="708">
        <f t="shared" si="206"/>
        <v>7.8632944120476782E+144</v>
      </c>
      <c r="PGF53" s="708">
        <f t="shared" si="206"/>
        <v>8.0991932444091093E+144</v>
      </c>
      <c r="PGG53" s="708">
        <f t="shared" si="206"/>
        <v>8.3421690417413827E+144</v>
      </c>
      <c r="PGH53" s="708">
        <f t="shared" si="206"/>
        <v>8.5924341129936245E+144</v>
      </c>
      <c r="PGI53" s="708">
        <f t="shared" si="206"/>
        <v>8.8502071363834336E+144</v>
      </c>
      <c r="PGJ53" s="708">
        <f t="shared" si="206"/>
        <v>9.1157133504749374E+144</v>
      </c>
      <c r="PGK53" s="708">
        <f t="shared" si="206"/>
        <v>9.3891847509891851E+144</v>
      </c>
      <c r="PGL53" s="708">
        <f t="shared" si="206"/>
        <v>9.6708602935188605E+144</v>
      </c>
      <c r="PGM53" s="708">
        <f t="shared" si="206"/>
        <v>9.9609861023244269E+144</v>
      </c>
      <c r="PGN53" s="708">
        <f t="shared" si="206"/>
        <v>1.025981568539416E+145</v>
      </c>
      <c r="PGO53" s="708">
        <f t="shared" si="206"/>
        <v>1.0567610155955985E+145</v>
      </c>
      <c r="PGP53" s="708">
        <f t="shared" ref="PGP53:PJA53" si="207">PGO53*$C$53</f>
        <v>1.0884638460634664E+145</v>
      </c>
      <c r="PGQ53" s="708">
        <f t="shared" si="207"/>
        <v>1.1211177614453705E+145</v>
      </c>
      <c r="PGR53" s="708">
        <f t="shared" si="207"/>
        <v>1.1547512942887316E+145</v>
      </c>
      <c r="PGS53" s="708">
        <f t="shared" si="207"/>
        <v>1.1893938331173936E+145</v>
      </c>
      <c r="PGT53" s="708">
        <f t="shared" si="207"/>
        <v>1.2250756481109154E+145</v>
      </c>
      <c r="PGU53" s="708">
        <f t="shared" si="207"/>
        <v>1.2618279175542429E+145</v>
      </c>
      <c r="PGV53" s="708">
        <f t="shared" si="207"/>
        <v>1.2996827550808703E+145</v>
      </c>
      <c r="PGW53" s="708">
        <f t="shared" si="207"/>
        <v>1.3386732377332963E+145</v>
      </c>
      <c r="PGX53" s="708">
        <f t="shared" si="207"/>
        <v>1.3788334348652952E+145</v>
      </c>
      <c r="PGY53" s="708">
        <f t="shared" si="207"/>
        <v>1.420198437911254E+145</v>
      </c>
      <c r="PGZ53" s="708">
        <f t="shared" si="207"/>
        <v>1.4628043910485917E+145</v>
      </c>
      <c r="PHA53" s="708">
        <f t="shared" si="207"/>
        <v>1.5066885227800496E+145</v>
      </c>
      <c r="PHB53" s="708">
        <f t="shared" si="207"/>
        <v>1.5518891784634511E+145</v>
      </c>
      <c r="PHC53" s="708">
        <f t="shared" si="207"/>
        <v>1.5984458538173547E+145</v>
      </c>
      <c r="PHD53" s="708">
        <f t="shared" si="207"/>
        <v>1.6463992294318754E+145</v>
      </c>
      <c r="PHE53" s="708">
        <f t="shared" si="207"/>
        <v>1.6957912063148318E+145</v>
      </c>
      <c r="PHF53" s="708">
        <f t="shared" si="207"/>
        <v>1.7466649425042769E+145</v>
      </c>
      <c r="PHG53" s="708">
        <f t="shared" si="207"/>
        <v>1.7990648907794052E+145</v>
      </c>
      <c r="PHH53" s="708">
        <f t="shared" si="207"/>
        <v>1.8530368375027875E+145</v>
      </c>
      <c r="PHI53" s="708">
        <f t="shared" si="207"/>
        <v>1.9086279426278711E+145</v>
      </c>
      <c r="PHJ53" s="708">
        <f t="shared" si="207"/>
        <v>1.9658867809067072E+145</v>
      </c>
      <c r="PHK53" s="708">
        <f t="shared" si="207"/>
        <v>2.0248633843339084E+145</v>
      </c>
      <c r="PHL53" s="708">
        <f t="shared" si="207"/>
        <v>2.0856092858639258E+145</v>
      </c>
      <c r="PHM53" s="708">
        <f t="shared" si="207"/>
        <v>2.1481775644398436E+145</v>
      </c>
      <c r="PHN53" s="708">
        <f t="shared" si="207"/>
        <v>2.2126228913730391E+145</v>
      </c>
      <c r="PHO53" s="708">
        <f t="shared" si="207"/>
        <v>2.2790015781142302E+145</v>
      </c>
      <c r="PHP53" s="708">
        <f t="shared" si="207"/>
        <v>2.3473716254576572E+145</v>
      </c>
      <c r="PHQ53" s="708">
        <f t="shared" si="207"/>
        <v>2.4177927742213871E+145</v>
      </c>
      <c r="PHR53" s="708">
        <f t="shared" si="207"/>
        <v>2.4903265574480289E+145</v>
      </c>
      <c r="PHS53" s="708">
        <f t="shared" si="207"/>
        <v>2.5650363541714698E+145</v>
      </c>
      <c r="PHT53" s="708">
        <f t="shared" si="207"/>
        <v>2.6419874447966139E+145</v>
      </c>
      <c r="PHU53" s="708">
        <f t="shared" si="207"/>
        <v>2.7212470681405126E+145</v>
      </c>
      <c r="PHV53" s="708">
        <f t="shared" si="207"/>
        <v>2.8028844801847278E+145</v>
      </c>
      <c r="PHW53" s="708">
        <f t="shared" si="207"/>
        <v>2.8869710145902698E+145</v>
      </c>
      <c r="PHX53" s="708">
        <f t="shared" si="207"/>
        <v>2.973580145027978E+145</v>
      </c>
      <c r="PHY53" s="708">
        <f t="shared" si="207"/>
        <v>3.0627875493788172E+145</v>
      </c>
      <c r="PHZ53" s="708">
        <f t="shared" si="207"/>
        <v>3.1546711758601819E+145</v>
      </c>
      <c r="PIA53" s="708">
        <f t="shared" si="207"/>
        <v>3.2493113111359873E+145</v>
      </c>
      <c r="PIB53" s="708">
        <f t="shared" si="207"/>
        <v>3.3467906504700668E+145</v>
      </c>
      <c r="PIC53" s="708">
        <f t="shared" si="207"/>
        <v>3.4471943699841691E+145</v>
      </c>
      <c r="PID53" s="708">
        <f t="shared" si="207"/>
        <v>3.5506102010836943E+145</v>
      </c>
      <c r="PIE53" s="708">
        <f t="shared" si="207"/>
        <v>3.6571285071162054E+145</v>
      </c>
      <c r="PIF53" s="708">
        <f t="shared" si="207"/>
        <v>3.7668423623296916E+145</v>
      </c>
      <c r="PIG53" s="708">
        <f t="shared" si="207"/>
        <v>3.8798476331995827E+145</v>
      </c>
      <c r="PIH53" s="708">
        <f t="shared" si="207"/>
        <v>3.9962430621955703E+145</v>
      </c>
      <c r="PII53" s="708">
        <f t="shared" si="207"/>
        <v>4.1161303540614376E+145</v>
      </c>
      <c r="PIJ53" s="708">
        <f t="shared" si="207"/>
        <v>4.2396142646832807E+145</v>
      </c>
      <c r="PIK53" s="708">
        <f t="shared" si="207"/>
        <v>4.366802692623779E+145</v>
      </c>
      <c r="PIL53" s="708">
        <f t="shared" si="207"/>
        <v>4.4978067734024926E+145</v>
      </c>
      <c r="PIM53" s="708">
        <f t="shared" si="207"/>
        <v>4.6327409766045675E+145</v>
      </c>
      <c r="PIN53" s="708">
        <f t="shared" si="207"/>
        <v>4.7717232059027046E+145</v>
      </c>
      <c r="PIO53" s="708">
        <f t="shared" si="207"/>
        <v>4.9148749020797858E+145</v>
      </c>
      <c r="PIP53" s="708">
        <f t="shared" si="207"/>
        <v>5.0623211491421792E+145</v>
      </c>
      <c r="PIQ53" s="708">
        <f t="shared" si="207"/>
        <v>5.2141907836164449E+145</v>
      </c>
      <c r="PIR53" s="708">
        <f t="shared" si="207"/>
        <v>5.3706165071249385E+145</v>
      </c>
      <c r="PIS53" s="708">
        <f t="shared" si="207"/>
        <v>5.5317350023386871E+145</v>
      </c>
      <c r="PIT53" s="708">
        <f t="shared" si="207"/>
        <v>5.6976870524088484E+145</v>
      </c>
      <c r="PIU53" s="708">
        <f t="shared" si="207"/>
        <v>5.8686176639811138E+145</v>
      </c>
      <c r="PIV53" s="708">
        <f t="shared" si="207"/>
        <v>6.044676193900547E+145</v>
      </c>
      <c r="PIW53" s="708">
        <f t="shared" si="207"/>
        <v>6.2260164797175639E+145</v>
      </c>
      <c r="PIX53" s="708">
        <f t="shared" si="207"/>
        <v>6.4127969741090914E+145</v>
      </c>
      <c r="PIY53" s="708">
        <f t="shared" si="207"/>
        <v>6.6051808833323642E+145</v>
      </c>
      <c r="PIZ53" s="708">
        <f t="shared" si="207"/>
        <v>6.8033363098323358E+145</v>
      </c>
      <c r="PJA53" s="708">
        <f t="shared" si="207"/>
        <v>7.0074363991273061E+145</v>
      </c>
      <c r="PJB53" s="708">
        <f t="shared" ref="PJB53:PLM53" si="208">PJA53*$C$53</f>
        <v>7.2176594911011252E+145</v>
      </c>
      <c r="PJC53" s="708">
        <f t="shared" si="208"/>
        <v>7.4341892758341592E+145</v>
      </c>
      <c r="PJD53" s="708">
        <f t="shared" si="208"/>
        <v>7.6572149541091841E+145</v>
      </c>
      <c r="PJE53" s="708">
        <f t="shared" si="208"/>
        <v>7.8869314027324595E+145</v>
      </c>
      <c r="PJF53" s="708">
        <f t="shared" si="208"/>
        <v>8.1235393448144333E+145</v>
      </c>
      <c r="PJG53" s="708">
        <f t="shared" si="208"/>
        <v>8.3672455251588666E+145</v>
      </c>
      <c r="PJH53" s="708">
        <f t="shared" si="208"/>
        <v>8.6182628909136327E+145</v>
      </c>
      <c r="PJI53" s="708">
        <f t="shared" si="208"/>
        <v>8.8768107776410422E+145</v>
      </c>
      <c r="PJJ53" s="708">
        <f t="shared" si="208"/>
        <v>9.1431151009702743E+145</v>
      </c>
      <c r="PJK53" s="708">
        <f t="shared" si="208"/>
        <v>9.4174085539993832E+145</v>
      </c>
      <c r="PJL53" s="708">
        <f t="shared" si="208"/>
        <v>9.6999308106193653E+145</v>
      </c>
      <c r="PJM53" s="708">
        <f t="shared" si="208"/>
        <v>9.9909287349379475E+145</v>
      </c>
      <c r="PJN53" s="708">
        <f t="shared" si="208"/>
        <v>1.0290656596986086E+146</v>
      </c>
      <c r="PJO53" s="708">
        <f t="shared" si="208"/>
        <v>1.059937629489567E+146</v>
      </c>
      <c r="PJP53" s="708">
        <f t="shared" si="208"/>
        <v>1.091735758374254E+146</v>
      </c>
      <c r="PJQ53" s="708">
        <f t="shared" si="208"/>
        <v>1.1244878311254816E+146</v>
      </c>
      <c r="PJR53" s="708">
        <f t="shared" si="208"/>
        <v>1.1582224660592461E+146</v>
      </c>
      <c r="PJS53" s="708">
        <f t="shared" si="208"/>
        <v>1.1929691400410235E+146</v>
      </c>
      <c r="PJT53" s="708">
        <f t="shared" si="208"/>
        <v>1.2287582142422543E+146</v>
      </c>
      <c r="PJU53" s="708">
        <f t="shared" si="208"/>
        <v>1.265620960669522E+146</v>
      </c>
      <c r="PJV53" s="708">
        <f t="shared" si="208"/>
        <v>1.3035895894896078E+146</v>
      </c>
      <c r="PJW53" s="708">
        <f t="shared" si="208"/>
        <v>1.342697277174296E+146</v>
      </c>
      <c r="PJX53" s="708">
        <f t="shared" si="208"/>
        <v>1.3829781954895249E+146</v>
      </c>
      <c r="PJY53" s="708">
        <f t="shared" si="208"/>
        <v>1.4244675413542106E+146</v>
      </c>
      <c r="PJZ53" s="708">
        <f t="shared" si="208"/>
        <v>1.467201567594837E+146</v>
      </c>
      <c r="PKA53" s="708">
        <f t="shared" si="208"/>
        <v>1.5112176146226822E+146</v>
      </c>
      <c r="PKB53" s="708">
        <f t="shared" si="208"/>
        <v>1.5565541430613628E+146</v>
      </c>
      <c r="PKC53" s="708">
        <f t="shared" si="208"/>
        <v>1.6032507673532036E+146</v>
      </c>
      <c r="PKD53" s="708">
        <f t="shared" si="208"/>
        <v>1.6513482903737997E+146</v>
      </c>
      <c r="PKE53" s="708">
        <f t="shared" si="208"/>
        <v>1.7008887390850137E+146</v>
      </c>
      <c r="PKF53" s="708">
        <f t="shared" si="208"/>
        <v>1.7519154012575642E+146</v>
      </c>
      <c r="PKG53" s="708">
        <f t="shared" si="208"/>
        <v>1.8044728632952911E+146</v>
      </c>
      <c r="PKH53" s="708">
        <f t="shared" si="208"/>
        <v>1.85860704919415E+146</v>
      </c>
      <c r="PKI53" s="708">
        <f t="shared" si="208"/>
        <v>1.9143652606699746E+146</v>
      </c>
      <c r="PKJ53" s="708">
        <f t="shared" si="208"/>
        <v>1.9717962184900739E+146</v>
      </c>
      <c r="PKK53" s="708">
        <f t="shared" si="208"/>
        <v>2.0309501050447764E+146</v>
      </c>
      <c r="PKL53" s="708">
        <f t="shared" si="208"/>
        <v>2.0918786081961196E+146</v>
      </c>
      <c r="PKM53" s="708">
        <f t="shared" si="208"/>
        <v>2.154634966442003E+146</v>
      </c>
      <c r="PKN53" s="708">
        <f t="shared" si="208"/>
        <v>2.2192740154352634E+146</v>
      </c>
      <c r="PKO53" s="708">
        <f t="shared" si="208"/>
        <v>2.2858522358983214E+146</v>
      </c>
      <c r="PKP53" s="708">
        <f t="shared" si="208"/>
        <v>2.3544278029752712E+146</v>
      </c>
      <c r="PKQ53" s="708">
        <f t="shared" si="208"/>
        <v>2.4250606370645293E+146</v>
      </c>
      <c r="PKR53" s="708">
        <f t="shared" si="208"/>
        <v>2.4978124561764652E+146</v>
      </c>
      <c r="PKS53" s="708">
        <f t="shared" si="208"/>
        <v>2.5727468298617594E+146</v>
      </c>
      <c r="PKT53" s="708">
        <f t="shared" si="208"/>
        <v>2.6499292347576121E+146</v>
      </c>
      <c r="PKU53" s="708">
        <f t="shared" si="208"/>
        <v>2.7294271118003404E+146</v>
      </c>
      <c r="PKV53" s="708">
        <f t="shared" si="208"/>
        <v>2.8113099251543506E+146</v>
      </c>
      <c r="PKW53" s="708">
        <f t="shared" si="208"/>
        <v>2.8956492229089813E+146</v>
      </c>
      <c r="PKX53" s="708">
        <f t="shared" si="208"/>
        <v>2.9825186995962508E+146</v>
      </c>
      <c r="PKY53" s="708">
        <f t="shared" si="208"/>
        <v>3.0719942605841385E+146</v>
      </c>
      <c r="PKZ53" s="708">
        <f t="shared" si="208"/>
        <v>3.1641540884016628E+146</v>
      </c>
      <c r="PLA53" s="708">
        <f t="shared" si="208"/>
        <v>3.2590787110537126E+146</v>
      </c>
      <c r="PLB53" s="708">
        <f t="shared" si="208"/>
        <v>3.356851072385324E+146</v>
      </c>
      <c r="PLC53" s="708">
        <f t="shared" si="208"/>
        <v>3.4575566045568837E+146</v>
      </c>
      <c r="PLD53" s="708">
        <f t="shared" si="208"/>
        <v>3.5612833026935902E+146</v>
      </c>
      <c r="PLE53" s="708">
        <f t="shared" si="208"/>
        <v>3.668121801774398E+146</v>
      </c>
      <c r="PLF53" s="708">
        <f t="shared" si="208"/>
        <v>3.7781654558276302E+146</v>
      </c>
      <c r="PLG53" s="708">
        <f t="shared" si="208"/>
        <v>3.8915104195024591E+146</v>
      </c>
      <c r="PLH53" s="708">
        <f t="shared" si="208"/>
        <v>4.0082557320875333E+146</v>
      </c>
      <c r="PLI53" s="708">
        <f t="shared" si="208"/>
        <v>4.1285034040501593E+146</v>
      </c>
      <c r="PLJ53" s="708">
        <f t="shared" si="208"/>
        <v>4.2523585061716642E+146</v>
      </c>
      <c r="PLK53" s="708">
        <f t="shared" si="208"/>
        <v>4.3799292613568146E+146</v>
      </c>
      <c r="PLL53" s="708">
        <f t="shared" si="208"/>
        <v>4.511327139197519E+146</v>
      </c>
      <c r="PLM53" s="708">
        <f t="shared" si="208"/>
        <v>4.6466669533734451E+146</v>
      </c>
      <c r="PLN53" s="708">
        <f t="shared" ref="PLN53:PNY53" si="209">PLM53*$C$53</f>
        <v>4.7860669619746481E+146</v>
      </c>
      <c r="PLO53" s="708">
        <f t="shared" si="209"/>
        <v>4.9296489708338876E+146</v>
      </c>
      <c r="PLP53" s="708">
        <f t="shared" si="209"/>
        <v>5.0775384399589042E+146</v>
      </c>
      <c r="PLQ53" s="708">
        <f t="shared" si="209"/>
        <v>5.2298645931576713E+146</v>
      </c>
      <c r="PLR53" s="708">
        <f t="shared" si="209"/>
        <v>5.3867605309524014E+146</v>
      </c>
      <c r="PLS53" s="708">
        <f t="shared" si="209"/>
        <v>5.5483633468809732E+146</v>
      </c>
      <c r="PLT53" s="708">
        <f t="shared" si="209"/>
        <v>5.7148142472874028E+146</v>
      </c>
      <c r="PLU53" s="708">
        <f t="shared" si="209"/>
        <v>5.8862586747060252E+146</v>
      </c>
      <c r="PLV53" s="708">
        <f t="shared" si="209"/>
        <v>6.0628464349472065E+146</v>
      </c>
      <c r="PLW53" s="708">
        <f t="shared" si="209"/>
        <v>6.2447318279956228E+146</v>
      </c>
      <c r="PLX53" s="708">
        <f t="shared" si="209"/>
        <v>6.4320737828354916E+146</v>
      </c>
      <c r="PLY53" s="708">
        <f t="shared" si="209"/>
        <v>6.6250359963205563E+146</v>
      </c>
      <c r="PLZ53" s="708">
        <f t="shared" si="209"/>
        <v>6.823787076210173E+146</v>
      </c>
      <c r="PMA53" s="708">
        <f t="shared" si="209"/>
        <v>7.0285006884964785E+146</v>
      </c>
      <c r="PMB53" s="708">
        <f t="shared" si="209"/>
        <v>7.2393557091513729E+146</v>
      </c>
      <c r="PMC53" s="708">
        <f t="shared" si="209"/>
        <v>7.4565363804259141E+146</v>
      </c>
      <c r="PMD53" s="708">
        <f t="shared" si="209"/>
        <v>7.6802324718386918E+146</v>
      </c>
      <c r="PME53" s="708">
        <f t="shared" si="209"/>
        <v>7.9106394459938532E+146</v>
      </c>
      <c r="PMF53" s="708">
        <f t="shared" si="209"/>
        <v>8.1479586293736692E+146</v>
      </c>
      <c r="PMG53" s="708">
        <f t="shared" si="209"/>
        <v>8.3923973882548803E+146</v>
      </c>
      <c r="PMH53" s="708">
        <f t="shared" si="209"/>
        <v>8.6441693099025266E+146</v>
      </c>
      <c r="PMI53" s="708">
        <f t="shared" si="209"/>
        <v>8.9034943891996021E+146</v>
      </c>
      <c r="PMJ53" s="708">
        <f t="shared" si="209"/>
        <v>9.1705992208755912E+146</v>
      </c>
      <c r="PMK53" s="708">
        <f t="shared" si="209"/>
        <v>9.4457171975018589E+146</v>
      </c>
      <c r="PML53" s="708">
        <f t="shared" si="209"/>
        <v>9.7290887134269156E+146</v>
      </c>
      <c r="PMM53" s="708">
        <f t="shared" si="209"/>
        <v>1.0020961374829723E+147</v>
      </c>
      <c r="PMN53" s="708">
        <f t="shared" si="209"/>
        <v>1.0321590216074614E+147</v>
      </c>
      <c r="PMO53" s="708">
        <f t="shared" si="209"/>
        <v>1.0631237922556854E+147</v>
      </c>
      <c r="PMP53" s="708">
        <f t="shared" si="209"/>
        <v>1.0950175060233559E+147</v>
      </c>
      <c r="PMQ53" s="708">
        <f t="shared" si="209"/>
        <v>1.1278680312040565E+147</v>
      </c>
      <c r="PMR53" s="708">
        <f t="shared" si="209"/>
        <v>1.1617040721401783E+147</v>
      </c>
      <c r="PMS53" s="708">
        <f t="shared" si="209"/>
        <v>1.1965551943043837E+147</v>
      </c>
      <c r="PMT53" s="708">
        <f t="shared" si="209"/>
        <v>1.2324518501335153E+147</v>
      </c>
      <c r="PMU53" s="708">
        <f t="shared" si="209"/>
        <v>1.2694254056375207E+147</v>
      </c>
      <c r="PMV53" s="708">
        <f t="shared" si="209"/>
        <v>1.3075081678066464E+147</v>
      </c>
      <c r="PMW53" s="708">
        <f t="shared" si="209"/>
        <v>1.3467334128408458E+147</v>
      </c>
      <c r="PMX53" s="708">
        <f t="shared" si="209"/>
        <v>1.3871354152260712E+147</v>
      </c>
      <c r="PMY53" s="708">
        <f t="shared" si="209"/>
        <v>1.4287494776828533E+147</v>
      </c>
      <c r="PMZ53" s="708">
        <f t="shared" si="209"/>
        <v>1.471611962013339E+147</v>
      </c>
      <c r="PNA53" s="708">
        <f t="shared" si="209"/>
        <v>1.5157603208737392E+147</v>
      </c>
      <c r="PNB53" s="708">
        <f t="shared" si="209"/>
        <v>1.5612331304999514E+147</v>
      </c>
      <c r="PNC53" s="708">
        <f t="shared" si="209"/>
        <v>1.6080701244149499E+147</v>
      </c>
      <c r="PND53" s="708">
        <f t="shared" si="209"/>
        <v>1.6563122281473983E+147</v>
      </c>
      <c r="PNE53" s="708">
        <f t="shared" si="209"/>
        <v>1.7060015949918201E+147</v>
      </c>
      <c r="PNF53" s="708">
        <f t="shared" si="209"/>
        <v>1.7571816428415748E+147</v>
      </c>
      <c r="PNG53" s="708">
        <f t="shared" si="209"/>
        <v>1.8098970921268221E+147</v>
      </c>
      <c r="PNH53" s="708">
        <f t="shared" si="209"/>
        <v>1.8641940048906269E+147</v>
      </c>
      <c r="PNI53" s="708">
        <f t="shared" si="209"/>
        <v>1.9201198250373459E+147</v>
      </c>
      <c r="PNJ53" s="708">
        <f t="shared" si="209"/>
        <v>1.9777234197884664E+147</v>
      </c>
      <c r="PNK53" s="708">
        <f t="shared" si="209"/>
        <v>2.0370551223821205E+147</v>
      </c>
      <c r="PNL53" s="708">
        <f t="shared" si="209"/>
        <v>2.0981667760535842E+147</v>
      </c>
      <c r="PNM53" s="708">
        <f t="shared" si="209"/>
        <v>2.1611117793351918E+147</v>
      </c>
      <c r="PNN53" s="708">
        <f t="shared" si="209"/>
        <v>2.2259451327152474E+147</v>
      </c>
      <c r="PNO53" s="708">
        <f t="shared" si="209"/>
        <v>2.2927234866967048E+147</v>
      </c>
      <c r="PNP53" s="708">
        <f t="shared" si="209"/>
        <v>2.3615051912976061E+147</v>
      </c>
      <c r="PNQ53" s="708">
        <f t="shared" si="209"/>
        <v>2.4323503470365343E+147</v>
      </c>
      <c r="PNR53" s="708">
        <f t="shared" si="209"/>
        <v>2.5053208574476304E+147</v>
      </c>
      <c r="PNS53" s="708">
        <f t="shared" si="209"/>
        <v>2.5804804831710592E+147</v>
      </c>
      <c r="PNT53" s="708">
        <f t="shared" si="209"/>
        <v>2.657894897666191E+147</v>
      </c>
      <c r="PNU53" s="708">
        <f t="shared" si="209"/>
        <v>2.7376317445961768E+147</v>
      </c>
      <c r="PNV53" s="708">
        <f t="shared" si="209"/>
        <v>2.8197606969340624E+147</v>
      </c>
      <c r="PNW53" s="708">
        <f t="shared" si="209"/>
        <v>2.9043535178420844E+147</v>
      </c>
      <c r="PNX53" s="708">
        <f t="shared" si="209"/>
        <v>2.9914841233773468E+147</v>
      </c>
      <c r="PNY53" s="708">
        <f t="shared" si="209"/>
        <v>3.0812286470786673E+147</v>
      </c>
      <c r="PNZ53" s="708">
        <f t="shared" ref="PNZ53:PQK53" si="210">PNY53*$C$53</f>
        <v>3.1736655064910273E+147</v>
      </c>
      <c r="POA53" s="708">
        <f t="shared" si="210"/>
        <v>3.2688754716857583E+147</v>
      </c>
      <c r="POB53" s="708">
        <f t="shared" si="210"/>
        <v>3.3669417358363315E+147</v>
      </c>
      <c r="POC53" s="708">
        <f t="shared" si="210"/>
        <v>3.4679499879114215E+147</v>
      </c>
      <c r="POD53" s="708">
        <f t="shared" si="210"/>
        <v>3.571988487548764E+147</v>
      </c>
      <c r="POE53" s="708">
        <f t="shared" si="210"/>
        <v>3.6791481421752268E+147</v>
      </c>
      <c r="POF53" s="708">
        <f t="shared" si="210"/>
        <v>3.7895225864404841E+147</v>
      </c>
      <c r="POG53" s="708">
        <f t="shared" si="210"/>
        <v>3.9032082640336984E+147</v>
      </c>
      <c r="POH53" s="708">
        <f t="shared" si="210"/>
        <v>4.0203045119547091E+147</v>
      </c>
      <c r="POI53" s="708">
        <f t="shared" si="210"/>
        <v>4.1409136473133503E+147</v>
      </c>
      <c r="POJ53" s="708">
        <f t="shared" si="210"/>
        <v>4.2651410567327506E+147</v>
      </c>
      <c r="POK53" s="708">
        <f t="shared" si="210"/>
        <v>4.3930952884347336E+147</v>
      </c>
      <c r="POL53" s="708">
        <f t="shared" si="210"/>
        <v>4.5248881470877759E+147</v>
      </c>
      <c r="POM53" s="708">
        <f t="shared" si="210"/>
        <v>4.6606347915004091E+147</v>
      </c>
      <c r="PON53" s="708">
        <f t="shared" si="210"/>
        <v>4.8004538352454214E+147</v>
      </c>
      <c r="POO53" s="708">
        <f t="shared" si="210"/>
        <v>4.9444674503027841E+147</v>
      </c>
      <c r="POP53" s="708">
        <f t="shared" si="210"/>
        <v>5.0928014738118681E+147</v>
      </c>
      <c r="POQ53" s="708">
        <f t="shared" si="210"/>
        <v>5.2455855180262246E+147</v>
      </c>
      <c r="POR53" s="708">
        <f t="shared" si="210"/>
        <v>5.4029530835670112E+147</v>
      </c>
      <c r="POS53" s="708">
        <f t="shared" si="210"/>
        <v>5.565041676074022E+147</v>
      </c>
      <c r="POT53" s="708">
        <f t="shared" si="210"/>
        <v>5.7319929263562428E+147</v>
      </c>
      <c r="POU53" s="708">
        <f t="shared" si="210"/>
        <v>5.90395271414693E+147</v>
      </c>
      <c r="POV53" s="708">
        <f t="shared" si="210"/>
        <v>6.0810712955713382E+147</v>
      </c>
      <c r="POW53" s="708">
        <f t="shared" si="210"/>
        <v>6.2635034344384784E+147</v>
      </c>
      <c r="POX53" s="708">
        <f t="shared" si="210"/>
        <v>6.4514085374716325E+147</v>
      </c>
      <c r="POY53" s="708">
        <f t="shared" si="210"/>
        <v>6.644950793595782E+147</v>
      </c>
      <c r="POZ53" s="708">
        <f t="shared" si="210"/>
        <v>6.8442993174036558E+147</v>
      </c>
      <c r="PPA53" s="708">
        <f t="shared" si="210"/>
        <v>7.0496282969257656E+147</v>
      </c>
      <c r="PPB53" s="708">
        <f t="shared" si="210"/>
        <v>7.2611171458335387E+147</v>
      </c>
      <c r="PPC53" s="708">
        <f t="shared" si="210"/>
        <v>7.4789506602085446E+147</v>
      </c>
      <c r="PPD53" s="708">
        <f t="shared" si="210"/>
        <v>7.7033191800148016E+147</v>
      </c>
      <c r="PPE53" s="708">
        <f t="shared" si="210"/>
        <v>7.9344187554152454E+147</v>
      </c>
      <c r="PPF53" s="708">
        <f t="shared" si="210"/>
        <v>8.1724513180777023E+147</v>
      </c>
      <c r="PPG53" s="708">
        <f t="shared" si="210"/>
        <v>8.417624857620033E+147</v>
      </c>
      <c r="PPH53" s="708">
        <f t="shared" si="210"/>
        <v>8.6701536033486337E+147</v>
      </c>
      <c r="PPI53" s="708">
        <f t="shared" si="210"/>
        <v>8.9302582114490922E+147</v>
      </c>
      <c r="PPJ53" s="708">
        <f t="shared" si="210"/>
        <v>9.1981659577925649E+147</v>
      </c>
      <c r="PPK53" s="708">
        <f t="shared" si="210"/>
        <v>9.4741109365263417E+147</v>
      </c>
      <c r="PPL53" s="708">
        <f t="shared" si="210"/>
        <v>9.7583342646221324E+147</v>
      </c>
      <c r="PPM53" s="708">
        <f t="shared" si="210"/>
        <v>1.0051084292560797E+148</v>
      </c>
      <c r="PPN53" s="708">
        <f t="shared" si="210"/>
        <v>1.0352616821337621E+148</v>
      </c>
      <c r="PPO53" s="708">
        <f t="shared" si="210"/>
        <v>1.0663195325977749E+148</v>
      </c>
      <c r="PPP53" s="708">
        <f t="shared" si="210"/>
        <v>1.0983091185757082E+148</v>
      </c>
      <c r="PPQ53" s="708">
        <f t="shared" si="210"/>
        <v>1.1312583921329795E+148</v>
      </c>
      <c r="PPR53" s="708">
        <f t="shared" si="210"/>
        <v>1.165196143896969E+148</v>
      </c>
      <c r="PPS53" s="708">
        <f t="shared" si="210"/>
        <v>1.200152028213878E+148</v>
      </c>
      <c r="PPT53" s="708">
        <f t="shared" si="210"/>
        <v>1.2361565890602945E+148</v>
      </c>
      <c r="PPU53" s="708">
        <f t="shared" si="210"/>
        <v>1.2732412867321034E+148</v>
      </c>
      <c r="PPV53" s="708">
        <f t="shared" si="210"/>
        <v>1.3114385253340667E+148</v>
      </c>
      <c r="PPW53" s="708">
        <f t="shared" si="210"/>
        <v>1.3507816810940886E+148</v>
      </c>
      <c r="PPX53" s="708">
        <f t="shared" si="210"/>
        <v>1.3913051315269114E+148</v>
      </c>
      <c r="PPY53" s="708">
        <f t="shared" si="210"/>
        <v>1.4330442854727189E+148</v>
      </c>
      <c r="PPZ53" s="708">
        <f t="shared" si="210"/>
        <v>1.4760356140369003E+148</v>
      </c>
      <c r="PQA53" s="708">
        <f t="shared" si="210"/>
        <v>1.5203166824580073E+148</v>
      </c>
      <c r="PQB53" s="708">
        <f t="shared" si="210"/>
        <v>1.5659261829317474E+148</v>
      </c>
      <c r="PQC53" s="708">
        <f t="shared" si="210"/>
        <v>1.6129039684196998E+148</v>
      </c>
      <c r="PQD53" s="708">
        <f t="shared" si="210"/>
        <v>1.6612910874722909E+148</v>
      </c>
      <c r="PQE53" s="708">
        <f t="shared" si="210"/>
        <v>1.7111298200964595E+148</v>
      </c>
      <c r="PQF53" s="708">
        <f t="shared" si="210"/>
        <v>1.7624637146993534E+148</v>
      </c>
      <c r="PQG53" s="708">
        <f t="shared" si="210"/>
        <v>1.815337626140334E+148</v>
      </c>
      <c r="PQH53" s="708">
        <f t="shared" si="210"/>
        <v>1.8697977549245442E+148</v>
      </c>
      <c r="PQI53" s="708">
        <f t="shared" si="210"/>
        <v>1.9258916875722806E+148</v>
      </c>
      <c r="PQJ53" s="708">
        <f t="shared" si="210"/>
        <v>1.983668438199449E+148</v>
      </c>
      <c r="PQK53" s="708">
        <f t="shared" si="210"/>
        <v>2.0431784913454326E+148</v>
      </c>
      <c r="PQL53" s="708">
        <f t="shared" ref="PQL53:PSW53" si="211">PQK53*$C$53</f>
        <v>2.1044738460857956E+148</v>
      </c>
      <c r="PQM53" s="708">
        <f t="shared" si="211"/>
        <v>2.1676080614683696E+148</v>
      </c>
      <c r="PQN53" s="708">
        <f t="shared" si="211"/>
        <v>2.2326363033124209E+148</v>
      </c>
      <c r="PQO53" s="708">
        <f t="shared" si="211"/>
        <v>2.2996153924117935E+148</v>
      </c>
      <c r="PQP53" s="708">
        <f t="shared" si="211"/>
        <v>2.3686038541841474E+148</v>
      </c>
      <c r="PQQ53" s="708">
        <f t="shared" si="211"/>
        <v>2.4396619698096718E+148</v>
      </c>
      <c r="PQR53" s="708">
        <f t="shared" si="211"/>
        <v>2.5128518289039621E+148</v>
      </c>
      <c r="PQS53" s="708">
        <f t="shared" si="211"/>
        <v>2.5882373837710808E+148</v>
      </c>
      <c r="PQT53" s="708">
        <f t="shared" si="211"/>
        <v>2.6658845052842136E+148</v>
      </c>
      <c r="PQU53" s="708">
        <f t="shared" si="211"/>
        <v>2.7458610404427403E+148</v>
      </c>
      <c r="PQV53" s="708">
        <f t="shared" si="211"/>
        <v>2.8282368716560229E+148</v>
      </c>
      <c r="PQW53" s="708">
        <f t="shared" si="211"/>
        <v>2.9130839778057038E+148</v>
      </c>
      <c r="PQX53" s="708">
        <f t="shared" si="211"/>
        <v>3.000476497139875E+148</v>
      </c>
      <c r="PQY53" s="708">
        <f t="shared" si="211"/>
        <v>3.0904907920540714E+148</v>
      </c>
      <c r="PQZ53" s="708">
        <f t="shared" si="211"/>
        <v>3.1832055158156936E+148</v>
      </c>
      <c r="PRA53" s="708">
        <f t="shared" si="211"/>
        <v>3.2787016812901644E+148</v>
      </c>
      <c r="PRB53" s="708">
        <f t="shared" si="211"/>
        <v>3.3770627317288696E+148</v>
      </c>
      <c r="PRC53" s="708">
        <f t="shared" si="211"/>
        <v>3.4783746136807355E+148</v>
      </c>
      <c r="PRD53" s="708">
        <f t="shared" si="211"/>
        <v>3.5827258520911577E+148</v>
      </c>
      <c r="PRE53" s="708">
        <f t="shared" si="211"/>
        <v>3.6902076276538925E+148</v>
      </c>
      <c r="PRF53" s="708">
        <f t="shared" si="211"/>
        <v>3.8009138564835094E+148</v>
      </c>
      <c r="PRG53" s="708">
        <f t="shared" si="211"/>
        <v>3.914941272178015E+148</v>
      </c>
      <c r="PRH53" s="708">
        <f t="shared" si="211"/>
        <v>4.0323895103433557E+148</v>
      </c>
      <c r="PRI53" s="708">
        <f t="shared" si="211"/>
        <v>4.1533611956536565E+148</v>
      </c>
      <c r="PRJ53" s="708">
        <f t="shared" si="211"/>
        <v>4.2779620315232662E+148</v>
      </c>
      <c r="PRK53" s="708">
        <f t="shared" si="211"/>
        <v>4.4063008924689643E+148</v>
      </c>
      <c r="PRL53" s="708">
        <f t="shared" si="211"/>
        <v>4.5384899192430332E+148</v>
      </c>
      <c r="PRM53" s="708">
        <f t="shared" si="211"/>
        <v>4.6746446168203242E+148</v>
      </c>
      <c r="PRN53" s="708">
        <f t="shared" si="211"/>
        <v>4.8148839553249342E+148</v>
      </c>
      <c r="PRO53" s="708">
        <f t="shared" si="211"/>
        <v>4.9593304739846824E+148</v>
      </c>
      <c r="PRP53" s="708">
        <f t="shared" si="211"/>
        <v>5.1081103882042228E+148</v>
      </c>
      <c r="PRQ53" s="708">
        <f t="shared" si="211"/>
        <v>5.2613536998503491E+148</v>
      </c>
      <c r="PRR53" s="708">
        <f t="shared" si="211"/>
        <v>5.4191943108458595E+148</v>
      </c>
      <c r="PRS53" s="708">
        <f t="shared" si="211"/>
        <v>5.5817701401712359E+148</v>
      </c>
      <c r="PRT53" s="708">
        <f t="shared" si="211"/>
        <v>5.749223244376373E+148</v>
      </c>
      <c r="PRU53" s="708">
        <f t="shared" si="211"/>
        <v>5.921699941707664E+148</v>
      </c>
      <c r="PRV53" s="708">
        <f t="shared" si="211"/>
        <v>6.0993509399588943E+148</v>
      </c>
      <c r="PRW53" s="708">
        <f t="shared" si="211"/>
        <v>6.2823314681576607E+148</v>
      </c>
      <c r="PRX53" s="708">
        <f t="shared" si="211"/>
        <v>6.4708014122023907E+148</v>
      </c>
      <c r="PRY53" s="708">
        <f t="shared" si="211"/>
        <v>6.6649254545684632E+148</v>
      </c>
      <c r="PRZ53" s="708">
        <f t="shared" si="211"/>
        <v>6.8648732182055175E+148</v>
      </c>
      <c r="PSA53" s="708">
        <f t="shared" si="211"/>
        <v>7.0708194147516831E+148</v>
      </c>
      <c r="PSB53" s="708">
        <f t="shared" si="211"/>
        <v>7.2829439971942343E+148</v>
      </c>
      <c r="PSC53" s="708">
        <f t="shared" si="211"/>
        <v>7.5014323171100618E+148</v>
      </c>
      <c r="PSD53" s="708">
        <f t="shared" si="211"/>
        <v>7.7264752866233636E+148</v>
      </c>
      <c r="PSE53" s="708">
        <f t="shared" si="211"/>
        <v>7.9582695452220647E+148</v>
      </c>
      <c r="PSF53" s="708">
        <f t="shared" si="211"/>
        <v>8.1970176315787264E+148</v>
      </c>
      <c r="PSG53" s="708">
        <f t="shared" si="211"/>
        <v>8.4429281605260889E+148</v>
      </c>
      <c r="PSH53" s="708">
        <f t="shared" si="211"/>
        <v>8.6962160053418718E+148</v>
      </c>
      <c r="PSI53" s="708">
        <f t="shared" si="211"/>
        <v>8.9571024855021288E+148</v>
      </c>
      <c r="PSJ53" s="708">
        <f t="shared" si="211"/>
        <v>9.2258155600671928E+148</v>
      </c>
      <c r="PSK53" s="708">
        <f t="shared" si="211"/>
        <v>9.5025900268692086E+148</v>
      </c>
      <c r="PSL53" s="708">
        <f t="shared" si="211"/>
        <v>9.7876677276752855E+148</v>
      </c>
      <c r="PSM53" s="708">
        <f t="shared" si="211"/>
        <v>1.0081297759505545E+149</v>
      </c>
      <c r="PSN53" s="708">
        <f t="shared" si="211"/>
        <v>1.0383736692290712E+149</v>
      </c>
      <c r="PSO53" s="708">
        <f t="shared" si="211"/>
        <v>1.0695248793059434E+149</v>
      </c>
      <c r="PSP53" s="708">
        <f t="shared" si="211"/>
        <v>1.1016106256851217E+149</v>
      </c>
      <c r="PSQ53" s="708">
        <f t="shared" si="211"/>
        <v>1.1346589444556754E+149</v>
      </c>
      <c r="PSR53" s="708">
        <f t="shared" si="211"/>
        <v>1.1686987127893458E+149</v>
      </c>
      <c r="PSS53" s="708">
        <f t="shared" si="211"/>
        <v>1.2037596741730262E+149</v>
      </c>
      <c r="PST53" s="708">
        <f t="shared" si="211"/>
        <v>1.2398724643982171E+149</v>
      </c>
      <c r="PSU53" s="708">
        <f t="shared" si="211"/>
        <v>1.2770686383301637E+149</v>
      </c>
      <c r="PSV53" s="708">
        <f t="shared" si="211"/>
        <v>1.3153806974800688E+149</v>
      </c>
      <c r="PSW53" s="708">
        <f t="shared" si="211"/>
        <v>1.3548421184044709E+149</v>
      </c>
      <c r="PSX53" s="708">
        <f t="shared" ref="PSX53:PVI53" si="212">PSW53*$C$53</f>
        <v>1.395487381956605E+149</v>
      </c>
      <c r="PSY53" s="708">
        <f t="shared" si="212"/>
        <v>1.4373520034153031E+149</v>
      </c>
      <c r="PSZ53" s="708">
        <f t="shared" si="212"/>
        <v>1.4804725635177622E+149</v>
      </c>
      <c r="PTA53" s="708">
        <f t="shared" si="212"/>
        <v>1.5248867404232952E+149</v>
      </c>
      <c r="PTB53" s="708">
        <f t="shared" si="212"/>
        <v>1.5706333426359942E+149</v>
      </c>
      <c r="PTC53" s="708">
        <f t="shared" si="212"/>
        <v>1.617752342915074E+149</v>
      </c>
      <c r="PTD53" s="708">
        <f t="shared" si="212"/>
        <v>1.6662849132025262E+149</v>
      </c>
      <c r="PTE53" s="708">
        <f t="shared" si="212"/>
        <v>1.7162734605986021E+149</v>
      </c>
      <c r="PTF53" s="708">
        <f t="shared" si="212"/>
        <v>1.7677616644165603E+149</v>
      </c>
      <c r="PTG53" s="708">
        <f t="shared" si="212"/>
        <v>1.8207945143490572E+149</v>
      </c>
      <c r="PTH53" s="708">
        <f t="shared" si="212"/>
        <v>1.8754183497795289E+149</v>
      </c>
      <c r="PTI53" s="708">
        <f t="shared" si="212"/>
        <v>1.9316809002729148E+149</v>
      </c>
      <c r="PTJ53" s="708">
        <f t="shared" si="212"/>
        <v>1.9896313272811022E+149</v>
      </c>
      <c r="PTK53" s="708">
        <f t="shared" si="212"/>
        <v>2.0493202670995354E+149</v>
      </c>
      <c r="PTL53" s="708">
        <f t="shared" si="212"/>
        <v>2.1107998751125214E+149</v>
      </c>
      <c r="PTM53" s="708">
        <f t="shared" si="212"/>
        <v>2.174123871365897E+149</v>
      </c>
      <c r="PTN53" s="708">
        <f t="shared" si="212"/>
        <v>2.2393475875068741E+149</v>
      </c>
      <c r="PTO53" s="708">
        <f t="shared" si="212"/>
        <v>2.3065280151320805E+149</v>
      </c>
      <c r="PTP53" s="708">
        <f t="shared" si="212"/>
        <v>2.375723855586043E+149</v>
      </c>
      <c r="PTQ53" s="708">
        <f t="shared" si="212"/>
        <v>2.4469955712536242E+149</v>
      </c>
      <c r="PTR53" s="708">
        <f t="shared" si="212"/>
        <v>2.5204054383912332E+149</v>
      </c>
      <c r="PTS53" s="708">
        <f t="shared" si="212"/>
        <v>2.5960176015429702E+149</v>
      </c>
      <c r="PTT53" s="708">
        <f t="shared" si="212"/>
        <v>2.6738981295892595E+149</v>
      </c>
      <c r="PTU53" s="708">
        <f t="shared" si="212"/>
        <v>2.7541150734769375E+149</v>
      </c>
      <c r="PTV53" s="708">
        <f t="shared" si="212"/>
        <v>2.8367385256812458E+149</v>
      </c>
      <c r="PTW53" s="708">
        <f t="shared" si="212"/>
        <v>2.9218406814516831E+149</v>
      </c>
      <c r="PTX53" s="708">
        <f t="shared" si="212"/>
        <v>3.0094959018952338E+149</v>
      </c>
      <c r="PTY53" s="708">
        <f t="shared" si="212"/>
        <v>3.0997807789520909E+149</v>
      </c>
      <c r="PTZ53" s="708">
        <f t="shared" si="212"/>
        <v>3.1927742023206536E+149</v>
      </c>
      <c r="PUA53" s="708">
        <f t="shared" si="212"/>
        <v>3.2885574283902734E+149</v>
      </c>
      <c r="PUB53" s="708">
        <f t="shared" si="212"/>
        <v>3.3872141512419817E+149</v>
      </c>
      <c r="PUC53" s="708">
        <f t="shared" si="212"/>
        <v>3.4888305757792414E+149</v>
      </c>
      <c r="PUD53" s="708">
        <f t="shared" si="212"/>
        <v>3.5934954930526185E+149</v>
      </c>
      <c r="PUE53" s="708">
        <f t="shared" si="212"/>
        <v>3.7013003578441973E+149</v>
      </c>
      <c r="PUF53" s="708">
        <f t="shared" si="212"/>
        <v>3.8123393685795236E+149</v>
      </c>
      <c r="PUG53" s="708">
        <f t="shared" si="212"/>
        <v>3.9267095496369092E+149</v>
      </c>
      <c r="PUH53" s="708">
        <f t="shared" si="212"/>
        <v>4.0445108361260167E+149</v>
      </c>
      <c r="PUI53" s="708">
        <f t="shared" si="212"/>
        <v>4.1658461612097969E+149</v>
      </c>
      <c r="PUJ53" s="708">
        <f t="shared" si="212"/>
        <v>4.2908215460460914E+149</v>
      </c>
      <c r="PUK53" s="708">
        <f t="shared" si="212"/>
        <v>4.4195461924274738E+149</v>
      </c>
      <c r="PUL53" s="708">
        <f t="shared" si="212"/>
        <v>4.5521325782002982E+149</v>
      </c>
      <c r="PUM53" s="708">
        <f t="shared" si="212"/>
        <v>4.6886965555463076E+149</v>
      </c>
      <c r="PUN53" s="708">
        <f t="shared" si="212"/>
        <v>4.829357452212697E+149</v>
      </c>
      <c r="PUO53" s="708">
        <f t="shared" si="212"/>
        <v>4.9742381757790778E+149</v>
      </c>
      <c r="PUP53" s="708">
        <f t="shared" si="212"/>
        <v>5.1234653210524506E+149</v>
      </c>
      <c r="PUQ53" s="708">
        <f t="shared" si="212"/>
        <v>5.2771692806840244E+149</v>
      </c>
      <c r="PUR53" s="708">
        <f t="shared" si="212"/>
        <v>5.4354843591045449E+149</v>
      </c>
      <c r="PUS53" s="708">
        <f t="shared" si="212"/>
        <v>5.5985488898776813E+149</v>
      </c>
      <c r="PUT53" s="708">
        <f t="shared" si="212"/>
        <v>5.7665053565740115E+149</v>
      </c>
      <c r="PUU53" s="708">
        <f t="shared" si="212"/>
        <v>5.9395005172712324E+149</v>
      </c>
      <c r="PUV53" s="708">
        <f t="shared" si="212"/>
        <v>6.1176855327893693E+149</v>
      </c>
      <c r="PUW53" s="708">
        <f t="shared" si="212"/>
        <v>6.3012160987730503E+149</v>
      </c>
      <c r="PUX53" s="708">
        <f t="shared" si="212"/>
        <v>6.4902525817362421E+149</v>
      </c>
      <c r="PUY53" s="708">
        <f t="shared" si="212"/>
        <v>6.6849601591883299E+149</v>
      </c>
      <c r="PUZ53" s="708">
        <f t="shared" si="212"/>
        <v>6.8855089639639804E+149</v>
      </c>
      <c r="PVA53" s="708">
        <f t="shared" si="212"/>
        <v>7.0920742328828996E+149</v>
      </c>
      <c r="PVB53" s="708">
        <f t="shared" si="212"/>
        <v>7.304836459869387E+149</v>
      </c>
      <c r="PVC53" s="708">
        <f t="shared" si="212"/>
        <v>7.5239815536654689E+149</v>
      </c>
      <c r="PVD53" s="708">
        <f t="shared" si="212"/>
        <v>7.7497010002754329E+149</v>
      </c>
      <c r="PVE53" s="708">
        <f t="shared" si="212"/>
        <v>7.982192030283696E+149</v>
      </c>
      <c r="PVF53" s="708">
        <f t="shared" si="212"/>
        <v>8.221657791192207E+149</v>
      </c>
      <c r="PVG53" s="708">
        <f t="shared" si="212"/>
        <v>8.4683075249279741E+149</v>
      </c>
      <c r="PVH53" s="708">
        <f t="shared" si="212"/>
        <v>8.7223567506758133E+149</v>
      </c>
      <c r="PVI53" s="708">
        <f t="shared" si="212"/>
        <v>8.9840274531960871E+149</v>
      </c>
      <c r="PVJ53" s="708">
        <f t="shared" ref="PVJ53:PXU53" si="213">PVI53*$C$53</f>
        <v>9.2535482767919702E+149</v>
      </c>
      <c r="PVK53" s="708">
        <f t="shared" si="213"/>
        <v>9.5311547250957294E+149</v>
      </c>
      <c r="PVL53" s="708">
        <f t="shared" si="213"/>
        <v>9.8170893668486013E+149</v>
      </c>
      <c r="PVM53" s="708">
        <f t="shared" si="213"/>
        <v>1.011160204785406E+150</v>
      </c>
      <c r="PVN53" s="708">
        <f t="shared" si="213"/>
        <v>1.0414950109289681E+150</v>
      </c>
      <c r="PVO53" s="708">
        <f t="shared" si="213"/>
        <v>1.0727398612568371E+150</v>
      </c>
      <c r="PVP53" s="708">
        <f t="shared" si="213"/>
        <v>1.1049220570945423E+150</v>
      </c>
      <c r="PVQ53" s="708">
        <f t="shared" si="213"/>
        <v>1.1380697188073785E+150</v>
      </c>
      <c r="PVR53" s="708">
        <f t="shared" si="213"/>
        <v>1.1722118103715999E+150</v>
      </c>
      <c r="PVS53" s="708">
        <f t="shared" si="213"/>
        <v>1.207378164682748E+150</v>
      </c>
      <c r="PVT53" s="708">
        <f t="shared" si="213"/>
        <v>1.2435995096232304E+150</v>
      </c>
      <c r="PVU53" s="708">
        <f t="shared" si="213"/>
        <v>1.2809074949119273E+150</v>
      </c>
      <c r="PVV53" s="708">
        <f t="shared" si="213"/>
        <v>1.3193347197592852E+150</v>
      </c>
      <c r="PVW53" s="708">
        <f t="shared" si="213"/>
        <v>1.3589147613520638E+150</v>
      </c>
      <c r="PVX53" s="708">
        <f t="shared" si="213"/>
        <v>1.3996822041926259E+150</v>
      </c>
      <c r="PVY53" s="708">
        <f t="shared" si="213"/>
        <v>1.4416726703184047E+150</v>
      </c>
      <c r="PVZ53" s="708">
        <f t="shared" si="213"/>
        <v>1.4849228504279569E+150</v>
      </c>
      <c r="PWA53" s="708">
        <f t="shared" si="213"/>
        <v>1.5294705359407957E+150</v>
      </c>
      <c r="PWB53" s="708">
        <f t="shared" si="213"/>
        <v>1.5753546520190196E+150</v>
      </c>
      <c r="PWC53" s="708">
        <f t="shared" si="213"/>
        <v>1.6226152915795903E+150</v>
      </c>
      <c r="PWD53" s="708">
        <f t="shared" si="213"/>
        <v>1.6712937503269779E+150</v>
      </c>
      <c r="PWE53" s="708">
        <f t="shared" si="213"/>
        <v>1.7214325628367871E+150</v>
      </c>
      <c r="PWF53" s="708">
        <f t="shared" si="213"/>
        <v>1.7730755397218909E+150</v>
      </c>
      <c r="PWG53" s="708">
        <f t="shared" si="213"/>
        <v>1.8262678059135476E+150</v>
      </c>
      <c r="PWH53" s="708">
        <f t="shared" si="213"/>
        <v>1.8810558400909543E+150</v>
      </c>
      <c r="PWI53" s="708">
        <f t="shared" si="213"/>
        <v>1.9374875152936829E+150</v>
      </c>
      <c r="PWJ53" s="708">
        <f t="shared" si="213"/>
        <v>1.9956121407524937E+150</v>
      </c>
      <c r="PWK53" s="708">
        <f t="shared" si="213"/>
        <v>2.0554805049750687E+150</v>
      </c>
      <c r="PWL53" s="708">
        <f t="shared" si="213"/>
        <v>2.1171449201243208E+150</v>
      </c>
      <c r="PWM53" s="708">
        <f t="shared" si="213"/>
        <v>2.1806592677280506E+150</v>
      </c>
      <c r="PWN53" s="708">
        <f t="shared" si="213"/>
        <v>2.2460790457598922E+150</v>
      </c>
      <c r="PWO53" s="708">
        <f t="shared" si="213"/>
        <v>2.3134614171326889E+150</v>
      </c>
      <c r="PWP53" s="708">
        <f t="shared" si="213"/>
        <v>2.3828652596466696E+150</v>
      </c>
      <c r="PWQ53" s="708">
        <f t="shared" si="213"/>
        <v>2.4543512174360698E+150</v>
      </c>
      <c r="PWR53" s="708">
        <f t="shared" si="213"/>
        <v>2.5279817539591519E+150</v>
      </c>
      <c r="PWS53" s="708">
        <f t="shared" si="213"/>
        <v>2.6038212065779266E+150</v>
      </c>
      <c r="PWT53" s="708">
        <f t="shared" si="213"/>
        <v>2.6819358427752645E+150</v>
      </c>
      <c r="PWU53" s="708">
        <f t="shared" si="213"/>
        <v>2.7623939180585225E+150</v>
      </c>
      <c r="PWV53" s="708">
        <f t="shared" si="213"/>
        <v>2.8452657356002781E+150</v>
      </c>
      <c r="PWW53" s="708">
        <f t="shared" si="213"/>
        <v>2.9306237076682865E+150</v>
      </c>
      <c r="PWX53" s="708">
        <f t="shared" si="213"/>
        <v>3.0185424188983352E+150</v>
      </c>
      <c r="PWY53" s="708">
        <f t="shared" si="213"/>
        <v>3.1090986914652852E+150</v>
      </c>
      <c r="PWZ53" s="708">
        <f t="shared" si="213"/>
        <v>3.2023716522092437E+150</v>
      </c>
      <c r="PXA53" s="708">
        <f t="shared" si="213"/>
        <v>3.2984428017755209E+150</v>
      </c>
      <c r="PXB53" s="708">
        <f t="shared" si="213"/>
        <v>3.3973960858287867E+150</v>
      </c>
      <c r="PXC53" s="708">
        <f t="shared" si="213"/>
        <v>3.4993179684036503E+150</v>
      </c>
      <c r="PXD53" s="708">
        <f t="shared" si="213"/>
        <v>3.6042975074557597E+150</v>
      </c>
      <c r="PXE53" s="708">
        <f t="shared" si="213"/>
        <v>3.7124264326794328E+150</v>
      </c>
      <c r="PXF53" s="708">
        <f t="shared" si="213"/>
        <v>3.8237992256598161E+150</v>
      </c>
      <c r="PXG53" s="708">
        <f t="shared" si="213"/>
        <v>3.9385132024296109E+150</v>
      </c>
      <c r="PXH53" s="708">
        <f t="shared" si="213"/>
        <v>4.0566685985024993E+150</v>
      </c>
      <c r="PXI53" s="708">
        <f t="shared" si="213"/>
        <v>4.1783686564575742E+150</v>
      </c>
      <c r="PXJ53" s="708">
        <f t="shared" si="213"/>
        <v>4.3037197161513016E+150</v>
      </c>
      <c r="PXK53" s="708">
        <f t="shared" si="213"/>
        <v>4.4328313076358411E+150</v>
      </c>
      <c r="PXL53" s="708">
        <f t="shared" si="213"/>
        <v>4.5658162468649165E+150</v>
      </c>
      <c r="PXM53" s="708">
        <f t="shared" si="213"/>
        <v>4.702790734270864E+150</v>
      </c>
      <c r="PXN53" s="708">
        <f t="shared" si="213"/>
        <v>4.8438744562989901E+150</v>
      </c>
      <c r="PXO53" s="708">
        <f t="shared" si="213"/>
        <v>4.98919068998796E+150</v>
      </c>
      <c r="PXP53" s="708">
        <f t="shared" si="213"/>
        <v>5.1388664106875992E+150</v>
      </c>
      <c r="PXQ53" s="708">
        <f t="shared" si="213"/>
        <v>5.2930324030082271E+150</v>
      </c>
      <c r="PXR53" s="708">
        <f t="shared" si="213"/>
        <v>5.451823375098474E+150</v>
      </c>
      <c r="PXS53" s="708">
        <f t="shared" si="213"/>
        <v>5.6153780763514283E+150</v>
      </c>
      <c r="PXT53" s="708">
        <f t="shared" si="213"/>
        <v>5.7838394186419712E+150</v>
      </c>
      <c r="PXU53" s="708">
        <f t="shared" si="213"/>
        <v>5.9573546012012306E+150</v>
      </c>
      <c r="PXV53" s="708">
        <f t="shared" ref="PXV53:QAG53" si="214">PXU53*$C$53</f>
        <v>6.1360752392372678E+150</v>
      </c>
      <c r="PXW53" s="708">
        <f t="shared" si="214"/>
        <v>6.320157496414386E+150</v>
      </c>
      <c r="PXX53" s="708">
        <f t="shared" si="214"/>
        <v>6.509762221306818E+150</v>
      </c>
      <c r="PXY53" s="708">
        <f t="shared" si="214"/>
        <v>6.7050550879460226E+150</v>
      </c>
      <c r="PXZ53" s="708">
        <f t="shared" si="214"/>
        <v>6.9062067405844033E+150</v>
      </c>
      <c r="PYA53" s="708">
        <f t="shared" si="214"/>
        <v>7.113392942801936E+150</v>
      </c>
      <c r="PYB53" s="708">
        <f t="shared" si="214"/>
        <v>7.3267947310859944E+150</v>
      </c>
      <c r="PYC53" s="708">
        <f t="shared" si="214"/>
        <v>7.5465985730185744E+150</v>
      </c>
      <c r="PYD53" s="708">
        <f t="shared" si="214"/>
        <v>7.7729965302091317E+150</v>
      </c>
      <c r="PYE53" s="708">
        <f t="shared" si="214"/>
        <v>8.0061864261154057E+150</v>
      </c>
      <c r="PYF53" s="708">
        <f t="shared" si="214"/>
        <v>8.2463720188988674E+150</v>
      </c>
      <c r="PYG53" s="708">
        <f t="shared" si="214"/>
        <v>8.4937631794658333E+150</v>
      </c>
      <c r="PYH53" s="708">
        <f t="shared" si="214"/>
        <v>8.7485760748498086E+150</v>
      </c>
      <c r="PYI53" s="708">
        <f t="shared" si="214"/>
        <v>9.0110333570953038E+150</v>
      </c>
      <c r="PYJ53" s="708">
        <f t="shared" si="214"/>
        <v>9.2813643578081636E+150</v>
      </c>
      <c r="PYK53" s="708">
        <f t="shared" si="214"/>
        <v>9.5598052885424091E+150</v>
      </c>
      <c r="PYL53" s="708">
        <f t="shared" si="214"/>
        <v>9.8465994471986815E+150</v>
      </c>
      <c r="PYM53" s="708">
        <f t="shared" si="214"/>
        <v>1.0141997430614643E+151</v>
      </c>
      <c r="PYN53" s="708">
        <f t="shared" si="214"/>
        <v>1.0446257353533081E+151</v>
      </c>
      <c r="PYO53" s="708">
        <f t="shared" si="214"/>
        <v>1.0759645074139074E+151</v>
      </c>
      <c r="PYP53" s="708">
        <f t="shared" si="214"/>
        <v>1.1082434426363247E+151</v>
      </c>
      <c r="PYQ53" s="708">
        <f t="shared" si="214"/>
        <v>1.1414907459154144E+151</v>
      </c>
      <c r="PYR53" s="708">
        <f t="shared" si="214"/>
        <v>1.1757354682928769E+151</v>
      </c>
      <c r="PYS53" s="708">
        <f t="shared" si="214"/>
        <v>1.2110075323416632E+151</v>
      </c>
      <c r="PYT53" s="708">
        <f t="shared" si="214"/>
        <v>1.2473377583119132E+151</v>
      </c>
      <c r="PYU53" s="708">
        <f t="shared" si="214"/>
        <v>1.2847578910612707E+151</v>
      </c>
      <c r="PYV53" s="708">
        <f t="shared" si="214"/>
        <v>1.3233006277931089E+151</v>
      </c>
      <c r="PYW53" s="708">
        <f t="shared" si="214"/>
        <v>1.3629996466269023E+151</v>
      </c>
      <c r="PYX53" s="708">
        <f t="shared" si="214"/>
        <v>1.4038896360257094E+151</v>
      </c>
      <c r="PYY53" s="708">
        <f t="shared" si="214"/>
        <v>1.4460063251064807E+151</v>
      </c>
      <c r="PYZ53" s="708">
        <f t="shared" si="214"/>
        <v>1.489386514859675E+151</v>
      </c>
      <c r="PZA53" s="708">
        <f t="shared" si="214"/>
        <v>1.5340681103054655E+151</v>
      </c>
      <c r="PZB53" s="708">
        <f t="shared" si="214"/>
        <v>1.5800901536146295E+151</v>
      </c>
      <c r="PZC53" s="708">
        <f t="shared" si="214"/>
        <v>1.6274928582230684E+151</v>
      </c>
      <c r="PZD53" s="708">
        <f t="shared" si="214"/>
        <v>1.6763176439697605E+151</v>
      </c>
      <c r="PZE53" s="708">
        <f t="shared" si="214"/>
        <v>1.7266071732888535E+151</v>
      </c>
      <c r="PZF53" s="708">
        <f t="shared" si="214"/>
        <v>1.7784053884875191E+151</v>
      </c>
      <c r="PZG53" s="708">
        <f t="shared" si="214"/>
        <v>1.8317575501421447E+151</v>
      </c>
      <c r="PZH53" s="708">
        <f t="shared" si="214"/>
        <v>1.886710276646409E+151</v>
      </c>
      <c r="PZI53" s="708">
        <f t="shared" si="214"/>
        <v>1.9433115849458014E+151</v>
      </c>
      <c r="PZJ53" s="708">
        <f t="shared" si="214"/>
        <v>2.0016109324941756E+151</v>
      </c>
      <c r="PZK53" s="708">
        <f t="shared" si="214"/>
        <v>2.0616592604690009E+151</v>
      </c>
      <c r="PZL53" s="708">
        <f t="shared" si="214"/>
        <v>2.123509038283071E+151</v>
      </c>
      <c r="PZM53" s="708">
        <f t="shared" si="214"/>
        <v>2.1872143094315633E+151</v>
      </c>
      <c r="PZN53" s="708">
        <f t="shared" si="214"/>
        <v>2.2528307387145103E+151</v>
      </c>
      <c r="PZO53" s="708">
        <f t="shared" si="214"/>
        <v>2.3204156608759457E+151</v>
      </c>
      <c r="PZP53" s="708">
        <f t="shared" si="214"/>
        <v>2.3900281307022242E+151</v>
      </c>
      <c r="PZQ53" s="708">
        <f t="shared" si="214"/>
        <v>2.4617289746232911E+151</v>
      </c>
      <c r="PZR53" s="708">
        <f t="shared" si="214"/>
        <v>2.53558084386199E+151</v>
      </c>
      <c r="PZS53" s="708">
        <f t="shared" si="214"/>
        <v>2.6116482691778498E+151</v>
      </c>
      <c r="PZT53" s="708">
        <f t="shared" si="214"/>
        <v>2.6899977172531854E+151</v>
      </c>
      <c r="PZU53" s="708">
        <f t="shared" si="214"/>
        <v>2.770697648770781E+151</v>
      </c>
      <c r="PZV53" s="708">
        <f t="shared" si="214"/>
        <v>2.8538185782339044E+151</v>
      </c>
      <c r="PZW53" s="708">
        <f t="shared" si="214"/>
        <v>2.9394331355809219E+151</v>
      </c>
      <c r="PZX53" s="708">
        <f t="shared" si="214"/>
        <v>3.0276161296483498E+151</v>
      </c>
      <c r="PZY53" s="708">
        <f t="shared" si="214"/>
        <v>3.1184446135378001E+151</v>
      </c>
      <c r="PZZ53" s="708">
        <f t="shared" si="214"/>
        <v>3.2119979519439343E+151</v>
      </c>
      <c r="QAA53" s="708">
        <f t="shared" si="214"/>
        <v>3.3083578905022525E+151</v>
      </c>
      <c r="QAB53" s="708">
        <f t="shared" si="214"/>
        <v>3.4076086272173203E+151</v>
      </c>
      <c r="QAC53" s="708">
        <f t="shared" si="214"/>
        <v>3.5098368860338402E+151</v>
      </c>
      <c r="QAD53" s="708">
        <f t="shared" si="214"/>
        <v>3.6151319926148554E+151</v>
      </c>
      <c r="QAE53" s="708">
        <f t="shared" si="214"/>
        <v>3.7235859523933014E+151</v>
      </c>
      <c r="QAF53" s="708">
        <f t="shared" si="214"/>
        <v>3.8352935309651007E+151</v>
      </c>
      <c r="QAG53" s="708">
        <f t="shared" si="214"/>
        <v>3.9503523368940538E+151</v>
      </c>
      <c r="QAH53" s="708">
        <f t="shared" ref="QAH53:QCS53" si="215">QAG53*$C$53</f>
        <v>4.0688629070008757E+151</v>
      </c>
      <c r="QAI53" s="708">
        <f t="shared" si="215"/>
        <v>4.190928794210902E+151</v>
      </c>
      <c r="QAJ53" s="708">
        <f t="shared" si="215"/>
        <v>4.3166566580372292E+151</v>
      </c>
      <c r="QAK53" s="708">
        <f t="shared" si="215"/>
        <v>4.4461563577783461E+151</v>
      </c>
      <c r="QAL53" s="708">
        <f t="shared" si="215"/>
        <v>4.5795410485116966E+151</v>
      </c>
      <c r="QAM53" s="708">
        <f t="shared" si="215"/>
        <v>4.7169272799670478E+151</v>
      </c>
      <c r="QAN53" s="708">
        <f t="shared" si="215"/>
        <v>4.8584350983660597E+151</v>
      </c>
      <c r="QAO53" s="708">
        <f t="shared" si="215"/>
        <v>5.0041881513170418E+151</v>
      </c>
      <c r="QAP53" s="708">
        <f t="shared" si="215"/>
        <v>5.1543137958565532E+151</v>
      </c>
      <c r="QAQ53" s="708">
        <f t="shared" si="215"/>
        <v>5.3089432097322498E+151</v>
      </c>
      <c r="QAR53" s="708">
        <f t="shared" si="215"/>
        <v>5.4682115060242176E+151</v>
      </c>
      <c r="QAS53" s="708">
        <f t="shared" si="215"/>
        <v>5.6322578512049439E+151</v>
      </c>
      <c r="QAT53" s="708">
        <f t="shared" si="215"/>
        <v>5.8012255867410926E+151</v>
      </c>
      <c r="QAU53" s="708">
        <f t="shared" si="215"/>
        <v>5.975262354343326E+151</v>
      </c>
      <c r="QAV53" s="708">
        <f t="shared" si="215"/>
        <v>6.1545202249736254E+151</v>
      </c>
      <c r="QAW53" s="708">
        <f t="shared" si="215"/>
        <v>6.3391558317228345E+151</v>
      </c>
      <c r="QAX53" s="708">
        <f t="shared" si="215"/>
        <v>6.52933050667452E+151</v>
      </c>
      <c r="QAY53" s="708">
        <f t="shared" si="215"/>
        <v>6.7252104218747555E+151</v>
      </c>
      <c r="QAZ53" s="708">
        <f t="shared" si="215"/>
        <v>6.9269667345309986E+151</v>
      </c>
      <c r="QBA53" s="708">
        <f t="shared" si="215"/>
        <v>7.1347757365669293E+151</v>
      </c>
      <c r="QBB53" s="708">
        <f t="shared" si="215"/>
        <v>7.3488190086639369E+151</v>
      </c>
      <c r="QBC53" s="708">
        <f t="shared" si="215"/>
        <v>7.5692835789238548E+151</v>
      </c>
      <c r="QBD53" s="708">
        <f t="shared" si="215"/>
        <v>7.7963620862915711E+151</v>
      </c>
      <c r="QBE53" s="708">
        <f t="shared" si="215"/>
        <v>8.0302529488803185E+151</v>
      </c>
      <c r="QBF53" s="708">
        <f t="shared" si="215"/>
        <v>8.2711605373467286E+151</v>
      </c>
      <c r="QBG53" s="708">
        <f t="shared" si="215"/>
        <v>8.5192953534671311E+151</v>
      </c>
      <c r="QBH53" s="708">
        <f t="shared" si="215"/>
        <v>8.7748742140711458E+151</v>
      </c>
      <c r="QBI53" s="708">
        <f t="shared" si="215"/>
        <v>9.0381204404932802E+151</v>
      </c>
      <c r="QBJ53" s="708">
        <f t="shared" si="215"/>
        <v>9.3092640537080791E+151</v>
      </c>
      <c r="QBK53" s="708">
        <f t="shared" si="215"/>
        <v>9.5885419753193222E+151</v>
      </c>
      <c r="QBL53" s="708">
        <f t="shared" si="215"/>
        <v>9.8761982345789019E+151</v>
      </c>
      <c r="QBM53" s="708">
        <f t="shared" si="215"/>
        <v>1.0172484181616269E+152</v>
      </c>
      <c r="QBN53" s="708">
        <f t="shared" si="215"/>
        <v>1.0477658707064758E+152</v>
      </c>
      <c r="QBO53" s="708">
        <f t="shared" si="215"/>
        <v>1.0791988468276701E+152</v>
      </c>
      <c r="QBP53" s="708">
        <f t="shared" si="215"/>
        <v>1.1115748122325002E+152</v>
      </c>
      <c r="QBQ53" s="708">
        <f t="shared" si="215"/>
        <v>1.1449220565994753E+152</v>
      </c>
      <c r="QBR53" s="708">
        <f t="shared" si="215"/>
        <v>1.1792697182974596E+152</v>
      </c>
      <c r="QBS53" s="708">
        <f t="shared" si="215"/>
        <v>1.2146478098463833E+152</v>
      </c>
      <c r="QBT53" s="708">
        <f t="shared" si="215"/>
        <v>1.2510872441417749E+152</v>
      </c>
      <c r="QBU53" s="708">
        <f t="shared" si="215"/>
        <v>1.2886198614660281E+152</v>
      </c>
      <c r="QBV53" s="708">
        <f t="shared" si="215"/>
        <v>1.3272784573100091E+152</v>
      </c>
      <c r="QBW53" s="708">
        <f t="shared" si="215"/>
        <v>1.3670968110293093E+152</v>
      </c>
      <c r="QBX53" s="708">
        <f t="shared" si="215"/>
        <v>1.4081097153601885E+152</v>
      </c>
      <c r="QBY53" s="708">
        <f t="shared" si="215"/>
        <v>1.4503530068209942E+152</v>
      </c>
      <c r="QBZ53" s="708">
        <f t="shared" si="215"/>
        <v>1.493863597025624E+152</v>
      </c>
      <c r="QCA53" s="708">
        <f t="shared" si="215"/>
        <v>1.5386795049363926E+152</v>
      </c>
      <c r="QCB53" s="708">
        <f t="shared" si="215"/>
        <v>1.5848398900844845E+152</v>
      </c>
      <c r="QCC53" s="708">
        <f t="shared" si="215"/>
        <v>1.632385086787019E+152</v>
      </c>
      <c r="QCD53" s="708">
        <f t="shared" si="215"/>
        <v>1.6813566393906297E+152</v>
      </c>
      <c r="QCE53" s="708">
        <f t="shared" si="215"/>
        <v>1.7317973385723486E+152</v>
      </c>
      <c r="QCF53" s="708">
        <f t="shared" si="215"/>
        <v>1.783751258729519E+152</v>
      </c>
      <c r="QCG53" s="708">
        <f t="shared" si="215"/>
        <v>1.8372637964914047E+152</v>
      </c>
      <c r="QCH53" s="708">
        <f t="shared" si="215"/>
        <v>1.8923817103861468E+152</v>
      </c>
      <c r="QCI53" s="708">
        <f t="shared" si="215"/>
        <v>1.9491531616977312E+152</v>
      </c>
      <c r="QCJ53" s="708">
        <f t="shared" si="215"/>
        <v>2.0076277565486633E+152</v>
      </c>
      <c r="QCK53" s="708">
        <f t="shared" si="215"/>
        <v>2.0678565892451232E+152</v>
      </c>
      <c r="QCL53" s="708">
        <f t="shared" si="215"/>
        <v>2.1298922869224769E+152</v>
      </c>
      <c r="QCM53" s="708">
        <f t="shared" si="215"/>
        <v>2.1937890555301512E+152</v>
      </c>
      <c r="QCN53" s="708">
        <f t="shared" si="215"/>
        <v>2.259602727196056E+152</v>
      </c>
      <c r="QCO53" s="708">
        <f t="shared" si="215"/>
        <v>2.3273908090119378E+152</v>
      </c>
      <c r="QCP53" s="708">
        <f t="shared" si="215"/>
        <v>2.3972125332822958E+152</v>
      </c>
      <c r="QCQ53" s="708">
        <f t="shared" si="215"/>
        <v>2.4691289092807646E+152</v>
      </c>
      <c r="QCR53" s="708">
        <f t="shared" si="215"/>
        <v>2.5432027765591875E+152</v>
      </c>
      <c r="QCS53" s="708">
        <f t="shared" si="215"/>
        <v>2.6194988598559634E+152</v>
      </c>
      <c r="QCT53" s="708">
        <f t="shared" ref="QCT53:QFE53" si="216">QCS53*$C$53</f>
        <v>2.6980838256516424E+152</v>
      </c>
      <c r="QCU53" s="708">
        <f t="shared" si="216"/>
        <v>2.7790263404211919E+152</v>
      </c>
      <c r="QCV53" s="708">
        <f t="shared" si="216"/>
        <v>2.8623971306338276E+152</v>
      </c>
      <c r="QCW53" s="708">
        <f t="shared" si="216"/>
        <v>2.9482690445528427E+152</v>
      </c>
      <c r="QCX53" s="708">
        <f t="shared" si="216"/>
        <v>3.0367171158894282E+152</v>
      </c>
      <c r="QCY53" s="708">
        <f t="shared" si="216"/>
        <v>3.1278186293661112E+152</v>
      </c>
      <c r="QCZ53" s="708">
        <f t="shared" si="216"/>
        <v>3.2216531882470947E+152</v>
      </c>
      <c r="QDA53" s="708">
        <f t="shared" si="216"/>
        <v>3.3183027838945075E+152</v>
      </c>
      <c r="QDB53" s="708">
        <f t="shared" si="216"/>
        <v>3.417851867411343E+152</v>
      </c>
      <c r="QDC53" s="708">
        <f t="shared" si="216"/>
        <v>3.5203874234336835E+152</v>
      </c>
      <c r="QDD53" s="708">
        <f t="shared" si="216"/>
        <v>3.6259990461366939E+152</v>
      </c>
      <c r="QDE53" s="708">
        <f t="shared" si="216"/>
        <v>3.734779017520795E+152</v>
      </c>
      <c r="QDF53" s="708">
        <f t="shared" si="216"/>
        <v>3.8468223880464189E+152</v>
      </c>
      <c r="QDG53" s="708">
        <f t="shared" si="216"/>
        <v>3.9622270596878116E+152</v>
      </c>
      <c r="QDH53" s="708">
        <f t="shared" si="216"/>
        <v>4.0810938714784462E+152</v>
      </c>
      <c r="QDI53" s="708">
        <f t="shared" si="216"/>
        <v>4.2035266876227997E+152</v>
      </c>
      <c r="QDJ53" s="708">
        <f t="shared" si="216"/>
        <v>4.3296324882514839E+152</v>
      </c>
      <c r="QDK53" s="708">
        <f t="shared" si="216"/>
        <v>4.4595214628990281E+152</v>
      </c>
      <c r="QDL53" s="708">
        <f t="shared" si="216"/>
        <v>4.5933071067859993E+152</v>
      </c>
      <c r="QDM53" s="708">
        <f t="shared" si="216"/>
        <v>4.7311063199895795E+152</v>
      </c>
      <c r="QDN53" s="708">
        <f t="shared" si="216"/>
        <v>4.8730395095892672E+152</v>
      </c>
      <c r="QDO53" s="708">
        <f t="shared" si="216"/>
        <v>5.0192306948769453E+152</v>
      </c>
      <c r="QDP53" s="708">
        <f t="shared" si="216"/>
        <v>5.169807615723254E+152</v>
      </c>
      <c r="QDQ53" s="708">
        <f t="shared" si="216"/>
        <v>5.3249018441949516E+152</v>
      </c>
      <c r="QDR53" s="708">
        <f t="shared" si="216"/>
        <v>5.4846488995208006E+152</v>
      </c>
      <c r="QDS53" s="708">
        <f t="shared" si="216"/>
        <v>5.649188366506425E+152</v>
      </c>
      <c r="QDT53" s="708">
        <f t="shared" si="216"/>
        <v>5.8186640175016183E+152</v>
      </c>
      <c r="QDU53" s="708">
        <f t="shared" si="216"/>
        <v>5.9932239380266674E+152</v>
      </c>
      <c r="QDV53" s="708">
        <f t="shared" si="216"/>
        <v>6.1730206561674677E+152</v>
      </c>
      <c r="QDW53" s="708">
        <f t="shared" si="216"/>
        <v>6.3582112758524921E+152</v>
      </c>
      <c r="QDX53" s="708">
        <f t="shared" si="216"/>
        <v>6.5489576141280669E+152</v>
      </c>
      <c r="QDY53" s="708">
        <f t="shared" si="216"/>
        <v>6.7454263425519094E+152</v>
      </c>
      <c r="QDZ53" s="708">
        <f t="shared" si="216"/>
        <v>6.9477891328284667E+152</v>
      </c>
      <c r="QEA53" s="708">
        <f t="shared" si="216"/>
        <v>7.1562228068133211E+152</v>
      </c>
      <c r="QEB53" s="708">
        <f t="shared" si="216"/>
        <v>7.3709094910177208E+152</v>
      </c>
      <c r="QEC53" s="708">
        <f t="shared" si="216"/>
        <v>7.5920367757482527E+152</v>
      </c>
      <c r="QED53" s="708">
        <f t="shared" si="216"/>
        <v>7.8197978790207009E+152</v>
      </c>
      <c r="QEE53" s="708">
        <f t="shared" si="216"/>
        <v>8.0543918153913225E+152</v>
      </c>
      <c r="QEF53" s="708">
        <f t="shared" si="216"/>
        <v>8.296023569853062E+152</v>
      </c>
      <c r="QEG53" s="708">
        <f t="shared" si="216"/>
        <v>8.5449042769486532E+152</v>
      </c>
      <c r="QEH53" s="708">
        <f t="shared" si="216"/>
        <v>8.8012514052571131E+152</v>
      </c>
      <c r="QEI53" s="708">
        <f t="shared" si="216"/>
        <v>9.065288947414826E+152</v>
      </c>
      <c r="QEJ53" s="708">
        <f t="shared" si="216"/>
        <v>9.3372476158372705E+152</v>
      </c>
      <c r="QEK53" s="708">
        <f t="shared" si="216"/>
        <v>9.6173650443123881E+152</v>
      </c>
      <c r="QEL53" s="708">
        <f t="shared" si="216"/>
        <v>9.9058859956417597E+152</v>
      </c>
      <c r="QEM53" s="708">
        <f t="shared" si="216"/>
        <v>1.0203062575511013E+153</v>
      </c>
      <c r="QEN53" s="708">
        <f t="shared" si="216"/>
        <v>1.0509154452776344E+153</v>
      </c>
      <c r="QEO53" s="708">
        <f t="shared" si="216"/>
        <v>1.0824429086359636E+153</v>
      </c>
      <c r="QEP53" s="708">
        <f t="shared" si="216"/>
        <v>1.1149161958950425E+153</v>
      </c>
      <c r="QEQ53" s="708">
        <f t="shared" si="216"/>
        <v>1.1483636817718939E+153</v>
      </c>
      <c r="QER53" s="708">
        <f t="shared" si="216"/>
        <v>1.1828145922250508E+153</v>
      </c>
      <c r="QES53" s="708">
        <f t="shared" si="216"/>
        <v>1.2182990299918023E+153</v>
      </c>
      <c r="QET53" s="708">
        <f t="shared" si="216"/>
        <v>1.2548480008915563E+153</v>
      </c>
      <c r="QEU53" s="708">
        <f t="shared" si="216"/>
        <v>1.292493440918303E+153</v>
      </c>
      <c r="QEV53" s="708">
        <f t="shared" si="216"/>
        <v>1.3312682441458521E+153</v>
      </c>
      <c r="QEW53" s="708">
        <f t="shared" si="216"/>
        <v>1.3712062914702277E+153</v>
      </c>
      <c r="QEX53" s="708">
        <f t="shared" si="216"/>
        <v>1.4123424802143346E+153</v>
      </c>
      <c r="QEY53" s="708">
        <f t="shared" si="216"/>
        <v>1.4547127546207647E+153</v>
      </c>
      <c r="QEZ53" s="708">
        <f t="shared" si="216"/>
        <v>1.4983541372593877E+153</v>
      </c>
      <c r="QFA53" s="708">
        <f t="shared" si="216"/>
        <v>1.5433047613771694E+153</v>
      </c>
      <c r="QFB53" s="708">
        <f t="shared" si="216"/>
        <v>1.5896039042184845E+153</v>
      </c>
      <c r="QFC53" s="708">
        <f t="shared" si="216"/>
        <v>1.6372920213450392E+153</v>
      </c>
      <c r="QFD53" s="708">
        <f t="shared" si="216"/>
        <v>1.6864107819853904E+153</v>
      </c>
      <c r="QFE53" s="708">
        <f t="shared" si="216"/>
        <v>1.7370031054449521E+153</v>
      </c>
      <c r="QFF53" s="708">
        <f t="shared" ref="QFF53:QHQ53" si="217">QFE53*$C$53</f>
        <v>1.7891131986083007E+153</v>
      </c>
      <c r="QFG53" s="708">
        <f t="shared" si="217"/>
        <v>1.8427865945665499E+153</v>
      </c>
      <c r="QFH53" s="708">
        <f t="shared" si="217"/>
        <v>1.8980701924035465E+153</v>
      </c>
      <c r="QFI53" s="708">
        <f t="shared" si="217"/>
        <v>1.9550122981756531E+153</v>
      </c>
      <c r="QFJ53" s="708">
        <f t="shared" si="217"/>
        <v>2.0136626671209228E+153</v>
      </c>
      <c r="QFK53" s="708">
        <f t="shared" si="217"/>
        <v>2.0740725471345507E+153</v>
      </c>
      <c r="QFL53" s="708">
        <f t="shared" si="217"/>
        <v>2.1362947235485871E+153</v>
      </c>
      <c r="QFM53" s="708">
        <f t="shared" si="217"/>
        <v>2.2003835652550446E+153</v>
      </c>
      <c r="QFN53" s="708">
        <f t="shared" si="217"/>
        <v>2.266395072212696E+153</v>
      </c>
      <c r="QFO53" s="708">
        <f t="shared" si="217"/>
        <v>2.3343869243790771E+153</v>
      </c>
      <c r="QFP53" s="708">
        <f t="shared" si="217"/>
        <v>2.4044185321104495E+153</v>
      </c>
      <c r="QFQ53" s="708">
        <f t="shared" si="217"/>
        <v>2.4765510880737631E+153</v>
      </c>
      <c r="QFR53" s="708">
        <f t="shared" si="217"/>
        <v>2.5508476207159759E+153</v>
      </c>
      <c r="QFS53" s="708">
        <f t="shared" si="217"/>
        <v>2.6273730493374554E+153</v>
      </c>
      <c r="QFT53" s="708">
        <f t="shared" si="217"/>
        <v>2.7061942408175793E+153</v>
      </c>
      <c r="QFU53" s="708">
        <f t="shared" si="217"/>
        <v>2.7873800680421067E+153</v>
      </c>
      <c r="QFV53" s="708">
        <f t="shared" si="217"/>
        <v>2.8710014700833701E+153</v>
      </c>
      <c r="QFW53" s="708">
        <f t="shared" si="217"/>
        <v>2.9571315141858713E+153</v>
      </c>
      <c r="QFX53" s="708">
        <f t="shared" si="217"/>
        <v>3.0458454596114477E+153</v>
      </c>
      <c r="QFY53" s="708">
        <f t="shared" si="217"/>
        <v>3.1372208233997914E+153</v>
      </c>
      <c r="QFZ53" s="708">
        <f t="shared" si="217"/>
        <v>3.2313374481017851E+153</v>
      </c>
      <c r="QGA53" s="708">
        <f t="shared" si="217"/>
        <v>3.3282775715448389E+153</v>
      </c>
      <c r="QGB53" s="708">
        <f t="shared" si="217"/>
        <v>3.4281258986911841E+153</v>
      </c>
      <c r="QGC53" s="708">
        <f t="shared" si="217"/>
        <v>3.5309696756519198E+153</v>
      </c>
      <c r="QGD53" s="708">
        <f t="shared" si="217"/>
        <v>3.6368987659214777E+153</v>
      </c>
      <c r="QGE53" s="708">
        <f t="shared" si="217"/>
        <v>3.7460057288991222E+153</v>
      </c>
      <c r="QGF53" s="708">
        <f t="shared" si="217"/>
        <v>3.8583859007660958E+153</v>
      </c>
      <c r="QGG53" s="708">
        <f t="shared" si="217"/>
        <v>3.9741374777890789E+153</v>
      </c>
      <c r="QGH53" s="708">
        <f t="shared" si="217"/>
        <v>4.0933616021227512E+153</v>
      </c>
      <c r="QGI53" s="708">
        <f t="shared" si="217"/>
        <v>4.2161624501864339E+153</v>
      </c>
      <c r="QGJ53" s="708">
        <f t="shared" si="217"/>
        <v>4.3426473236920271E+153</v>
      </c>
      <c r="QGK53" s="708">
        <f t="shared" si="217"/>
        <v>4.4729267434027879E+153</v>
      </c>
      <c r="QGL53" s="708">
        <f t="shared" si="217"/>
        <v>4.6071145457048717E+153</v>
      </c>
      <c r="QGM53" s="708">
        <f t="shared" si="217"/>
        <v>4.7453279820760183E+153</v>
      </c>
      <c r="QGN53" s="708">
        <f t="shared" si="217"/>
        <v>4.8876878215382988E+153</v>
      </c>
      <c r="QGO53" s="708">
        <f t="shared" si="217"/>
        <v>5.034318456184448E+153</v>
      </c>
      <c r="QGP53" s="708">
        <f t="shared" si="217"/>
        <v>5.1853480098699813E+153</v>
      </c>
      <c r="QGQ53" s="708">
        <f t="shared" si="217"/>
        <v>5.340908450166081E+153</v>
      </c>
      <c r="QGR53" s="708">
        <f t="shared" si="217"/>
        <v>5.501135703671064E+153</v>
      </c>
      <c r="QGS53" s="708">
        <f t="shared" si="217"/>
        <v>5.6661697747811962E+153</v>
      </c>
      <c r="QGT53" s="708">
        <f t="shared" si="217"/>
        <v>5.8361548680246325E+153</v>
      </c>
      <c r="QGU53" s="708">
        <f t="shared" si="217"/>
        <v>6.0112395140653714E+153</v>
      </c>
      <c r="QGV53" s="708">
        <f t="shared" si="217"/>
        <v>6.1915766994873327E+153</v>
      </c>
      <c r="QGW53" s="708">
        <f t="shared" si="217"/>
        <v>6.3773240004719525E+153</v>
      </c>
      <c r="QGX53" s="708">
        <f t="shared" si="217"/>
        <v>6.5686437204861109E+153</v>
      </c>
      <c r="QGY53" s="708">
        <f t="shared" si="217"/>
        <v>6.765703032100694E+153</v>
      </c>
      <c r="QGZ53" s="708">
        <f t="shared" si="217"/>
        <v>6.9686741230637157E+153</v>
      </c>
      <c r="QHA53" s="708">
        <f t="shared" si="217"/>
        <v>7.1777343467556267E+153</v>
      </c>
      <c r="QHB53" s="708">
        <f t="shared" si="217"/>
        <v>7.3930663771582957E+153</v>
      </c>
      <c r="QHC53" s="708">
        <f t="shared" si="217"/>
        <v>7.6148583684730448E+153</v>
      </c>
      <c r="QHD53" s="708">
        <f t="shared" si="217"/>
        <v>7.8433041195272359E+153</v>
      </c>
      <c r="QHE53" s="708">
        <f t="shared" si="217"/>
        <v>8.0786032431130536E+153</v>
      </c>
      <c r="QHF53" s="708">
        <f t="shared" si="217"/>
        <v>8.3209613404064459E+153</v>
      </c>
      <c r="QHG53" s="708">
        <f t="shared" si="217"/>
        <v>8.5705901806186398E+153</v>
      </c>
      <c r="QHH53" s="708">
        <f t="shared" si="217"/>
        <v>8.8277078860371987E+153</v>
      </c>
      <c r="QHI53" s="708">
        <f t="shared" si="217"/>
        <v>9.0925391226183153E+153</v>
      </c>
      <c r="QHJ53" s="708">
        <f t="shared" si="217"/>
        <v>9.365315296296865E+153</v>
      </c>
      <c r="QHK53" s="708">
        <f t="shared" si="217"/>
        <v>9.6462747551857711E+153</v>
      </c>
      <c r="QHL53" s="708">
        <f t="shared" si="217"/>
        <v>9.935662997841344E+153</v>
      </c>
      <c r="QHM53" s="708">
        <f t="shared" si="217"/>
        <v>1.0233732887776584E+154</v>
      </c>
      <c r="QHN53" s="708">
        <f t="shared" si="217"/>
        <v>1.0540744874409882E+154</v>
      </c>
      <c r="QHO53" s="708">
        <f t="shared" si="217"/>
        <v>1.0856967220642178E+154</v>
      </c>
      <c r="QHP53" s="708">
        <f t="shared" si="217"/>
        <v>1.1182676237261444E+154</v>
      </c>
      <c r="QHQ53" s="708">
        <f t="shared" si="217"/>
        <v>1.1518156524379288E+154</v>
      </c>
      <c r="QHR53" s="708">
        <f t="shared" ref="QHR53:QKC53" si="218">QHQ53*$C$53</f>
        <v>1.1863701220110667E+154</v>
      </c>
      <c r="QHS53" s="708">
        <f t="shared" si="218"/>
        <v>1.2219612256713987E+154</v>
      </c>
      <c r="QHT53" s="708">
        <f t="shared" si="218"/>
        <v>1.2586200624415408E+154</v>
      </c>
      <c r="QHU53" s="708">
        <f t="shared" si="218"/>
        <v>1.296378664314787E+154</v>
      </c>
      <c r="QHV53" s="708">
        <f t="shared" si="218"/>
        <v>1.3352700242442307E+154</v>
      </c>
      <c r="QHW53" s="708">
        <f t="shared" si="218"/>
        <v>1.3753281249715576E+154</v>
      </c>
      <c r="QHX53" s="708">
        <f t="shared" si="218"/>
        <v>1.4165879687207043E+154</v>
      </c>
      <c r="QHY53" s="708">
        <f t="shared" si="218"/>
        <v>1.4590856077823254E+154</v>
      </c>
      <c r="QHZ53" s="708">
        <f t="shared" si="218"/>
        <v>1.5028581760157951E+154</v>
      </c>
      <c r="QIA53" s="708">
        <f t="shared" si="218"/>
        <v>1.5479439212962691E+154</v>
      </c>
      <c r="QIB53" s="708">
        <f t="shared" si="218"/>
        <v>1.5943822389351572E+154</v>
      </c>
      <c r="QIC53" s="708">
        <f t="shared" si="218"/>
        <v>1.6422137061032119E+154</v>
      </c>
      <c r="QID53" s="708">
        <f t="shared" si="218"/>
        <v>1.6914801172863084E+154</v>
      </c>
      <c r="QIE53" s="708">
        <f t="shared" si="218"/>
        <v>1.7422245208048976E+154</v>
      </c>
      <c r="QIF53" s="708">
        <f t="shared" si="218"/>
        <v>1.7944912564290445E+154</v>
      </c>
      <c r="QIG53" s="708">
        <f t="shared" si="218"/>
        <v>1.8483259941219159E+154</v>
      </c>
      <c r="QIH53" s="708">
        <f t="shared" si="218"/>
        <v>1.9037757739455733E+154</v>
      </c>
      <c r="QII53" s="708">
        <f t="shared" si="218"/>
        <v>1.9608890471639405E+154</v>
      </c>
      <c r="QIJ53" s="708">
        <f t="shared" si="218"/>
        <v>2.0197157185788589E+154</v>
      </c>
      <c r="QIK53" s="708">
        <f t="shared" si="218"/>
        <v>2.0803071901362246E+154</v>
      </c>
      <c r="QIL53" s="708">
        <f t="shared" si="218"/>
        <v>2.1427164058403115E+154</v>
      </c>
      <c r="QIM53" s="708">
        <f t="shared" si="218"/>
        <v>2.2069978980155209E+154</v>
      </c>
      <c r="QIN53" s="708">
        <f t="shared" si="218"/>
        <v>2.2732078349559865E+154</v>
      </c>
      <c r="QIO53" s="708">
        <f t="shared" si="218"/>
        <v>2.3414040700046661E+154</v>
      </c>
      <c r="QIP53" s="708">
        <f t="shared" si="218"/>
        <v>2.411646192104806E+154</v>
      </c>
      <c r="QIQ53" s="708">
        <f t="shared" si="218"/>
        <v>2.4839955778679504E+154</v>
      </c>
      <c r="QIR53" s="708">
        <f t="shared" si="218"/>
        <v>2.5585154452039889E+154</v>
      </c>
      <c r="QIS53" s="708">
        <f t="shared" si="218"/>
        <v>2.6352709085601086E+154</v>
      </c>
      <c r="QIT53" s="708">
        <f t="shared" si="218"/>
        <v>2.7143290358169117E+154</v>
      </c>
      <c r="QIU53" s="708">
        <f t="shared" si="218"/>
        <v>2.7957589068914189E+154</v>
      </c>
      <c r="QIV53" s="708">
        <f t="shared" si="218"/>
        <v>2.8796316740981614E+154</v>
      </c>
      <c r="QIW53" s="708">
        <f t="shared" si="218"/>
        <v>2.9660206243211063E+154</v>
      </c>
      <c r="QIX53" s="708">
        <f t="shared" si="218"/>
        <v>3.0550012430507396E+154</v>
      </c>
      <c r="QIY53" s="708">
        <f t="shared" si="218"/>
        <v>3.1466512803422621E+154</v>
      </c>
      <c r="QIZ53" s="708">
        <f t="shared" si="218"/>
        <v>3.24105081875253E+154</v>
      </c>
      <c r="QJA53" s="708">
        <f t="shared" si="218"/>
        <v>3.338282343315106E+154</v>
      </c>
      <c r="QJB53" s="708">
        <f t="shared" si="218"/>
        <v>3.4384308136145591E+154</v>
      </c>
      <c r="QJC53" s="708">
        <f t="shared" si="218"/>
        <v>3.5415837380229959E+154</v>
      </c>
      <c r="QJD53" s="708">
        <f t="shared" si="218"/>
        <v>3.6478312501636857E+154</v>
      </c>
      <c r="QJE53" s="708">
        <f t="shared" si="218"/>
        <v>3.7572661876685962E+154</v>
      </c>
      <c r="QJF53" s="708">
        <f t="shared" si="218"/>
        <v>3.8699841732986541E+154</v>
      </c>
      <c r="QJG53" s="708">
        <f t="shared" si="218"/>
        <v>3.986083698497614E+154</v>
      </c>
      <c r="QJH53" s="708">
        <f t="shared" si="218"/>
        <v>4.1056662094525422E+154</v>
      </c>
      <c r="QJI53" s="708">
        <f t="shared" si="218"/>
        <v>4.2288361957361186E+154</v>
      </c>
      <c r="QJJ53" s="708">
        <f t="shared" si="218"/>
        <v>4.355701281608202E+154</v>
      </c>
      <c r="QJK53" s="708">
        <f t="shared" si="218"/>
        <v>4.486372320056448E+154</v>
      </c>
      <c r="QJL53" s="708">
        <f t="shared" si="218"/>
        <v>4.6209634896581417E+154</v>
      </c>
      <c r="QJM53" s="708">
        <f t="shared" si="218"/>
        <v>4.7595923943478859E+154</v>
      </c>
      <c r="QJN53" s="708">
        <f t="shared" si="218"/>
        <v>4.9023801661783227E+154</v>
      </c>
      <c r="QJO53" s="708">
        <f t="shared" si="218"/>
        <v>5.0494515711636724E+154</v>
      </c>
      <c r="QJP53" s="708">
        <f t="shared" si="218"/>
        <v>5.2009351182985828E+154</v>
      </c>
      <c r="QJQ53" s="708">
        <f t="shared" si="218"/>
        <v>5.3569631718475404E+154</v>
      </c>
      <c r="QJR53" s="708">
        <f t="shared" si="218"/>
        <v>5.5176720670029669E+154</v>
      </c>
      <c r="QJS53" s="708">
        <f t="shared" si="218"/>
        <v>5.6832022290130561E+154</v>
      </c>
      <c r="QJT53" s="708">
        <f t="shared" si="218"/>
        <v>5.8536982958834483E+154</v>
      </c>
      <c r="QJU53" s="708">
        <f t="shared" si="218"/>
        <v>6.0293092447599517E+154</v>
      </c>
      <c r="QJV53" s="708">
        <f t="shared" si="218"/>
        <v>6.2101885221027509E+154</v>
      </c>
      <c r="QJW53" s="708">
        <f t="shared" si="218"/>
        <v>6.3964941777658342E+154</v>
      </c>
      <c r="QJX53" s="708">
        <f t="shared" si="218"/>
        <v>6.5883890030988091E+154</v>
      </c>
      <c r="QJY53" s="708">
        <f t="shared" si="218"/>
        <v>6.7860406731917732E+154</v>
      </c>
      <c r="QJZ53" s="708">
        <f t="shared" si="218"/>
        <v>6.9896218933875269E+154</v>
      </c>
      <c r="QKA53" s="708">
        <f t="shared" si="218"/>
        <v>7.1993105501891531E+154</v>
      </c>
      <c r="QKB53" s="708">
        <f t="shared" si="218"/>
        <v>7.4152898666948281E+154</v>
      </c>
      <c r="QKC53" s="708">
        <f t="shared" si="218"/>
        <v>7.6377485626956732E+154</v>
      </c>
      <c r="QKD53" s="708">
        <f t="shared" ref="QKD53:QMO53" si="219">QKC53*$C$53</f>
        <v>7.8668810195765434E+154</v>
      </c>
      <c r="QKE53" s="708">
        <f t="shared" si="219"/>
        <v>8.1028874501638403E+154</v>
      </c>
      <c r="QKF53" s="708">
        <f t="shared" si="219"/>
        <v>8.3459740736687551E+154</v>
      </c>
      <c r="QKG53" s="708">
        <f t="shared" si="219"/>
        <v>8.5963532958788186E+154</v>
      </c>
      <c r="QKH53" s="708">
        <f t="shared" si="219"/>
        <v>8.8542438947551829E+154</v>
      </c>
      <c r="QKI53" s="708">
        <f t="shared" si="219"/>
        <v>9.119871211597839E+154</v>
      </c>
      <c r="QKJ53" s="708">
        <f t="shared" si="219"/>
        <v>9.3934673479457745E+154</v>
      </c>
      <c r="QKK53" s="708">
        <f t="shared" si="219"/>
        <v>9.6752713683841479E+154</v>
      </c>
      <c r="QKL53" s="708">
        <f t="shared" si="219"/>
        <v>9.965529509435672E+154</v>
      </c>
      <c r="QKM53" s="708">
        <f t="shared" si="219"/>
        <v>1.0264495394718743E+155</v>
      </c>
      <c r="QKN53" s="708">
        <f t="shared" si="219"/>
        <v>1.0572430256560306E+155</v>
      </c>
      <c r="QKO53" s="708">
        <f t="shared" si="219"/>
        <v>1.0889603164257115E+155</v>
      </c>
      <c r="QKP53" s="708">
        <f t="shared" si="219"/>
        <v>1.121629125918483E+155</v>
      </c>
      <c r="QKQ53" s="708">
        <f t="shared" si="219"/>
        <v>1.1552779996960375E+155</v>
      </c>
      <c r="QKR53" s="708">
        <f t="shared" si="219"/>
        <v>1.1899363396869186E+155</v>
      </c>
      <c r="QKS53" s="708">
        <f t="shared" si="219"/>
        <v>1.2256344298775261E+155</v>
      </c>
      <c r="QKT53" s="708">
        <f t="shared" si="219"/>
        <v>1.262403462773852E+155</v>
      </c>
      <c r="QKU53" s="708">
        <f t="shared" si="219"/>
        <v>1.3002755666570677E+155</v>
      </c>
      <c r="QKV53" s="708">
        <f t="shared" si="219"/>
        <v>1.3392838336567798E+155</v>
      </c>
      <c r="QKW53" s="708">
        <f t="shared" si="219"/>
        <v>1.3794623486664833E+155</v>
      </c>
      <c r="QKX53" s="708">
        <f t="shared" si="219"/>
        <v>1.4208462191264777E+155</v>
      </c>
      <c r="QKY53" s="708">
        <f t="shared" si="219"/>
        <v>1.463471605700272E+155</v>
      </c>
      <c r="QKZ53" s="708">
        <f t="shared" si="219"/>
        <v>1.5073757538712802E+155</v>
      </c>
      <c r="QLA53" s="708">
        <f t="shared" si="219"/>
        <v>1.5525970264874186E+155</v>
      </c>
      <c r="QLB53" s="708">
        <f t="shared" si="219"/>
        <v>1.5991749372820411E+155</v>
      </c>
      <c r="QLC53" s="708">
        <f t="shared" si="219"/>
        <v>1.6471501854005025E+155</v>
      </c>
      <c r="QLD53" s="708">
        <f t="shared" si="219"/>
        <v>1.6965646909625176E+155</v>
      </c>
      <c r="QLE53" s="708">
        <f t="shared" si="219"/>
        <v>1.7474616316913931E+155</v>
      </c>
      <c r="QLF53" s="708">
        <f t="shared" si="219"/>
        <v>1.7998854806421349E+155</v>
      </c>
      <c r="QLG53" s="708">
        <f t="shared" si="219"/>
        <v>1.853882045061399E+155</v>
      </c>
      <c r="QLH53" s="708">
        <f t="shared" si="219"/>
        <v>1.9094985064132411E+155</v>
      </c>
      <c r="QLI53" s="708">
        <f t="shared" si="219"/>
        <v>1.9667834616056385E+155</v>
      </c>
      <c r="QLJ53" s="708">
        <f t="shared" si="219"/>
        <v>2.0257869654538076E+155</v>
      </c>
      <c r="QLK53" s="708">
        <f t="shared" si="219"/>
        <v>2.0865605744174219E+155</v>
      </c>
      <c r="QLL53" s="708">
        <f t="shared" si="219"/>
        <v>2.1491573916499447E+155</v>
      </c>
      <c r="QLM53" s="708">
        <f t="shared" si="219"/>
        <v>2.2136321133994432E+155</v>
      </c>
      <c r="QLN53" s="708">
        <f t="shared" si="219"/>
        <v>2.2800410768014264E+155</v>
      </c>
      <c r="QLO53" s="708">
        <f t="shared" si="219"/>
        <v>2.3484423091054692E+155</v>
      </c>
      <c r="QLP53" s="708">
        <f t="shared" si="219"/>
        <v>2.4188955783786332E+155</v>
      </c>
      <c r="QLQ53" s="708">
        <f t="shared" si="219"/>
        <v>2.4914624457299922E+155</v>
      </c>
      <c r="QLR53" s="708">
        <f t="shared" si="219"/>
        <v>2.566206319101892E+155</v>
      </c>
      <c r="QLS53" s="708">
        <f t="shared" si="219"/>
        <v>2.6431925086749488E+155</v>
      </c>
      <c r="QLT53" s="708">
        <f t="shared" si="219"/>
        <v>2.7224882839351974E+155</v>
      </c>
      <c r="QLU53" s="708">
        <f t="shared" si="219"/>
        <v>2.8041629324532535E+155</v>
      </c>
      <c r="QLV53" s="708">
        <f t="shared" si="219"/>
        <v>2.8882878204268513E+155</v>
      </c>
      <c r="QLW53" s="708">
        <f t="shared" si="219"/>
        <v>2.974936455039657E+155</v>
      </c>
      <c r="QLX53" s="708">
        <f t="shared" si="219"/>
        <v>3.0641845486908469E+155</v>
      </c>
      <c r="QLY53" s="708">
        <f t="shared" si="219"/>
        <v>3.1561100851515722E+155</v>
      </c>
      <c r="QLZ53" s="708">
        <f t="shared" si="219"/>
        <v>3.2507933877061195E+155</v>
      </c>
      <c r="QMA53" s="708">
        <f t="shared" si="219"/>
        <v>3.3483171893373032E+155</v>
      </c>
      <c r="QMB53" s="708">
        <f t="shared" si="219"/>
        <v>3.4487667050174222E+155</v>
      </c>
      <c r="QMC53" s="708">
        <f t="shared" si="219"/>
        <v>3.5522297061679447E+155</v>
      </c>
      <c r="QMD53" s="708">
        <f t="shared" si="219"/>
        <v>3.658796597352983E+155</v>
      </c>
      <c r="QME53" s="708">
        <f t="shared" si="219"/>
        <v>3.7685604952735728E+155</v>
      </c>
      <c r="QMF53" s="708">
        <f t="shared" si="219"/>
        <v>3.8816173101317802E+155</v>
      </c>
      <c r="QMG53" s="708">
        <f t="shared" si="219"/>
        <v>3.9980658294357336E+155</v>
      </c>
      <c r="QMH53" s="708">
        <f t="shared" si="219"/>
        <v>4.1180078043188057E+155</v>
      </c>
      <c r="QMI53" s="708">
        <f t="shared" si="219"/>
        <v>4.2415480384483698E+155</v>
      </c>
      <c r="QMJ53" s="708">
        <f t="shared" si="219"/>
        <v>4.3687944796018206E+155</v>
      </c>
      <c r="QMK53" s="708">
        <f t="shared" si="219"/>
        <v>4.4998583139898757E+155</v>
      </c>
      <c r="QML53" s="708">
        <f t="shared" si="219"/>
        <v>4.6348540634095717E+155</v>
      </c>
      <c r="QMM53" s="708">
        <f t="shared" si="219"/>
        <v>4.7738996853118587E+155</v>
      </c>
      <c r="QMN53" s="708">
        <f t="shared" si="219"/>
        <v>4.9171166758712146E+155</v>
      </c>
      <c r="QMO53" s="708">
        <f t="shared" si="219"/>
        <v>5.0646301761473508E+155</v>
      </c>
      <c r="QMP53" s="708">
        <f t="shared" ref="QMP53:QPA53" si="220">QMO53*$C$53</f>
        <v>5.2165690814317715E+155</v>
      </c>
      <c r="QMQ53" s="708">
        <f t="shared" si="220"/>
        <v>5.3730661538747246E+155</v>
      </c>
      <c r="QMR53" s="708">
        <f t="shared" si="220"/>
        <v>5.5342581384909667E+155</v>
      </c>
      <c r="QMS53" s="708">
        <f t="shared" si="220"/>
        <v>5.7002858826456959E+155</v>
      </c>
      <c r="QMT53" s="708">
        <f t="shared" si="220"/>
        <v>5.8712944591250671E+155</v>
      </c>
      <c r="QMU53" s="708">
        <f t="shared" si="220"/>
        <v>6.0474332928988188E+155</v>
      </c>
      <c r="QMV53" s="708">
        <f t="shared" si="220"/>
        <v>6.2288562916857838E+155</v>
      </c>
      <c r="QMW53" s="708">
        <f t="shared" si="220"/>
        <v>6.4157219804363577E+155</v>
      </c>
      <c r="QMX53" s="708">
        <f t="shared" si="220"/>
        <v>6.6081936398494489E+155</v>
      </c>
      <c r="QMY53" s="708">
        <f t="shared" si="220"/>
        <v>6.8064394490449323E+155</v>
      </c>
      <c r="QMZ53" s="708">
        <f t="shared" si="220"/>
        <v>7.0106326325162805E+155</v>
      </c>
      <c r="QNA53" s="708">
        <f t="shared" si="220"/>
        <v>7.2209516114917693E+155</v>
      </c>
      <c r="QNB53" s="708">
        <f t="shared" si="220"/>
        <v>7.437580159836523E+155</v>
      </c>
      <c r="QNC53" s="708">
        <f t="shared" si="220"/>
        <v>7.6607075646316185E+155</v>
      </c>
      <c r="QND53" s="708">
        <f t="shared" si="220"/>
        <v>7.8905287915705669E+155</v>
      </c>
      <c r="QNE53" s="708">
        <f t="shared" si="220"/>
        <v>8.127244655317684E+155</v>
      </c>
      <c r="QNF53" s="708">
        <f t="shared" si="220"/>
        <v>8.3710619949772147E+155</v>
      </c>
      <c r="QNG53" s="708">
        <f t="shared" si="220"/>
        <v>8.6221938548265305E+155</v>
      </c>
      <c r="QNH53" s="708">
        <f t="shared" si="220"/>
        <v>8.8808596704713269E+155</v>
      </c>
      <c r="QNI53" s="708">
        <f t="shared" si="220"/>
        <v>9.1472854605854665E+155</v>
      </c>
      <c r="QNJ53" s="708">
        <f t="shared" si="220"/>
        <v>9.4217040244030303E+155</v>
      </c>
      <c r="QNK53" s="708">
        <f t="shared" si="220"/>
        <v>9.7043551451351222E+155</v>
      </c>
      <c r="QNL53" s="708">
        <f t="shared" si="220"/>
        <v>9.9954857994891763E+155</v>
      </c>
      <c r="QNM53" s="708">
        <f t="shared" si="220"/>
        <v>1.0295350373473852E+156</v>
      </c>
      <c r="QNN53" s="708">
        <f t="shared" si="220"/>
        <v>1.0604210884678069E+156</v>
      </c>
      <c r="QNO53" s="708">
        <f t="shared" si="220"/>
        <v>1.0922337211218411E+156</v>
      </c>
      <c r="QNP53" s="708">
        <f t="shared" si="220"/>
        <v>1.1250007327554964E+156</v>
      </c>
      <c r="QNQ53" s="708">
        <f t="shared" si="220"/>
        <v>1.1587507547381613E+156</v>
      </c>
      <c r="QNR53" s="708">
        <f t="shared" si="220"/>
        <v>1.1935132773803062E+156</v>
      </c>
      <c r="QNS53" s="708">
        <f t="shared" si="220"/>
        <v>1.2293186757017153E+156</v>
      </c>
      <c r="QNT53" s="708">
        <f t="shared" si="220"/>
        <v>1.2661982359727668E+156</v>
      </c>
      <c r="QNU53" s="708">
        <f t="shared" si="220"/>
        <v>1.3041841830519497E+156</v>
      </c>
      <c r="QNV53" s="708">
        <f t="shared" si="220"/>
        <v>1.3433097085435082E+156</v>
      </c>
      <c r="QNW53" s="708">
        <f t="shared" si="220"/>
        <v>1.3836089997998134E+156</v>
      </c>
      <c r="QNX53" s="708">
        <f t="shared" si="220"/>
        <v>1.4251172697938078E+156</v>
      </c>
      <c r="QNY53" s="708">
        <f t="shared" si="220"/>
        <v>1.467870787887622E+156</v>
      </c>
      <c r="QNZ53" s="708">
        <f t="shared" si="220"/>
        <v>1.5119069115242508E+156</v>
      </c>
      <c r="QOA53" s="708">
        <f t="shared" si="220"/>
        <v>1.5572641188699783E+156</v>
      </c>
      <c r="QOB53" s="708">
        <f t="shared" si="220"/>
        <v>1.6039820424360778E+156</v>
      </c>
      <c r="QOC53" s="708">
        <f t="shared" si="220"/>
        <v>1.6521015037091601E+156</v>
      </c>
      <c r="QOD53" s="708">
        <f t="shared" si="220"/>
        <v>1.701664548820435E+156</v>
      </c>
      <c r="QOE53" s="708">
        <f t="shared" si="220"/>
        <v>1.752714485285048E+156</v>
      </c>
      <c r="QOF53" s="708">
        <f t="shared" si="220"/>
        <v>1.8052959198435996E+156</v>
      </c>
      <c r="QOG53" s="708">
        <f t="shared" si="220"/>
        <v>1.8594547974389077E+156</v>
      </c>
      <c r="QOH53" s="708">
        <f t="shared" si="220"/>
        <v>1.9152384413620751E+156</v>
      </c>
      <c r="QOI53" s="708">
        <f t="shared" si="220"/>
        <v>1.9726955946029373E+156</v>
      </c>
      <c r="QOJ53" s="708">
        <f t="shared" si="220"/>
        <v>2.0318764624410254E+156</v>
      </c>
      <c r="QOK53" s="708">
        <f t="shared" si="220"/>
        <v>2.0928327563142564E+156</v>
      </c>
      <c r="QOL53" s="708">
        <f t="shared" si="220"/>
        <v>2.1556177390036842E+156</v>
      </c>
      <c r="QOM53" s="708">
        <f t="shared" si="220"/>
        <v>2.2202862711737947E+156</v>
      </c>
      <c r="QON53" s="708">
        <f t="shared" si="220"/>
        <v>2.2868948593090086E+156</v>
      </c>
      <c r="QOO53" s="708">
        <f t="shared" si="220"/>
        <v>2.3555017050882791E+156</v>
      </c>
      <c r="QOP53" s="708">
        <f t="shared" si="220"/>
        <v>2.4261667562409276E+156</v>
      </c>
      <c r="QOQ53" s="708">
        <f t="shared" si="220"/>
        <v>2.4989517589281554E+156</v>
      </c>
      <c r="QOR53" s="708">
        <f t="shared" si="220"/>
        <v>2.5739203116960001E+156</v>
      </c>
      <c r="QOS53" s="708">
        <f t="shared" si="220"/>
        <v>2.6511379210468803E+156</v>
      </c>
      <c r="QOT53" s="708">
        <f t="shared" si="220"/>
        <v>2.7306720586782869E+156</v>
      </c>
      <c r="QOU53" s="708">
        <f t="shared" si="220"/>
        <v>2.8125922204386354E+156</v>
      </c>
      <c r="QOV53" s="708">
        <f t="shared" si="220"/>
        <v>2.8969699870517945E+156</v>
      </c>
      <c r="QOW53" s="708">
        <f t="shared" si="220"/>
        <v>2.9838790866633485E+156</v>
      </c>
      <c r="QOX53" s="708">
        <f t="shared" si="220"/>
        <v>3.0733954592632491E+156</v>
      </c>
      <c r="QOY53" s="708">
        <f t="shared" si="220"/>
        <v>3.1655973230411467E+156</v>
      </c>
      <c r="QOZ53" s="708">
        <f t="shared" si="220"/>
        <v>3.2605652427323811E+156</v>
      </c>
      <c r="QPA53" s="708">
        <f t="shared" si="220"/>
        <v>3.3583822000143527E+156</v>
      </c>
      <c r="QPB53" s="708">
        <f t="shared" ref="QPB53:QRM53" si="221">QPA53*$C$53</f>
        <v>3.4591336660147833E+156</v>
      </c>
      <c r="QPC53" s="708">
        <f t="shared" si="221"/>
        <v>3.5629076759952269E+156</v>
      </c>
      <c r="QPD53" s="708">
        <f t="shared" si="221"/>
        <v>3.6697949062750841E+156</v>
      </c>
      <c r="QPE53" s="708">
        <f t="shared" si="221"/>
        <v>3.7798887534633364E+156</v>
      </c>
      <c r="QPF53" s="708">
        <f t="shared" si="221"/>
        <v>3.8932854160672368E+156</v>
      </c>
      <c r="QPG53" s="708">
        <f t="shared" si="221"/>
        <v>4.010083978549254E+156</v>
      </c>
      <c r="QPH53" s="708">
        <f t="shared" si="221"/>
        <v>4.1303864979057317E+156</v>
      </c>
      <c r="QPI53" s="708">
        <f t="shared" si="221"/>
        <v>4.2542980928429036E+156</v>
      </c>
      <c r="QPJ53" s="708">
        <f t="shared" si="221"/>
        <v>4.3819270356281904E+156</v>
      </c>
      <c r="QPK53" s="708">
        <f t="shared" si="221"/>
        <v>4.5133848466970366E+156</v>
      </c>
      <c r="QPL53" s="708">
        <f t="shared" si="221"/>
        <v>4.6487863920979479E+156</v>
      </c>
      <c r="QPM53" s="708">
        <f t="shared" si="221"/>
        <v>4.7882499838608868E+156</v>
      </c>
      <c r="QPN53" s="708">
        <f t="shared" si="221"/>
        <v>4.9318974833767136E+156</v>
      </c>
      <c r="QPO53" s="708">
        <f t="shared" si="221"/>
        <v>5.0798544078780153E+156</v>
      </c>
      <c r="QPP53" s="708">
        <f t="shared" si="221"/>
        <v>5.2322500401143556E+156</v>
      </c>
      <c r="QPQ53" s="708">
        <f t="shared" si="221"/>
        <v>5.3892175413177866E+156</v>
      </c>
      <c r="QPR53" s="708">
        <f t="shared" si="221"/>
        <v>5.5508940675573205E+156</v>
      </c>
      <c r="QPS53" s="708">
        <f t="shared" si="221"/>
        <v>5.71742088958404E+156</v>
      </c>
      <c r="QPT53" s="708">
        <f t="shared" si="221"/>
        <v>5.8889435162715617E+156</v>
      </c>
      <c r="QPU53" s="708">
        <f t="shared" si="221"/>
        <v>6.0656118217597084E+156</v>
      </c>
      <c r="QPV53" s="708">
        <f t="shared" si="221"/>
        <v>6.2475801764124996E+156</v>
      </c>
      <c r="QPW53" s="708">
        <f t="shared" si="221"/>
        <v>6.4350075817048745E+156</v>
      </c>
      <c r="QPX53" s="708">
        <f t="shared" si="221"/>
        <v>6.6280578091560211E+156</v>
      </c>
      <c r="QPY53" s="708">
        <f t="shared" si="221"/>
        <v>6.8268995434307021E+156</v>
      </c>
      <c r="QPZ53" s="708">
        <f t="shared" si="221"/>
        <v>7.0317065297336231E+156</v>
      </c>
      <c r="QQA53" s="708">
        <f t="shared" si="221"/>
        <v>7.2426577256256319E+156</v>
      </c>
      <c r="QQB53" s="708">
        <f t="shared" si="221"/>
        <v>7.4599374573944009E+156</v>
      </c>
      <c r="QQC53" s="708">
        <f t="shared" si="221"/>
        <v>7.6837355811162331E+156</v>
      </c>
      <c r="QQD53" s="708">
        <f t="shared" si="221"/>
        <v>7.9142476485497211E+156</v>
      </c>
      <c r="QQE53" s="708">
        <f t="shared" si="221"/>
        <v>8.1516750780062125E+156</v>
      </c>
      <c r="QQF53" s="708">
        <f t="shared" si="221"/>
        <v>8.3962253303463998E+156</v>
      </c>
      <c r="QQG53" s="708">
        <f t="shared" si="221"/>
        <v>8.6481120902567921E+156</v>
      </c>
      <c r="QQH53" s="708">
        <f t="shared" si="221"/>
        <v>8.9075554529644962E+156</v>
      </c>
      <c r="QQI53" s="708">
        <f t="shared" si="221"/>
        <v>9.1747821165534315E+156</v>
      </c>
      <c r="QQJ53" s="708">
        <f t="shared" si="221"/>
        <v>9.4500255800500347E+156</v>
      </c>
      <c r="QQK53" s="708">
        <f t="shared" si="221"/>
        <v>9.7335263474515366E+156</v>
      </c>
      <c r="QQL53" s="708">
        <f t="shared" si="221"/>
        <v>1.0025532137875082E+157</v>
      </c>
      <c r="QQM53" s="708">
        <f t="shared" si="221"/>
        <v>1.0326298102011335E+157</v>
      </c>
      <c r="QQN53" s="708">
        <f t="shared" si="221"/>
        <v>1.0636087045071675E+157</v>
      </c>
      <c r="QQO53" s="708">
        <f t="shared" si="221"/>
        <v>1.0955169656423826E+157</v>
      </c>
      <c r="QQP53" s="708">
        <f t="shared" si="221"/>
        <v>1.1283824746116541E+157</v>
      </c>
      <c r="QQQ53" s="708">
        <f t="shared" si="221"/>
        <v>1.1622339488500038E+157</v>
      </c>
      <c r="QQR53" s="708">
        <f t="shared" si="221"/>
        <v>1.1971009673155039E+157</v>
      </c>
      <c r="QQS53" s="708">
        <f t="shared" si="221"/>
        <v>1.2330139963349691E+157</v>
      </c>
      <c r="QQT53" s="708">
        <f t="shared" si="221"/>
        <v>1.2700044162250182E+157</v>
      </c>
      <c r="QQU53" s="708">
        <f t="shared" si="221"/>
        <v>1.3081045487117687E+157</v>
      </c>
      <c r="QQV53" s="708">
        <f t="shared" si="221"/>
        <v>1.3473476851731219E+157</v>
      </c>
      <c r="QQW53" s="708">
        <f t="shared" si="221"/>
        <v>1.3877681157283156E+157</v>
      </c>
      <c r="QQX53" s="708">
        <f t="shared" si="221"/>
        <v>1.4294011592001652E+157</v>
      </c>
      <c r="QQY53" s="708">
        <f t="shared" si="221"/>
        <v>1.4722831939761702E+157</v>
      </c>
      <c r="QQZ53" s="708">
        <f t="shared" si="221"/>
        <v>1.5164516897954553E+157</v>
      </c>
      <c r="QRA53" s="708">
        <f t="shared" si="221"/>
        <v>1.561945240489319E+157</v>
      </c>
      <c r="QRB53" s="708">
        <f t="shared" si="221"/>
        <v>1.6088035977039985E+157</v>
      </c>
      <c r="QRC53" s="708">
        <f t="shared" si="221"/>
        <v>1.6570677056351187E+157</v>
      </c>
      <c r="QRD53" s="708">
        <f t="shared" si="221"/>
        <v>1.7067797368041723E+157</v>
      </c>
      <c r="QRE53" s="708">
        <f t="shared" si="221"/>
        <v>1.7579831289082974E+157</v>
      </c>
      <c r="QRF53" s="708">
        <f t="shared" si="221"/>
        <v>1.8107226227755463E+157</v>
      </c>
      <c r="QRG53" s="708">
        <f t="shared" si="221"/>
        <v>1.8650443014588127E+157</v>
      </c>
      <c r="QRH53" s="708">
        <f t="shared" si="221"/>
        <v>1.9209956305025771E+157</v>
      </c>
      <c r="QRI53" s="708">
        <f t="shared" si="221"/>
        <v>1.9786254994176545E+157</v>
      </c>
      <c r="QRJ53" s="708">
        <f t="shared" si="221"/>
        <v>2.0379842644001842E+157</v>
      </c>
      <c r="QRK53" s="708">
        <f t="shared" si="221"/>
        <v>2.0991237923321899E+157</v>
      </c>
      <c r="QRL53" s="708">
        <f t="shared" si="221"/>
        <v>2.1620975061021557E+157</v>
      </c>
      <c r="QRM53" s="708">
        <f t="shared" si="221"/>
        <v>2.2269604312852205E+157</v>
      </c>
      <c r="QRN53" s="708">
        <f t="shared" ref="QRN53:QTY53" si="222">QRM53*$C$53</f>
        <v>2.2937692442237773E+157</v>
      </c>
      <c r="QRO53" s="708">
        <f t="shared" si="222"/>
        <v>2.3625823215504907E+157</v>
      </c>
      <c r="QRP53" s="708">
        <f t="shared" si="222"/>
        <v>2.4334597911970056E+157</v>
      </c>
      <c r="QRQ53" s="708">
        <f t="shared" si="222"/>
        <v>2.5064635849329158E+157</v>
      </c>
      <c r="QRR53" s="708">
        <f t="shared" si="222"/>
        <v>2.5816574924809032E+157</v>
      </c>
      <c r="QRS53" s="708">
        <f t="shared" si="222"/>
        <v>2.6591072172553305E+157</v>
      </c>
      <c r="QRT53" s="708">
        <f t="shared" si="222"/>
        <v>2.7388804337729906E+157</v>
      </c>
      <c r="QRU53" s="708">
        <f t="shared" si="222"/>
        <v>2.8210468467861801E+157</v>
      </c>
      <c r="QRV53" s="708">
        <f t="shared" si="222"/>
        <v>2.9056782521897656E+157</v>
      </c>
      <c r="QRW53" s="708">
        <f t="shared" si="222"/>
        <v>2.9928485997554588E+157</v>
      </c>
      <c r="QRX53" s="708">
        <f t="shared" si="222"/>
        <v>3.0826340577481226E+157</v>
      </c>
      <c r="QRY53" s="708">
        <f t="shared" si="222"/>
        <v>3.1751130794805662E+157</v>
      </c>
      <c r="QRZ53" s="708">
        <f t="shared" si="222"/>
        <v>3.2703664718649835E+157</v>
      </c>
      <c r="QSA53" s="708">
        <f t="shared" si="222"/>
        <v>3.3684774660209328E+157</v>
      </c>
      <c r="QSB53" s="708">
        <f t="shared" si="222"/>
        <v>3.4695317900015606E+157</v>
      </c>
      <c r="QSC53" s="708">
        <f t="shared" si="222"/>
        <v>3.5736177437016074E+157</v>
      </c>
      <c r="QSD53" s="708">
        <f t="shared" si="222"/>
        <v>3.6808262760126555E+157</v>
      </c>
      <c r="QSE53" s="708">
        <f t="shared" si="222"/>
        <v>3.7912510642930352E+157</v>
      </c>
      <c r="QSF53" s="708">
        <f t="shared" si="222"/>
        <v>3.9049885962218261E+157</v>
      </c>
      <c r="QSG53" s="708">
        <f t="shared" si="222"/>
        <v>4.0221382541084808E+157</v>
      </c>
      <c r="QSH53" s="708">
        <f t="shared" si="222"/>
        <v>4.1428024017317354E+157</v>
      </c>
      <c r="QSI53" s="708">
        <f t="shared" si="222"/>
        <v>4.2670864737836878E+157</v>
      </c>
      <c r="QSJ53" s="708">
        <f t="shared" si="222"/>
        <v>4.3950990679971986E+157</v>
      </c>
      <c r="QSK53" s="708">
        <f t="shared" si="222"/>
        <v>4.526952040037115E+157</v>
      </c>
      <c r="QSL53" s="708">
        <f t="shared" si="222"/>
        <v>4.6627606012382289E+157</v>
      </c>
      <c r="QSM53" s="708">
        <f t="shared" si="222"/>
        <v>4.8026434192753762E+157</v>
      </c>
      <c r="QSN53" s="708">
        <f t="shared" si="222"/>
        <v>4.9467227218536379E+157</v>
      </c>
      <c r="QSO53" s="708">
        <f t="shared" si="222"/>
        <v>5.0951244035092473E+157</v>
      </c>
      <c r="QSP53" s="708">
        <f t="shared" si="222"/>
        <v>5.247978135614525E+157</v>
      </c>
      <c r="QSQ53" s="708">
        <f t="shared" si="222"/>
        <v>5.4054174796829611E+157</v>
      </c>
      <c r="QSR53" s="708">
        <f t="shared" si="222"/>
        <v>5.5675800040734501E+157</v>
      </c>
      <c r="QSS53" s="708">
        <f t="shared" si="222"/>
        <v>5.734607404195654E+157</v>
      </c>
      <c r="QST53" s="708">
        <f t="shared" si="222"/>
        <v>5.906645626321524E+157</v>
      </c>
      <c r="QSU53" s="708">
        <f t="shared" si="222"/>
        <v>6.0838449951111702E+157</v>
      </c>
      <c r="QSV53" s="708">
        <f t="shared" si="222"/>
        <v>6.266360344964506E+157</v>
      </c>
      <c r="QSW53" s="708">
        <f t="shared" si="222"/>
        <v>6.4543511553134409E+157</v>
      </c>
      <c r="QSX53" s="708">
        <f t="shared" si="222"/>
        <v>6.647981689972844E+157</v>
      </c>
      <c r="QSY53" s="708">
        <f t="shared" si="222"/>
        <v>6.84742114067203E+157</v>
      </c>
      <c r="QSZ53" s="708">
        <f t="shared" si="222"/>
        <v>7.0528437748921911E+157</v>
      </c>
      <c r="QTA53" s="708">
        <f t="shared" si="222"/>
        <v>7.264429088138957E+157</v>
      </c>
      <c r="QTB53" s="708">
        <f t="shared" si="222"/>
        <v>7.4823619607831253E+157</v>
      </c>
      <c r="QTC53" s="708">
        <f t="shared" si="222"/>
        <v>7.7068328196066197E+157</v>
      </c>
      <c r="QTD53" s="708">
        <f t="shared" si="222"/>
        <v>7.9380378041948179E+157</v>
      </c>
      <c r="QTE53" s="708">
        <f t="shared" si="222"/>
        <v>8.1761789383206633E+157</v>
      </c>
      <c r="QTF53" s="708">
        <f t="shared" si="222"/>
        <v>8.4214643064702833E+157</v>
      </c>
      <c r="QTG53" s="708">
        <f t="shared" si="222"/>
        <v>8.6741082356643919E+157</v>
      </c>
      <c r="QTH53" s="708">
        <f t="shared" si="222"/>
        <v>8.9343314827343236E+157</v>
      </c>
      <c r="QTI53" s="708">
        <f t="shared" si="222"/>
        <v>9.2023614272163534E+157</v>
      </c>
      <c r="QTJ53" s="708">
        <f t="shared" si="222"/>
        <v>9.4784322700328442E+157</v>
      </c>
      <c r="QTK53" s="708">
        <f t="shared" si="222"/>
        <v>9.7627852381338294E+157</v>
      </c>
      <c r="QTL53" s="708">
        <f t="shared" si="222"/>
        <v>1.0055668795277845E+158</v>
      </c>
      <c r="QTM53" s="708">
        <f t="shared" si="222"/>
        <v>1.035733885913618E+158</v>
      </c>
      <c r="QTN53" s="708">
        <f t="shared" si="222"/>
        <v>1.0668059024910265E+158</v>
      </c>
      <c r="QTO53" s="708">
        <f t="shared" si="222"/>
        <v>1.0988100795657574E+158</v>
      </c>
      <c r="QTP53" s="708">
        <f t="shared" si="222"/>
        <v>1.13177438195273E+158</v>
      </c>
      <c r="QTQ53" s="708">
        <f t="shared" si="222"/>
        <v>1.1657276134113119E+158</v>
      </c>
      <c r="QTR53" s="708">
        <f t="shared" si="222"/>
        <v>1.2006994418136512E+158</v>
      </c>
      <c r="QTS53" s="708">
        <f t="shared" si="222"/>
        <v>1.2367204250680608E+158</v>
      </c>
      <c r="QTT53" s="708">
        <f t="shared" si="222"/>
        <v>1.2738220378201025E+158</v>
      </c>
      <c r="QTU53" s="708">
        <f t="shared" si="222"/>
        <v>1.3120366989547057E+158</v>
      </c>
      <c r="QTV53" s="708">
        <f t="shared" si="222"/>
        <v>1.351397799923347E+158</v>
      </c>
      <c r="QTW53" s="708">
        <f t="shared" si="222"/>
        <v>1.3919397339210475E+158</v>
      </c>
      <c r="QTX53" s="708">
        <f t="shared" si="222"/>
        <v>1.4336979259386788E+158</v>
      </c>
      <c r="QTY53" s="708">
        <f t="shared" si="222"/>
        <v>1.4767088637168392E+158</v>
      </c>
      <c r="QTZ53" s="708">
        <f t="shared" ref="QTZ53:QWK53" si="223">QTY53*$C$53</f>
        <v>1.5210101296283443E+158</v>
      </c>
      <c r="QUA53" s="708">
        <f t="shared" si="223"/>
        <v>1.5666404335171946E+158</v>
      </c>
      <c r="QUB53" s="708">
        <f t="shared" si="223"/>
        <v>1.6136396465227104E+158</v>
      </c>
      <c r="QUC53" s="708">
        <f t="shared" si="223"/>
        <v>1.6620488359183919E+158</v>
      </c>
      <c r="QUD53" s="708">
        <f t="shared" si="223"/>
        <v>1.7119103009959437E+158</v>
      </c>
      <c r="QUE53" s="708">
        <f t="shared" si="223"/>
        <v>1.7632676100258221E+158</v>
      </c>
      <c r="QUF53" s="708">
        <f t="shared" si="223"/>
        <v>1.816165638326597E+158</v>
      </c>
      <c r="QUG53" s="708">
        <f t="shared" si="223"/>
        <v>1.8706506074763949E+158</v>
      </c>
      <c r="QUH53" s="708">
        <f t="shared" si="223"/>
        <v>1.9267701257006869E+158</v>
      </c>
      <c r="QUI53" s="708">
        <f t="shared" si="223"/>
        <v>1.9845732294717076E+158</v>
      </c>
      <c r="QUJ53" s="708">
        <f t="shared" si="223"/>
        <v>2.0441104263558588E+158</v>
      </c>
      <c r="QUK53" s="708">
        <f t="shared" si="223"/>
        <v>2.1054337391465348E+158</v>
      </c>
      <c r="QUL53" s="708">
        <f t="shared" si="223"/>
        <v>2.1685967513209308E+158</v>
      </c>
      <c r="QUM53" s="708">
        <f t="shared" si="223"/>
        <v>2.2336546538605586E+158</v>
      </c>
      <c r="QUN53" s="708">
        <f t="shared" si="223"/>
        <v>2.3006642934763754E+158</v>
      </c>
      <c r="QUO53" s="708">
        <f t="shared" si="223"/>
        <v>2.3696842222806666E+158</v>
      </c>
      <c r="QUP53" s="708">
        <f t="shared" si="223"/>
        <v>2.4407747489490865E+158</v>
      </c>
      <c r="QUQ53" s="708">
        <f t="shared" si="223"/>
        <v>2.513997991417559E+158</v>
      </c>
      <c r="QUR53" s="708">
        <f t="shared" si="223"/>
        <v>2.5894179311600859E+158</v>
      </c>
      <c r="QUS53" s="708">
        <f t="shared" si="223"/>
        <v>2.6671004690948886E+158</v>
      </c>
      <c r="QUT53" s="708">
        <f t="shared" si="223"/>
        <v>2.7471134831677351E+158</v>
      </c>
      <c r="QUU53" s="708">
        <f t="shared" si="223"/>
        <v>2.8295268876627674E+158</v>
      </c>
      <c r="QUV53" s="708">
        <f t="shared" si="223"/>
        <v>2.9144126942926507E+158</v>
      </c>
      <c r="QUW53" s="708">
        <f t="shared" si="223"/>
        <v>3.0018450751214305E+158</v>
      </c>
      <c r="QUX53" s="708">
        <f t="shared" si="223"/>
        <v>3.0919004273750737E+158</v>
      </c>
      <c r="QUY53" s="708">
        <f t="shared" si="223"/>
        <v>3.1846574401963259E+158</v>
      </c>
      <c r="QUZ53" s="708">
        <f t="shared" si="223"/>
        <v>3.2801971634022156E+158</v>
      </c>
      <c r="QVA53" s="708">
        <f t="shared" si="223"/>
        <v>3.3786030783042821E+158</v>
      </c>
      <c r="QVB53" s="708">
        <f t="shared" si="223"/>
        <v>3.4799611706534109E+158</v>
      </c>
      <c r="QVC53" s="708">
        <f t="shared" si="223"/>
        <v>3.5843600057730132E+158</v>
      </c>
      <c r="QVD53" s="708">
        <f t="shared" si="223"/>
        <v>3.6918908059462037E+158</v>
      </c>
      <c r="QVE53" s="708">
        <f t="shared" si="223"/>
        <v>3.8026475301245899E+158</v>
      </c>
      <c r="QVF53" s="708">
        <f t="shared" si="223"/>
        <v>3.9167269560283276E+158</v>
      </c>
      <c r="QVG53" s="708">
        <f t="shared" si="223"/>
        <v>4.0342287647091773E+158</v>
      </c>
      <c r="QVH53" s="708">
        <f t="shared" si="223"/>
        <v>4.1552556276504527E+158</v>
      </c>
      <c r="QVI53" s="708">
        <f t="shared" si="223"/>
        <v>4.2799132964799665E+158</v>
      </c>
      <c r="QVJ53" s="708">
        <f t="shared" si="223"/>
        <v>4.4083106953743652E+158</v>
      </c>
      <c r="QVK53" s="708">
        <f t="shared" si="223"/>
        <v>4.5405600162355964E+158</v>
      </c>
      <c r="QVL53" s="708">
        <f t="shared" si="223"/>
        <v>4.6767768167226643E+158</v>
      </c>
      <c r="QVM53" s="708">
        <f t="shared" si="223"/>
        <v>4.8170801212243443E+158</v>
      </c>
      <c r="QVN53" s="708">
        <f t="shared" si="223"/>
        <v>4.9615925248610748E+158</v>
      </c>
      <c r="QVO53" s="708">
        <f t="shared" si="223"/>
        <v>5.1104403006069071E+158</v>
      </c>
      <c r="QVP53" s="708">
        <f t="shared" si="223"/>
        <v>5.2637535096251147E+158</v>
      </c>
      <c r="QVQ53" s="708">
        <f t="shared" si="223"/>
        <v>5.4216661149138686E+158</v>
      </c>
      <c r="QVR53" s="708">
        <f t="shared" si="223"/>
        <v>5.5843160983612846E+158</v>
      </c>
      <c r="QVS53" s="708">
        <f t="shared" si="223"/>
        <v>5.7518455813121238E+158</v>
      </c>
      <c r="QVT53" s="708">
        <f t="shared" si="223"/>
        <v>5.9244009487514877E+158</v>
      </c>
      <c r="QVU53" s="708">
        <f t="shared" si="223"/>
        <v>6.1021329772140326E+158</v>
      </c>
      <c r="QVV53" s="708">
        <f t="shared" si="223"/>
        <v>6.2851969665304542E+158</v>
      </c>
      <c r="QVW53" s="708">
        <f t="shared" si="223"/>
        <v>6.4737528755263677E+158</v>
      </c>
      <c r="QVX53" s="708">
        <f t="shared" si="223"/>
        <v>6.6679654617921584E+158</v>
      </c>
      <c r="QVY53" s="708">
        <f t="shared" si="223"/>
        <v>6.8680044256459235E+158</v>
      </c>
      <c r="QVZ53" s="708">
        <f t="shared" si="223"/>
        <v>7.0740445584153015E+158</v>
      </c>
      <c r="QWA53" s="708">
        <f t="shared" si="223"/>
        <v>7.2862658951677603E+158</v>
      </c>
      <c r="QWB53" s="708">
        <f t="shared" si="223"/>
        <v>7.5048538720227932E+158</v>
      </c>
      <c r="QWC53" s="708">
        <f t="shared" si="223"/>
        <v>7.7299994881834772E+158</v>
      </c>
      <c r="QWD53" s="708">
        <f t="shared" si="223"/>
        <v>7.9618994728289813E+158</v>
      </c>
      <c r="QWE53" s="708">
        <f t="shared" si="223"/>
        <v>8.2007564570138512E+158</v>
      </c>
      <c r="QWF53" s="708">
        <f t="shared" si="223"/>
        <v>8.446779150724267E+158</v>
      </c>
      <c r="QWG53" s="708">
        <f t="shared" si="223"/>
        <v>8.7001825252459955E+158</v>
      </c>
      <c r="QWH53" s="708">
        <f t="shared" si="223"/>
        <v>8.961188001003376E+158</v>
      </c>
      <c r="QWI53" s="708">
        <f t="shared" si="223"/>
        <v>9.2300236410334778E+158</v>
      </c>
      <c r="QWJ53" s="708">
        <f t="shared" si="223"/>
        <v>9.5069243502644823E+158</v>
      </c>
      <c r="QWK53" s="708">
        <f t="shared" si="223"/>
        <v>9.7921320807724165E+158</v>
      </c>
      <c r="QWL53" s="708">
        <f t="shared" ref="QWL53:QYW53" si="224">QWK53*$C$53</f>
        <v>1.0085896043195589E+159</v>
      </c>
      <c r="QWM53" s="708">
        <f t="shared" si="224"/>
        <v>1.0388472924491456E+159</v>
      </c>
      <c r="QWN53" s="708">
        <f t="shared" si="224"/>
        <v>1.07001271122262E+159</v>
      </c>
      <c r="QWO53" s="708">
        <f t="shared" si="224"/>
        <v>1.1021130925592986E+159</v>
      </c>
      <c r="QWP53" s="708">
        <f t="shared" si="224"/>
        <v>1.1351764853360776E+159</v>
      </c>
      <c r="QWQ53" s="708">
        <f t="shared" si="224"/>
        <v>1.1692317798961599E+159</v>
      </c>
      <c r="QWR53" s="708">
        <f t="shared" si="224"/>
        <v>1.2043087332930447E+159</v>
      </c>
      <c r="QWS53" s="708">
        <f t="shared" si="224"/>
        <v>1.2404379952918361E+159</v>
      </c>
      <c r="QWT53" s="708">
        <f t="shared" si="224"/>
        <v>1.2776511351505912E+159</v>
      </c>
      <c r="QWU53" s="708">
        <f t="shared" si="224"/>
        <v>1.3159806692051089E+159</v>
      </c>
      <c r="QWV53" s="708">
        <f t="shared" si="224"/>
        <v>1.3554600892812622E+159</v>
      </c>
      <c r="QWW53" s="708">
        <f t="shared" si="224"/>
        <v>1.3961238919597001E+159</v>
      </c>
      <c r="QWX53" s="708">
        <f t="shared" si="224"/>
        <v>1.438007608718491E+159</v>
      </c>
      <c r="QWY53" s="708">
        <f t="shared" si="224"/>
        <v>1.4811478369800459E+159</v>
      </c>
      <c r="QWZ53" s="708">
        <f t="shared" si="224"/>
        <v>1.5255822720894473E+159</v>
      </c>
      <c r="QXA53" s="708">
        <f t="shared" si="224"/>
        <v>1.5713497402521308E+159</v>
      </c>
      <c r="QXB53" s="708">
        <f t="shared" si="224"/>
        <v>1.6184902324596948E+159</v>
      </c>
      <c r="QXC53" s="708">
        <f t="shared" si="224"/>
        <v>1.6670449394334857E+159</v>
      </c>
      <c r="QXD53" s="708">
        <f t="shared" si="224"/>
        <v>1.7170562876164903E+159</v>
      </c>
      <c r="QXE53" s="708">
        <f t="shared" si="224"/>
        <v>1.7685679762449851E+159</v>
      </c>
      <c r="QXF53" s="708">
        <f t="shared" si="224"/>
        <v>1.8216250155323345E+159</v>
      </c>
      <c r="QXG53" s="708">
        <f t="shared" si="224"/>
        <v>1.8762737659983047E+159</v>
      </c>
      <c r="QXH53" s="708">
        <f t="shared" si="224"/>
        <v>1.9325619789782541E+159</v>
      </c>
      <c r="QXI53" s="708">
        <f t="shared" si="224"/>
        <v>1.9905388383476017E+159</v>
      </c>
      <c r="QXJ53" s="708">
        <f t="shared" si="224"/>
        <v>2.0502550034980298E+159</v>
      </c>
      <c r="QXK53" s="708">
        <f t="shared" si="224"/>
        <v>2.1117626536029706E+159</v>
      </c>
      <c r="QXL53" s="708">
        <f t="shared" si="224"/>
        <v>2.1751155332110599E+159</v>
      </c>
      <c r="QXM53" s="708">
        <f t="shared" si="224"/>
        <v>2.2403689992073916E+159</v>
      </c>
      <c r="QXN53" s="708">
        <f t="shared" si="224"/>
        <v>2.3075800691836136E+159</v>
      </c>
      <c r="QXO53" s="708">
        <f t="shared" si="224"/>
        <v>2.3768074712591219E+159</v>
      </c>
      <c r="QXP53" s="708">
        <f t="shared" si="224"/>
        <v>2.4481116953968957E+159</v>
      </c>
      <c r="QXQ53" s="708">
        <f t="shared" si="224"/>
        <v>2.5215550462588025E+159</v>
      </c>
      <c r="QXR53" s="708">
        <f t="shared" si="224"/>
        <v>2.5972016976465665E+159</v>
      </c>
      <c r="QXS53" s="708">
        <f t="shared" si="224"/>
        <v>2.6751177485759635E+159</v>
      </c>
      <c r="QXT53" s="708">
        <f t="shared" si="224"/>
        <v>2.7553712810332426E+159</v>
      </c>
      <c r="QXU53" s="708">
        <f t="shared" si="224"/>
        <v>2.8380324194642399E+159</v>
      </c>
      <c r="QXV53" s="708">
        <f t="shared" si="224"/>
        <v>2.9231733920481673E+159</v>
      </c>
      <c r="QXW53" s="708">
        <f t="shared" si="224"/>
        <v>3.0108685938096122E+159</v>
      </c>
      <c r="QXX53" s="708">
        <f t="shared" si="224"/>
        <v>3.1011946516239005E+159</v>
      </c>
      <c r="QXY53" s="708">
        <f t="shared" si="224"/>
        <v>3.1942304911726176E+159</v>
      </c>
      <c r="QXZ53" s="708">
        <f t="shared" si="224"/>
        <v>3.290057405907796E+159</v>
      </c>
      <c r="QYA53" s="708">
        <f t="shared" si="224"/>
        <v>3.38875912808503E+159</v>
      </c>
      <c r="QYB53" s="708">
        <f t="shared" si="224"/>
        <v>3.4904219019275809E+159</v>
      </c>
      <c r="QYC53" s="708">
        <f t="shared" si="224"/>
        <v>3.5951345589854084E+159</v>
      </c>
      <c r="QYD53" s="708">
        <f t="shared" si="224"/>
        <v>3.7029885957549706E+159</v>
      </c>
      <c r="QYE53" s="708">
        <f t="shared" si="224"/>
        <v>3.8140782536276195E+159</v>
      </c>
      <c r="QYF53" s="708">
        <f t="shared" si="224"/>
        <v>3.9285006012364479E+159</v>
      </c>
      <c r="QYG53" s="708">
        <f t="shared" si="224"/>
        <v>4.0463556192735413E+159</v>
      </c>
      <c r="QYH53" s="708">
        <f t="shared" si="224"/>
        <v>4.1677462878517478E+159</v>
      </c>
      <c r="QYI53" s="708">
        <f t="shared" si="224"/>
        <v>4.2927786764873002E+159</v>
      </c>
      <c r="QYJ53" s="708">
        <f t="shared" si="224"/>
        <v>4.4215620367819191E+159</v>
      </c>
      <c r="QYK53" s="708">
        <f t="shared" si="224"/>
        <v>4.5542088978853765E+159</v>
      </c>
      <c r="QYL53" s="708">
        <f t="shared" si="224"/>
        <v>4.6908351648219382E+159</v>
      </c>
      <c r="QYM53" s="708">
        <f t="shared" si="224"/>
        <v>4.8315602197665969E+159</v>
      </c>
      <c r="QYN53" s="708">
        <f t="shared" si="224"/>
        <v>4.9765070263595948E+159</v>
      </c>
      <c r="QYO53" s="708">
        <f t="shared" si="224"/>
        <v>5.1258022371503828E+159</v>
      </c>
      <c r="QYP53" s="708">
        <f t="shared" si="224"/>
        <v>5.2795763042648946E+159</v>
      </c>
      <c r="QYQ53" s="708">
        <f t="shared" si="224"/>
        <v>5.4379635933928415E+159</v>
      </c>
      <c r="QYR53" s="708">
        <f t="shared" si="224"/>
        <v>5.6011025011946269E+159</v>
      </c>
      <c r="QYS53" s="708">
        <f t="shared" si="224"/>
        <v>5.7691355762304655E+159</v>
      </c>
      <c r="QYT53" s="708">
        <f t="shared" si="224"/>
        <v>5.94220964351738E+159</v>
      </c>
      <c r="QYU53" s="708">
        <f t="shared" si="224"/>
        <v>6.1204759328229015E+159</v>
      </c>
      <c r="QYV53" s="708">
        <f t="shared" si="224"/>
        <v>6.3040902108075884E+159</v>
      </c>
      <c r="QYW53" s="708">
        <f t="shared" si="224"/>
        <v>6.4932129171318159E+159</v>
      </c>
      <c r="QYX53" s="708">
        <f t="shared" ref="QYX53:RBI53" si="225">QYW53*$C$53</f>
        <v>6.6880093046457705E+159</v>
      </c>
      <c r="QYY53" s="708">
        <f t="shared" si="225"/>
        <v>6.8886495837851438E+159</v>
      </c>
      <c r="QYZ53" s="708">
        <f t="shared" si="225"/>
        <v>7.0953090712986983E+159</v>
      </c>
      <c r="QZA53" s="708">
        <f t="shared" si="225"/>
        <v>7.3081683434376597E+159</v>
      </c>
      <c r="QZB53" s="708">
        <f t="shared" si="225"/>
        <v>7.5274133937407899E+159</v>
      </c>
      <c r="QZC53" s="708">
        <f t="shared" si="225"/>
        <v>7.7532357955530142E+159</v>
      </c>
      <c r="QZD53" s="708">
        <f t="shared" si="225"/>
        <v>7.9858328694196049E+159</v>
      </c>
      <c r="QZE53" s="708">
        <f t="shared" si="225"/>
        <v>8.2254078555021939E+159</v>
      </c>
      <c r="QZF53" s="708">
        <f t="shared" si="225"/>
        <v>8.4721700911672608E+159</v>
      </c>
      <c r="QZG53" s="708">
        <f t="shared" si="225"/>
        <v>8.726335193902279E+159</v>
      </c>
      <c r="QZH53" s="708">
        <f t="shared" si="225"/>
        <v>8.9881252497193478E+159</v>
      </c>
      <c r="QZI53" s="708">
        <f t="shared" si="225"/>
        <v>9.2577690072109277E+159</v>
      </c>
      <c r="QZJ53" s="708">
        <f t="shared" si="225"/>
        <v>9.5355020774272562E+159</v>
      </c>
      <c r="QZK53" s="708">
        <f t="shared" si="225"/>
        <v>9.8215671397500734E+159</v>
      </c>
      <c r="QZL53" s="708">
        <f t="shared" si="225"/>
        <v>1.0116214153942576E+160</v>
      </c>
      <c r="QZM53" s="708">
        <f t="shared" si="225"/>
        <v>1.0419700578560853E+160</v>
      </c>
      <c r="QZN53" s="708">
        <f t="shared" si="225"/>
        <v>1.0732291595917678E+160</v>
      </c>
      <c r="QZO53" s="708">
        <f t="shared" si="225"/>
        <v>1.1054260343795209E+160</v>
      </c>
      <c r="QZP53" s="708">
        <f t="shared" si="225"/>
        <v>1.1385888154109065E+160</v>
      </c>
      <c r="QZQ53" s="708">
        <f t="shared" si="225"/>
        <v>1.1727464798732338E+160</v>
      </c>
      <c r="QZR53" s="708">
        <f t="shared" si="225"/>
        <v>1.2079288742694307E+160</v>
      </c>
      <c r="QZS53" s="708">
        <f t="shared" si="225"/>
        <v>1.2441667404975137E+160</v>
      </c>
      <c r="QZT53" s="708">
        <f t="shared" si="225"/>
        <v>1.2814917427124392E+160</v>
      </c>
      <c r="QZU53" s="708">
        <f t="shared" si="225"/>
        <v>1.3199364949938124E+160</v>
      </c>
      <c r="QZV53" s="708">
        <f t="shared" si="225"/>
        <v>1.3595345898436268E+160</v>
      </c>
      <c r="QZW53" s="708">
        <f t="shared" si="225"/>
        <v>1.4003206275389356E+160</v>
      </c>
      <c r="QZX53" s="708">
        <f t="shared" si="225"/>
        <v>1.4423302463651037E+160</v>
      </c>
      <c r="QZY53" s="708">
        <f t="shared" si="225"/>
        <v>1.4856001537560568E+160</v>
      </c>
      <c r="QZZ53" s="708">
        <f t="shared" si="225"/>
        <v>1.5301681583687385E+160</v>
      </c>
      <c r="RAA53" s="708">
        <f t="shared" si="225"/>
        <v>1.5760732031198008E+160</v>
      </c>
      <c r="RAB53" s="708">
        <f t="shared" si="225"/>
        <v>1.6233553992133948E+160</v>
      </c>
      <c r="RAC53" s="708">
        <f t="shared" si="225"/>
        <v>1.6720560611897967E+160</v>
      </c>
      <c r="RAD53" s="708">
        <f t="shared" si="225"/>
        <v>1.7222177430254907E+160</v>
      </c>
      <c r="RAE53" s="708">
        <f t="shared" si="225"/>
        <v>1.7738842753162554E+160</v>
      </c>
      <c r="RAF53" s="708">
        <f t="shared" si="225"/>
        <v>1.8271008035757433E+160</v>
      </c>
      <c r="RAG53" s="708">
        <f t="shared" si="225"/>
        <v>1.8819138276830156E+160</v>
      </c>
      <c r="RAH53" s="708">
        <f t="shared" si="225"/>
        <v>1.9383712425135063E+160</v>
      </c>
      <c r="RAI53" s="708">
        <f t="shared" si="225"/>
        <v>1.9965223797889114E+160</v>
      </c>
      <c r="RAJ53" s="708">
        <f t="shared" si="225"/>
        <v>2.056418051182579E+160</v>
      </c>
      <c r="RAK53" s="708">
        <f t="shared" si="225"/>
        <v>2.1181105927180564E+160</v>
      </c>
      <c r="RAL53" s="708">
        <f t="shared" si="225"/>
        <v>2.1816539104995981E+160</v>
      </c>
      <c r="RAM53" s="708">
        <f t="shared" si="225"/>
        <v>2.2471035278145861E+160</v>
      </c>
      <c r="RAN53" s="708">
        <f t="shared" si="225"/>
        <v>2.3145166336490238E+160</v>
      </c>
      <c r="RAO53" s="708">
        <f t="shared" si="225"/>
        <v>2.3839521326584945E+160</v>
      </c>
      <c r="RAP53" s="708">
        <f t="shared" si="225"/>
        <v>2.4554706966382493E+160</v>
      </c>
      <c r="RAQ53" s="708">
        <f t="shared" si="225"/>
        <v>2.5291348175373969E+160</v>
      </c>
      <c r="RAR53" s="708">
        <f t="shared" si="225"/>
        <v>2.6050088620635189E+160</v>
      </c>
      <c r="RAS53" s="708">
        <f t="shared" si="225"/>
        <v>2.6831591279254245E+160</v>
      </c>
      <c r="RAT53" s="708">
        <f t="shared" si="225"/>
        <v>2.7636539017631873E+160</v>
      </c>
      <c r="RAU53" s="708">
        <f t="shared" si="225"/>
        <v>2.8465635188160829E+160</v>
      </c>
      <c r="RAV53" s="708">
        <f t="shared" si="225"/>
        <v>2.9319604243805658E+160</v>
      </c>
      <c r="RAW53" s="708">
        <f t="shared" si="225"/>
        <v>3.0199192371119829E+160</v>
      </c>
      <c r="RAX53" s="708">
        <f t="shared" si="225"/>
        <v>3.1105168142253426E+160</v>
      </c>
      <c r="RAY53" s="708">
        <f t="shared" si="225"/>
        <v>3.2038323186521032E+160</v>
      </c>
      <c r="RAZ53" s="708">
        <f t="shared" si="225"/>
        <v>3.2999472882116665E+160</v>
      </c>
      <c r="RBA53" s="708">
        <f t="shared" si="225"/>
        <v>3.3989457068580169E+160</v>
      </c>
      <c r="RBB53" s="708">
        <f t="shared" si="225"/>
        <v>3.5009140780637576E+160</v>
      </c>
      <c r="RBC53" s="708">
        <f t="shared" si="225"/>
        <v>3.6059415004056706E+160</v>
      </c>
      <c r="RBD53" s="708">
        <f t="shared" si="225"/>
        <v>3.7141197454178407E+160</v>
      </c>
      <c r="RBE53" s="708">
        <f t="shared" si="225"/>
        <v>3.8255433377803761E+160</v>
      </c>
      <c r="RBF53" s="708">
        <f t="shared" si="225"/>
        <v>3.9403096379137872E+160</v>
      </c>
      <c r="RBG53" s="708">
        <f t="shared" si="225"/>
        <v>4.058518927051201E+160</v>
      </c>
      <c r="RBH53" s="708">
        <f t="shared" si="225"/>
        <v>4.1802744948627371E+160</v>
      </c>
      <c r="RBI53" s="708">
        <f t="shared" si="225"/>
        <v>4.3056827297086191E+160</v>
      </c>
      <c r="RBJ53" s="708">
        <f t="shared" ref="RBJ53:RDU53" si="226">RBI53*$C$53</f>
        <v>4.4348532115998777E+160</v>
      </c>
      <c r="RBK53" s="708">
        <f t="shared" si="226"/>
        <v>4.5678988079478744E+160</v>
      </c>
      <c r="RBL53" s="708">
        <f t="shared" si="226"/>
        <v>4.704935772186311E+160</v>
      </c>
      <c r="RBM53" s="708">
        <f t="shared" si="226"/>
        <v>4.8460838453519003E+160</v>
      </c>
      <c r="RBN53" s="708">
        <f t="shared" si="226"/>
        <v>4.9914663607124573E+160</v>
      </c>
      <c r="RBO53" s="708">
        <f t="shared" si="226"/>
        <v>5.1412103515338313E+160</v>
      </c>
      <c r="RBP53" s="708">
        <f t="shared" si="226"/>
        <v>5.2954466620798462E+160</v>
      </c>
      <c r="RBQ53" s="708">
        <f t="shared" si="226"/>
        <v>5.4543100619422415E+160</v>
      </c>
      <c r="RBR53" s="708">
        <f t="shared" si="226"/>
        <v>5.6179393638005089E+160</v>
      </c>
      <c r="RBS53" s="708">
        <f t="shared" si="226"/>
        <v>5.7864775447145243E+160</v>
      </c>
      <c r="RBT53" s="708">
        <f t="shared" si="226"/>
        <v>5.9600718710559603E+160</v>
      </c>
      <c r="RBU53" s="708">
        <f t="shared" si="226"/>
        <v>6.1388740271876398E+160</v>
      </c>
      <c r="RBV53" s="708">
        <f t="shared" si="226"/>
        <v>6.3230402480032693E+160</v>
      </c>
      <c r="RBW53" s="708">
        <f t="shared" si="226"/>
        <v>6.512731455443368E+160</v>
      </c>
      <c r="RBX53" s="708">
        <f t="shared" si="226"/>
        <v>6.7081133991066693E+160</v>
      </c>
      <c r="RBY53" s="708">
        <f t="shared" si="226"/>
        <v>6.90935680107987E+160</v>
      </c>
      <c r="RBZ53" s="708">
        <f t="shared" si="226"/>
        <v>7.1166375051122664E+160</v>
      </c>
      <c r="RCA53" s="708">
        <f t="shared" si="226"/>
        <v>7.3301366302656348E+160</v>
      </c>
      <c r="RCB53" s="708">
        <f t="shared" si="226"/>
        <v>7.5500407291736038E+160</v>
      </c>
      <c r="RCC53" s="708">
        <f t="shared" si="226"/>
        <v>7.7765419510488127E+160</v>
      </c>
      <c r="RCD53" s="708">
        <f t="shared" si="226"/>
        <v>8.0098382095802778E+160</v>
      </c>
      <c r="RCE53" s="708">
        <f t="shared" si="226"/>
        <v>8.2501333558676859E+160</v>
      </c>
      <c r="RCF53" s="708">
        <f t="shared" si="226"/>
        <v>8.4976373565437164E+160</v>
      </c>
      <c r="RCG53" s="708">
        <f t="shared" si="226"/>
        <v>8.7525664772400278E+160</v>
      </c>
      <c r="RCH53" s="708">
        <f t="shared" si="226"/>
        <v>9.0151434715572289E+160</v>
      </c>
      <c r="RCI53" s="708">
        <f t="shared" si="226"/>
        <v>9.2855977757039455E+160</v>
      </c>
      <c r="RCJ53" s="708">
        <f t="shared" si="226"/>
        <v>9.5641657089750638E+160</v>
      </c>
      <c r="RCK53" s="708">
        <f t="shared" si="226"/>
        <v>9.8510906802443163E+160</v>
      </c>
      <c r="RCL53" s="708">
        <f t="shared" si="226"/>
        <v>1.0146623400651645E+161</v>
      </c>
      <c r="RCM53" s="708">
        <f t="shared" si="226"/>
        <v>1.0451022102671195E+161</v>
      </c>
      <c r="RCN53" s="708">
        <f t="shared" si="226"/>
        <v>1.0764552765751331E+161</v>
      </c>
      <c r="RCO53" s="708">
        <f t="shared" si="226"/>
        <v>1.1087489348723871E+161</v>
      </c>
      <c r="RCP53" s="708">
        <f t="shared" si="226"/>
        <v>1.1420114029185588E+161</v>
      </c>
      <c r="RCQ53" s="708">
        <f t="shared" si="226"/>
        <v>1.1762717450061155E+161</v>
      </c>
      <c r="RCR53" s="708">
        <f t="shared" si="226"/>
        <v>1.2115598973562989E+161</v>
      </c>
      <c r="RCS53" s="708">
        <f t="shared" si="226"/>
        <v>1.2479066942769879E+161</v>
      </c>
      <c r="RCT53" s="708">
        <f t="shared" si="226"/>
        <v>1.2853438951052975E+161</v>
      </c>
      <c r="RCU53" s="708">
        <f t="shared" si="226"/>
        <v>1.3239042119584564E+161</v>
      </c>
      <c r="RCV53" s="708">
        <f t="shared" si="226"/>
        <v>1.3636213383172101E+161</v>
      </c>
      <c r="RCW53" s="708">
        <f t="shared" si="226"/>
        <v>1.4045299784667266E+161</v>
      </c>
      <c r="RCX53" s="708">
        <f t="shared" si="226"/>
        <v>1.4466658778207283E+161</v>
      </c>
      <c r="RCY53" s="708">
        <f t="shared" si="226"/>
        <v>1.4900658541553502E+161</v>
      </c>
      <c r="RCZ53" s="708">
        <f t="shared" si="226"/>
        <v>1.5347678297800108E+161</v>
      </c>
      <c r="RDA53" s="708">
        <f t="shared" si="226"/>
        <v>1.5808108646734111E+161</v>
      </c>
      <c r="RDB53" s="708">
        <f t="shared" si="226"/>
        <v>1.6282351906136134E+161</v>
      </c>
      <c r="RDC53" s="708">
        <f t="shared" si="226"/>
        <v>1.6770822463320218E+161</v>
      </c>
      <c r="RDD53" s="708">
        <f t="shared" si="226"/>
        <v>1.7273947137219826E+161</v>
      </c>
      <c r="RDE53" s="708">
        <f t="shared" si="226"/>
        <v>1.7792165551336421E+161</v>
      </c>
      <c r="RDF53" s="708">
        <f t="shared" si="226"/>
        <v>1.8325930517876515E+161</v>
      </c>
      <c r="RDG53" s="708">
        <f t="shared" si="226"/>
        <v>1.887570843341281E+161</v>
      </c>
      <c r="RDH53" s="708">
        <f t="shared" si="226"/>
        <v>1.9441979686415194E+161</v>
      </c>
      <c r="RDI53" s="708">
        <f t="shared" si="226"/>
        <v>2.002523907700765E+161</v>
      </c>
      <c r="RDJ53" s="708">
        <f t="shared" si="226"/>
        <v>2.0625996249317882E+161</v>
      </c>
      <c r="RDK53" s="708">
        <f t="shared" si="226"/>
        <v>2.1244776136797417E+161</v>
      </c>
      <c r="RDL53" s="708">
        <f t="shared" si="226"/>
        <v>2.1882119420901341E+161</v>
      </c>
      <c r="RDM53" s="708">
        <f t="shared" si="226"/>
        <v>2.253858300352838E+161</v>
      </c>
      <c r="RDN53" s="708">
        <f t="shared" si="226"/>
        <v>2.3214740493634231E+161</v>
      </c>
      <c r="RDO53" s="708">
        <f t="shared" si="226"/>
        <v>2.3911182708443258E+161</v>
      </c>
      <c r="RDP53" s="708">
        <f t="shared" si="226"/>
        <v>2.4628518189696555E+161</v>
      </c>
      <c r="RDQ53" s="708">
        <f t="shared" si="226"/>
        <v>2.5367373735387452E+161</v>
      </c>
      <c r="RDR53" s="708">
        <f t="shared" si="226"/>
        <v>2.6128394947449075E+161</v>
      </c>
      <c r="RDS53" s="708">
        <f t="shared" si="226"/>
        <v>2.6912246795872547E+161</v>
      </c>
      <c r="RDT53" s="708">
        <f t="shared" si="226"/>
        <v>2.7719614199748724E+161</v>
      </c>
      <c r="RDU53" s="708">
        <f t="shared" si="226"/>
        <v>2.8551202625741185E+161</v>
      </c>
      <c r="RDV53" s="708">
        <f t="shared" ref="RDV53:RGG53" si="227">RDU53*$C$53</f>
        <v>2.9407738704513424E+161</v>
      </c>
      <c r="RDW53" s="708">
        <f t="shared" si="227"/>
        <v>3.0289970865648825E+161</v>
      </c>
      <c r="RDX53" s="708">
        <f t="shared" si="227"/>
        <v>3.1198669991618292E+161</v>
      </c>
      <c r="RDY53" s="708">
        <f t="shared" si="227"/>
        <v>3.2134630091366842E+161</v>
      </c>
      <c r="RDZ53" s="708">
        <f t="shared" si="227"/>
        <v>3.3098668994107846E+161</v>
      </c>
      <c r="REA53" s="708">
        <f t="shared" si="227"/>
        <v>3.4091629063931081E+161</v>
      </c>
      <c r="REB53" s="708">
        <f t="shared" si="227"/>
        <v>3.5114377935849014E+161</v>
      </c>
      <c r="REC53" s="708">
        <f t="shared" si="227"/>
        <v>3.6167809273924487E+161</v>
      </c>
      <c r="RED53" s="708">
        <f t="shared" si="227"/>
        <v>3.7252843552142225E+161</v>
      </c>
      <c r="REE53" s="708">
        <f t="shared" si="227"/>
        <v>3.8370428858706491E+161</v>
      </c>
      <c r="REF53" s="708">
        <f t="shared" si="227"/>
        <v>3.9521541724467685E+161</v>
      </c>
      <c r="REG53" s="708">
        <f t="shared" si="227"/>
        <v>4.0707187976201715E+161</v>
      </c>
      <c r="REH53" s="708">
        <f t="shared" si="227"/>
        <v>4.1928403615487768E+161</v>
      </c>
      <c r="REI53" s="708">
        <f t="shared" si="227"/>
        <v>4.31862557239524E+161</v>
      </c>
      <c r="REJ53" s="708">
        <f t="shared" si="227"/>
        <v>4.4481843395670974E+161</v>
      </c>
      <c r="REK53" s="708">
        <f t="shared" si="227"/>
        <v>4.5816298697541099E+161</v>
      </c>
      <c r="REL53" s="708">
        <f t="shared" si="227"/>
        <v>4.7190787658467334E+161</v>
      </c>
      <c r="REM53" s="708">
        <f t="shared" si="227"/>
        <v>4.8606511288221353E+161</v>
      </c>
      <c r="REN53" s="708">
        <f t="shared" si="227"/>
        <v>5.0064706626867995E+161</v>
      </c>
      <c r="REO53" s="708">
        <f t="shared" si="227"/>
        <v>5.1566647825674038E+161</v>
      </c>
      <c r="REP53" s="708">
        <f t="shared" si="227"/>
        <v>5.3113647260444263E+161</v>
      </c>
      <c r="REQ53" s="708">
        <f t="shared" si="227"/>
        <v>5.4707056678257596E+161</v>
      </c>
      <c r="RER53" s="708">
        <f t="shared" si="227"/>
        <v>5.6348268378605325E+161</v>
      </c>
      <c r="RES53" s="708">
        <f t="shared" si="227"/>
        <v>5.8038716429963481E+161</v>
      </c>
      <c r="RET53" s="708">
        <f t="shared" si="227"/>
        <v>5.9779877922862392E+161</v>
      </c>
      <c r="REU53" s="708">
        <f t="shared" si="227"/>
        <v>6.157327426054827E+161</v>
      </c>
      <c r="REV53" s="708">
        <f t="shared" si="227"/>
        <v>6.3420472488364721E+161</v>
      </c>
      <c r="REW53" s="708">
        <f t="shared" si="227"/>
        <v>6.5323086663015664E+161</v>
      </c>
      <c r="REX53" s="708">
        <f t="shared" si="227"/>
        <v>6.7282779262906139E+161</v>
      </c>
      <c r="REY53" s="708">
        <f t="shared" si="227"/>
        <v>6.9301262640793326E+161</v>
      </c>
      <c r="REZ53" s="708">
        <f t="shared" si="227"/>
        <v>7.1380300520017128E+161</v>
      </c>
      <c r="RFA53" s="708">
        <f t="shared" si="227"/>
        <v>7.3521709535617645E+161</v>
      </c>
      <c r="RFB53" s="708">
        <f t="shared" si="227"/>
        <v>7.572736082168618E+161</v>
      </c>
      <c r="RFC53" s="708">
        <f t="shared" si="227"/>
        <v>7.7999181646336771E+161</v>
      </c>
      <c r="RFD53" s="708">
        <f t="shared" si="227"/>
        <v>8.0339157095726871E+161</v>
      </c>
      <c r="RFE53" s="708">
        <f t="shared" si="227"/>
        <v>8.2749331808598684E+161</v>
      </c>
      <c r="RFF53" s="708">
        <f t="shared" si="227"/>
        <v>8.5231811762856644E+161</v>
      </c>
      <c r="RFG53" s="708">
        <f t="shared" si="227"/>
        <v>8.7788766115742342E+161</v>
      </c>
      <c r="RFH53" s="708">
        <f t="shared" si="227"/>
        <v>9.0422429099214611E+161</v>
      </c>
      <c r="RFI53" s="708">
        <f t="shared" si="227"/>
        <v>9.3135101972191058E+161</v>
      </c>
      <c r="RFJ53" s="708">
        <f t="shared" si="227"/>
        <v>9.5929155031356799E+161</v>
      </c>
      <c r="RFK53" s="708">
        <f t="shared" si="227"/>
        <v>9.8807029682297508E+161</v>
      </c>
      <c r="RFL53" s="708">
        <f t="shared" si="227"/>
        <v>1.0177124057276643E+162</v>
      </c>
      <c r="RFM53" s="708">
        <f t="shared" si="227"/>
        <v>1.0482437778994942E+162</v>
      </c>
      <c r="RFN53" s="708">
        <f t="shared" si="227"/>
        <v>1.0796910912364792E+162</v>
      </c>
      <c r="RFO53" s="708">
        <f t="shared" si="227"/>
        <v>1.1120818239735735E+162</v>
      </c>
      <c r="RFP53" s="708">
        <f t="shared" si="227"/>
        <v>1.1454442786927807E+162</v>
      </c>
      <c r="RFQ53" s="708">
        <f t="shared" si="227"/>
        <v>1.179807607053564E+162</v>
      </c>
      <c r="RFR53" s="708">
        <f t="shared" si="227"/>
        <v>1.2152018352651711E+162</v>
      </c>
      <c r="RFS53" s="708">
        <f t="shared" si="227"/>
        <v>1.2516578903231262E+162</v>
      </c>
      <c r="RFT53" s="708">
        <f t="shared" si="227"/>
        <v>1.2892076270328201E+162</v>
      </c>
      <c r="RFU53" s="708">
        <f t="shared" si="227"/>
        <v>1.3278838558438047E+162</v>
      </c>
      <c r="RFV53" s="708">
        <f t="shared" si="227"/>
        <v>1.367720371519119E+162</v>
      </c>
      <c r="RFW53" s="708">
        <f t="shared" si="227"/>
        <v>1.4087519826646927E+162</v>
      </c>
      <c r="RFX53" s="708">
        <f t="shared" si="227"/>
        <v>1.4510145421446336E+162</v>
      </c>
      <c r="RFY53" s="708">
        <f t="shared" si="227"/>
        <v>1.4945449784089727E+162</v>
      </c>
      <c r="RFZ53" s="708">
        <f t="shared" si="227"/>
        <v>1.5393813277612419E+162</v>
      </c>
      <c r="RGA53" s="708">
        <f t="shared" si="227"/>
        <v>1.5855627675940793E+162</v>
      </c>
      <c r="RGB53" s="708">
        <f t="shared" si="227"/>
        <v>1.6331296506219017E+162</v>
      </c>
      <c r="RGC53" s="708">
        <f t="shared" si="227"/>
        <v>1.6821235401405589E+162</v>
      </c>
      <c r="RGD53" s="708">
        <f t="shared" si="227"/>
        <v>1.7325872463447758E+162</v>
      </c>
      <c r="RGE53" s="708">
        <f t="shared" si="227"/>
        <v>1.7845648637351191E+162</v>
      </c>
      <c r="RGF53" s="708">
        <f t="shared" si="227"/>
        <v>1.8381018096471726E+162</v>
      </c>
      <c r="RGG53" s="708">
        <f t="shared" si="227"/>
        <v>1.893244863936588E+162</v>
      </c>
      <c r="RGH53" s="708">
        <f t="shared" ref="RGH53:RIS53" si="228">RGG53*$C$53</f>
        <v>1.9500422098546857E+162</v>
      </c>
      <c r="RGI53" s="708">
        <f t="shared" si="228"/>
        <v>2.0085434761503264E+162</v>
      </c>
      <c r="RGJ53" s="708">
        <f t="shared" si="228"/>
        <v>2.0687997804348364E+162</v>
      </c>
      <c r="RGK53" s="708">
        <f t="shared" si="228"/>
        <v>2.1308637738478814E+162</v>
      </c>
      <c r="RGL53" s="708">
        <f t="shared" si="228"/>
        <v>2.1947896870633178E+162</v>
      </c>
      <c r="RGM53" s="708">
        <f t="shared" si="228"/>
        <v>2.2606333776752174E+162</v>
      </c>
      <c r="RGN53" s="708">
        <f t="shared" si="228"/>
        <v>2.3284523790054741E+162</v>
      </c>
      <c r="RGO53" s="708">
        <f t="shared" si="228"/>
        <v>2.3983059503756383E+162</v>
      </c>
      <c r="RGP53" s="708">
        <f t="shared" si="228"/>
        <v>2.4702551288869075E+162</v>
      </c>
      <c r="RGQ53" s="708">
        <f t="shared" si="228"/>
        <v>2.5443627827535148E+162</v>
      </c>
      <c r="RGR53" s="708">
        <f t="shared" si="228"/>
        <v>2.6206936662361202E+162</v>
      </c>
      <c r="RGS53" s="708">
        <f t="shared" si="228"/>
        <v>2.699314476223204E+162</v>
      </c>
      <c r="RGT53" s="708">
        <f t="shared" si="228"/>
        <v>2.7802939105099004E+162</v>
      </c>
      <c r="RGU53" s="708">
        <f t="shared" si="228"/>
        <v>2.8637027278251976E+162</v>
      </c>
      <c r="RGV53" s="708">
        <f t="shared" si="228"/>
        <v>2.9496138096599535E+162</v>
      </c>
      <c r="RGW53" s="708">
        <f t="shared" si="228"/>
        <v>3.0381022239497522E+162</v>
      </c>
      <c r="RGX53" s="708">
        <f t="shared" si="228"/>
        <v>3.1292452906682451E+162</v>
      </c>
      <c r="RGY53" s="708">
        <f t="shared" si="228"/>
        <v>3.2231226493882927E+162</v>
      </c>
      <c r="RGZ53" s="708">
        <f t="shared" si="228"/>
        <v>3.3198163288699416E+162</v>
      </c>
      <c r="RHA53" s="708">
        <f t="shared" si="228"/>
        <v>3.4194108187360399E+162</v>
      </c>
      <c r="RHB53" s="708">
        <f t="shared" si="228"/>
        <v>3.521993143298121E+162</v>
      </c>
      <c r="RHC53" s="708">
        <f t="shared" si="228"/>
        <v>3.6276529375970648E+162</v>
      </c>
      <c r="RHD53" s="708">
        <f t="shared" si="228"/>
        <v>3.7364825257249768E+162</v>
      </c>
      <c r="RHE53" s="708">
        <f t="shared" si="228"/>
        <v>3.8485770014967258E+162</v>
      </c>
      <c r="RHF53" s="708">
        <f t="shared" si="228"/>
        <v>3.964034311541628E+162</v>
      </c>
      <c r="RHG53" s="708">
        <f t="shared" si="228"/>
        <v>4.0829553408878773E+162</v>
      </c>
      <c r="RHH53" s="708">
        <f t="shared" si="228"/>
        <v>4.205444001114514E+162</v>
      </c>
      <c r="RHI53" s="708">
        <f t="shared" si="228"/>
        <v>4.3316073211479496E+162</v>
      </c>
      <c r="RHJ53" s="708">
        <f t="shared" si="228"/>
        <v>4.4615555407823879E+162</v>
      </c>
      <c r="RHK53" s="708">
        <f t="shared" si="228"/>
        <v>4.5954022070058594E+162</v>
      </c>
      <c r="RHL53" s="708">
        <f t="shared" si="228"/>
        <v>4.7332642732160352E+162</v>
      </c>
      <c r="RHM53" s="708">
        <f t="shared" si="228"/>
        <v>4.8752622014125162E+162</v>
      </c>
      <c r="RHN53" s="708">
        <f t="shared" si="228"/>
        <v>5.021520067454892E+162</v>
      </c>
      <c r="RHO53" s="708">
        <f t="shared" si="228"/>
        <v>5.1721656694785386E+162</v>
      </c>
      <c r="RHP53" s="708">
        <f t="shared" si="228"/>
        <v>5.3273306395628951E+162</v>
      </c>
      <c r="RHQ53" s="708">
        <f t="shared" si="228"/>
        <v>5.4871505587497818E+162</v>
      </c>
      <c r="RHR53" s="708">
        <f t="shared" si="228"/>
        <v>5.6517650755122752E+162</v>
      </c>
      <c r="RHS53" s="708">
        <f t="shared" si="228"/>
        <v>5.8213180277776437E+162</v>
      </c>
      <c r="RHT53" s="708">
        <f t="shared" si="228"/>
        <v>5.9959575686109729E+162</v>
      </c>
      <c r="RHU53" s="708">
        <f t="shared" si="228"/>
        <v>6.1758362956693021E+162</v>
      </c>
      <c r="RHV53" s="708">
        <f t="shared" si="228"/>
        <v>6.3611113845393816E+162</v>
      </c>
      <c r="RHW53" s="708">
        <f t="shared" si="228"/>
        <v>6.5519447260755634E+162</v>
      </c>
      <c r="RHX53" s="708">
        <f t="shared" si="228"/>
        <v>6.7485030678578306E+162</v>
      </c>
      <c r="RHY53" s="708">
        <f t="shared" si="228"/>
        <v>6.950958159893566E+162</v>
      </c>
      <c r="RHZ53" s="708">
        <f t="shared" si="228"/>
        <v>7.1594869046903731E+162</v>
      </c>
      <c r="RIA53" s="708">
        <f t="shared" si="228"/>
        <v>7.3742715118310851E+162</v>
      </c>
      <c r="RIB53" s="708">
        <f t="shared" si="228"/>
        <v>7.5954996571860179E+162</v>
      </c>
      <c r="RIC53" s="708">
        <f t="shared" si="228"/>
        <v>7.8233646469015986E+162</v>
      </c>
      <c r="RID53" s="708">
        <f t="shared" si="228"/>
        <v>8.058065586308647E+162</v>
      </c>
      <c r="RIE53" s="708">
        <f t="shared" si="228"/>
        <v>8.2998075538979069E+162</v>
      </c>
      <c r="RIF53" s="708">
        <f t="shared" si="228"/>
        <v>8.5488017805148449E+162</v>
      </c>
      <c r="RIG53" s="708">
        <f t="shared" si="228"/>
        <v>8.8052658339302907E+162</v>
      </c>
      <c r="RIH53" s="708">
        <f t="shared" si="228"/>
        <v>9.0694238089481996E+162</v>
      </c>
      <c r="RII53" s="708">
        <f t="shared" si="228"/>
        <v>9.341506523216646E+162</v>
      </c>
      <c r="RIJ53" s="708">
        <f t="shared" si="228"/>
        <v>9.6217517189131463E+162</v>
      </c>
      <c r="RIK53" s="708">
        <f t="shared" si="228"/>
        <v>9.9104042704805416E+162</v>
      </c>
      <c r="RIL53" s="708">
        <f t="shared" si="228"/>
        <v>1.0207716398594959E+163</v>
      </c>
      <c r="RIM53" s="708">
        <f t="shared" si="228"/>
        <v>1.0513947890552808E+163</v>
      </c>
      <c r="RIN53" s="708">
        <f t="shared" si="228"/>
        <v>1.0829366327269392E+163</v>
      </c>
      <c r="RIO53" s="708">
        <f t="shared" si="228"/>
        <v>1.1154247317087475E+163</v>
      </c>
      <c r="RIP53" s="708">
        <f t="shared" si="228"/>
        <v>1.14888747366001E+163</v>
      </c>
      <c r="RIQ53" s="708">
        <f t="shared" si="228"/>
        <v>1.1833540978698102E+163</v>
      </c>
      <c r="RIR53" s="708">
        <f t="shared" si="228"/>
        <v>1.2188547208059046E+163</v>
      </c>
      <c r="RIS53" s="708">
        <f t="shared" si="228"/>
        <v>1.2554203624300818E+163</v>
      </c>
      <c r="RIT53" s="708">
        <f t="shared" ref="RIT53:RLE53" si="229">RIS53*$C$53</f>
        <v>1.2930829733029842E+163</v>
      </c>
      <c r="RIU53" s="708">
        <f t="shared" si="229"/>
        <v>1.3318754625020738E+163</v>
      </c>
      <c r="RIV53" s="708">
        <f t="shared" si="229"/>
        <v>1.371831726377136E+163</v>
      </c>
      <c r="RIW53" s="708">
        <f t="shared" si="229"/>
        <v>1.4129866781684502E+163</v>
      </c>
      <c r="RIX53" s="708">
        <f t="shared" si="229"/>
        <v>1.4553762785135037E+163</v>
      </c>
      <c r="RIY53" s="708">
        <f t="shared" si="229"/>
        <v>1.4990375668689088E+163</v>
      </c>
      <c r="RIZ53" s="708">
        <f t="shared" si="229"/>
        <v>1.5440086938749763E+163</v>
      </c>
      <c r="RJA53" s="708">
        <f t="shared" si="229"/>
        <v>1.5903289546912255E+163</v>
      </c>
      <c r="RJB53" s="708">
        <f t="shared" si="229"/>
        <v>1.6380388233319622E+163</v>
      </c>
      <c r="RJC53" s="708">
        <f t="shared" si="229"/>
        <v>1.6871799880319212E+163</v>
      </c>
      <c r="RJD53" s="708">
        <f t="shared" si="229"/>
        <v>1.7377953876728789E+163</v>
      </c>
      <c r="RJE53" s="708">
        <f t="shared" si="229"/>
        <v>1.7899292493030652E+163</v>
      </c>
      <c r="RJF53" s="708">
        <f t="shared" si="229"/>
        <v>1.8436271267821573E+163</v>
      </c>
      <c r="RJG53" s="708">
        <f t="shared" si="229"/>
        <v>1.8989359405856221E+163</v>
      </c>
      <c r="RJH53" s="708">
        <f t="shared" si="229"/>
        <v>1.9559040188031907E+163</v>
      </c>
      <c r="RJI53" s="708">
        <f t="shared" si="229"/>
        <v>2.0145811393672866E+163</v>
      </c>
      <c r="RJJ53" s="708">
        <f t="shared" si="229"/>
        <v>2.0750185735483053E+163</v>
      </c>
      <c r="RJK53" s="708">
        <f t="shared" si="229"/>
        <v>2.1372691307547544E+163</v>
      </c>
      <c r="RJL53" s="708">
        <f t="shared" si="229"/>
        <v>2.2013872046773971E+163</v>
      </c>
      <c r="RJM53" s="708">
        <f t="shared" si="229"/>
        <v>2.267428820817719E+163</v>
      </c>
      <c r="RJN53" s="708">
        <f t="shared" si="229"/>
        <v>2.3354516854422506E+163</v>
      </c>
      <c r="RJO53" s="708">
        <f t="shared" si="229"/>
        <v>2.4055152360055181E+163</v>
      </c>
      <c r="RJP53" s="708">
        <f t="shared" si="229"/>
        <v>2.4776806930856836E+163</v>
      </c>
      <c r="RJQ53" s="708">
        <f t="shared" si="229"/>
        <v>2.5520111138782543E+163</v>
      </c>
      <c r="RJR53" s="708">
        <f t="shared" si="229"/>
        <v>2.6285714472946021E+163</v>
      </c>
      <c r="RJS53" s="708">
        <f t="shared" si="229"/>
        <v>2.7074285907134402E+163</v>
      </c>
      <c r="RJT53" s="708">
        <f t="shared" si="229"/>
        <v>2.7886514484348435E+163</v>
      </c>
      <c r="RJU53" s="708">
        <f t="shared" si="229"/>
        <v>2.8723109918878889E+163</v>
      </c>
      <c r="RJV53" s="708">
        <f t="shared" si="229"/>
        <v>2.9584803216445254E+163</v>
      </c>
      <c r="RJW53" s="708">
        <f t="shared" si="229"/>
        <v>3.0472347312938609E+163</v>
      </c>
      <c r="RJX53" s="708">
        <f t="shared" si="229"/>
        <v>3.1386517732326768E+163</v>
      </c>
      <c r="RJY53" s="708">
        <f t="shared" si="229"/>
        <v>3.2328113264296569E+163</v>
      </c>
      <c r="RJZ53" s="708">
        <f t="shared" si="229"/>
        <v>3.3297956662225467E+163</v>
      </c>
      <c r="RKA53" s="708">
        <f t="shared" si="229"/>
        <v>3.4296895362092233E+163</v>
      </c>
      <c r="RKB53" s="708">
        <f t="shared" si="229"/>
        <v>3.5325802222955004E+163</v>
      </c>
      <c r="RKC53" s="708">
        <f t="shared" si="229"/>
        <v>3.6385576289643655E+163</v>
      </c>
      <c r="RKD53" s="708">
        <f t="shared" si="229"/>
        <v>3.7477143578332968E+163</v>
      </c>
      <c r="RKE53" s="708">
        <f t="shared" si="229"/>
        <v>3.8601457885682955E+163</v>
      </c>
      <c r="RKF53" s="708">
        <f t="shared" si="229"/>
        <v>3.9759501622253446E+163</v>
      </c>
      <c r="RKG53" s="708">
        <f t="shared" si="229"/>
        <v>4.0952286670921047E+163</v>
      </c>
      <c r="RKH53" s="708">
        <f t="shared" si="229"/>
        <v>4.218085527104868E+163</v>
      </c>
      <c r="RKI53" s="708">
        <f t="shared" si="229"/>
        <v>4.3446280929180144E+163</v>
      </c>
      <c r="RKJ53" s="708">
        <f t="shared" si="229"/>
        <v>4.4749669357055548E+163</v>
      </c>
      <c r="RKK53" s="708">
        <f t="shared" si="229"/>
        <v>4.6092159437767216E+163</v>
      </c>
      <c r="RKL53" s="708">
        <f t="shared" si="229"/>
        <v>4.7474924220900236E+163</v>
      </c>
      <c r="RKM53" s="708">
        <f t="shared" si="229"/>
        <v>4.8899171947527244E+163</v>
      </c>
      <c r="RKN53" s="708">
        <f t="shared" si="229"/>
        <v>5.0366147105953062E+163</v>
      </c>
      <c r="RKO53" s="708">
        <f t="shared" si="229"/>
        <v>5.1877131519131654E+163</v>
      </c>
      <c r="RKP53" s="708">
        <f t="shared" si="229"/>
        <v>5.3433445464705606E+163</v>
      </c>
      <c r="RKQ53" s="708">
        <f t="shared" si="229"/>
        <v>5.5036448828646777E+163</v>
      </c>
      <c r="RKR53" s="708">
        <f t="shared" si="229"/>
        <v>5.668754229350618E+163</v>
      </c>
      <c r="RKS53" s="708">
        <f t="shared" si="229"/>
        <v>5.8388168562311362E+163</v>
      </c>
      <c r="RKT53" s="708">
        <f t="shared" si="229"/>
        <v>6.0139813619180706E+163</v>
      </c>
      <c r="RKU53" s="708">
        <f t="shared" si="229"/>
        <v>6.1944008027756131E+163</v>
      </c>
      <c r="RKV53" s="708">
        <f t="shared" si="229"/>
        <v>6.3802328268588815E+163</v>
      </c>
      <c r="RKW53" s="708">
        <f t="shared" si="229"/>
        <v>6.5716398116646482E+163</v>
      </c>
      <c r="RKX53" s="708">
        <f t="shared" si="229"/>
        <v>6.7687890060145878E+163</v>
      </c>
      <c r="RKY53" s="708">
        <f t="shared" si="229"/>
        <v>6.9718526761950257E+163</v>
      </c>
      <c r="RKZ53" s="708">
        <f t="shared" si="229"/>
        <v>7.1810082564808761E+163</v>
      </c>
      <c r="RLA53" s="708">
        <f t="shared" si="229"/>
        <v>7.3964385041753024E+163</v>
      </c>
      <c r="RLB53" s="708">
        <f t="shared" si="229"/>
        <v>7.6183316593005614E+163</v>
      </c>
      <c r="RLC53" s="708">
        <f t="shared" si="229"/>
        <v>7.8468816090795779E+163</v>
      </c>
      <c r="RLD53" s="708">
        <f t="shared" si="229"/>
        <v>8.0822880573519654E+163</v>
      </c>
      <c r="RLE53" s="708">
        <f t="shared" si="229"/>
        <v>8.3247566990725242E+163</v>
      </c>
      <c r="RLF53" s="708">
        <f t="shared" ref="RLF53:RNQ53" si="230">RLE53*$C$53</f>
        <v>8.5744994000446999E+163</v>
      </c>
      <c r="RLG53" s="708">
        <f t="shared" si="230"/>
        <v>8.8317343820460408E+163</v>
      </c>
      <c r="RLH53" s="708">
        <f t="shared" si="230"/>
        <v>9.096686413507422E+163</v>
      </c>
      <c r="RLI53" s="708">
        <f t="shared" si="230"/>
        <v>9.3695870059126453E+163</v>
      </c>
      <c r="RLJ53" s="708">
        <f t="shared" si="230"/>
        <v>9.6506746160900248E+163</v>
      </c>
      <c r="RLK53" s="708">
        <f t="shared" si="230"/>
        <v>9.9401948545727264E+163</v>
      </c>
      <c r="RLL53" s="708">
        <f t="shared" si="230"/>
        <v>1.0238400700209908E+164</v>
      </c>
      <c r="RLM53" s="708">
        <f t="shared" si="230"/>
        <v>1.0545552721216205E+164</v>
      </c>
      <c r="RLN53" s="708">
        <f t="shared" si="230"/>
        <v>1.0861919302852691E+164</v>
      </c>
      <c r="RLO53" s="708">
        <f t="shared" si="230"/>
        <v>1.1187776881938271E+164</v>
      </c>
      <c r="RLP53" s="708">
        <f t="shared" si="230"/>
        <v>1.152341018839642E+164</v>
      </c>
      <c r="RLQ53" s="708">
        <f t="shared" si="230"/>
        <v>1.1869112494048314E+164</v>
      </c>
      <c r="RLR53" s="708">
        <f t="shared" si="230"/>
        <v>1.2225185868869763E+164</v>
      </c>
      <c r="RLS53" s="708">
        <f t="shared" si="230"/>
        <v>1.2591941444935857E+164</v>
      </c>
      <c r="RLT53" s="708">
        <f t="shared" si="230"/>
        <v>1.2969699688283934E+164</v>
      </c>
      <c r="RLU53" s="708">
        <f t="shared" si="230"/>
        <v>1.3358790678932452E+164</v>
      </c>
      <c r="RLV53" s="708">
        <f t="shared" si="230"/>
        <v>1.3759554399300425E+164</v>
      </c>
      <c r="RLW53" s="708">
        <f t="shared" si="230"/>
        <v>1.4172341031279439E+164</v>
      </c>
      <c r="RLX53" s="708">
        <f t="shared" si="230"/>
        <v>1.4597511262217824E+164</v>
      </c>
      <c r="RLY53" s="708">
        <f t="shared" si="230"/>
        <v>1.5035436600084359E+164</v>
      </c>
      <c r="RLZ53" s="708">
        <f t="shared" si="230"/>
        <v>1.548649969808689E+164</v>
      </c>
      <c r="RMA53" s="708">
        <f t="shared" si="230"/>
        <v>1.5951094689029498E+164</v>
      </c>
      <c r="RMB53" s="708">
        <f t="shared" si="230"/>
        <v>1.6429627529700383E+164</v>
      </c>
      <c r="RMC53" s="708">
        <f t="shared" si="230"/>
        <v>1.6922516355591396E+164</v>
      </c>
      <c r="RMD53" s="708">
        <f t="shared" si="230"/>
        <v>1.7430191846259138E+164</v>
      </c>
      <c r="RME53" s="708">
        <f t="shared" si="230"/>
        <v>1.7953097601646913E+164</v>
      </c>
      <c r="RMF53" s="708">
        <f t="shared" si="230"/>
        <v>1.849169052969632E+164</v>
      </c>
      <c r="RMG53" s="708">
        <f t="shared" si="230"/>
        <v>1.9046441245587209E+164</v>
      </c>
      <c r="RMH53" s="708">
        <f t="shared" si="230"/>
        <v>1.9617834482954826E+164</v>
      </c>
      <c r="RMI53" s="708">
        <f t="shared" si="230"/>
        <v>2.0206369517443472E+164</v>
      </c>
      <c r="RMJ53" s="708">
        <f t="shared" si="230"/>
        <v>2.0812560602966778E+164</v>
      </c>
      <c r="RMK53" s="708">
        <f t="shared" si="230"/>
        <v>2.1436937421055781E+164</v>
      </c>
      <c r="RML53" s="708">
        <f t="shared" si="230"/>
        <v>2.2080045543687454E+164</v>
      </c>
      <c r="RMM53" s="708">
        <f t="shared" si="230"/>
        <v>2.2742446909998079E+164</v>
      </c>
      <c r="RMN53" s="708">
        <f t="shared" si="230"/>
        <v>2.342472031729802E+164</v>
      </c>
      <c r="RMO53" s="708">
        <f t="shared" si="230"/>
        <v>2.4127461926816962E+164</v>
      </c>
      <c r="RMP53" s="708">
        <f t="shared" si="230"/>
        <v>2.4851285784621471E+164</v>
      </c>
      <c r="RMQ53" s="708">
        <f t="shared" si="230"/>
        <v>2.5596824358160115E+164</v>
      </c>
      <c r="RMR53" s="708">
        <f t="shared" si="230"/>
        <v>2.6364729088904919E+164</v>
      </c>
      <c r="RMS53" s="708">
        <f t="shared" si="230"/>
        <v>2.7155670961572066E+164</v>
      </c>
      <c r="RMT53" s="708">
        <f t="shared" si="230"/>
        <v>2.797034109041923E+164</v>
      </c>
      <c r="RMU53" s="708">
        <f t="shared" si="230"/>
        <v>2.8809451323131807E+164</v>
      </c>
      <c r="RMV53" s="708">
        <f t="shared" si="230"/>
        <v>2.9673734862825762E+164</v>
      </c>
      <c r="RMW53" s="708">
        <f t="shared" si="230"/>
        <v>3.0563946908710538E+164</v>
      </c>
      <c r="RMX53" s="708">
        <f t="shared" si="230"/>
        <v>3.1480865315971854E+164</v>
      </c>
      <c r="RMY53" s="708">
        <f t="shared" si="230"/>
        <v>3.242529127545101E+164</v>
      </c>
      <c r="RMZ53" s="708">
        <f t="shared" si="230"/>
        <v>3.3398050013714539E+164</v>
      </c>
      <c r="RNA53" s="708">
        <f t="shared" si="230"/>
        <v>3.4399991514125975E+164</v>
      </c>
      <c r="RNB53" s="708">
        <f t="shared" si="230"/>
        <v>3.5431991259549754E+164</v>
      </c>
      <c r="RNC53" s="708">
        <f t="shared" si="230"/>
        <v>3.6494950997336249E+164</v>
      </c>
      <c r="RND53" s="708">
        <f t="shared" si="230"/>
        <v>3.7589799527256339E+164</v>
      </c>
      <c r="RNE53" s="708">
        <f t="shared" si="230"/>
        <v>3.8717493513074028E+164</v>
      </c>
      <c r="RNF53" s="708">
        <f t="shared" si="230"/>
        <v>3.987901831846625E+164</v>
      </c>
      <c r="RNG53" s="708">
        <f t="shared" si="230"/>
        <v>4.1075388868020238E+164</v>
      </c>
      <c r="RNH53" s="708">
        <f t="shared" si="230"/>
        <v>4.2307650534060847E+164</v>
      </c>
      <c r="RNI53" s="708">
        <f t="shared" si="230"/>
        <v>4.3576880050082673E+164</v>
      </c>
      <c r="RNJ53" s="708">
        <f t="shared" si="230"/>
        <v>4.4884186451585156E+164</v>
      </c>
      <c r="RNK53" s="708">
        <f t="shared" si="230"/>
        <v>4.623071204513271E+164</v>
      </c>
      <c r="RNL53" s="708">
        <f t="shared" si="230"/>
        <v>4.7617633406486693E+164</v>
      </c>
      <c r="RNM53" s="708">
        <f t="shared" si="230"/>
        <v>4.9046162408681294E+164</v>
      </c>
      <c r="RNN53" s="708">
        <f t="shared" si="230"/>
        <v>5.0517547280941729E+164</v>
      </c>
      <c r="RNO53" s="708">
        <f t="shared" si="230"/>
        <v>5.203307369936998E+164</v>
      </c>
      <c r="RNP53" s="708">
        <f t="shared" si="230"/>
        <v>5.3594065910351081E+164</v>
      </c>
      <c r="RNQ53" s="708">
        <f t="shared" si="230"/>
        <v>5.5201887887661613E+164</v>
      </c>
      <c r="RNR53" s="708">
        <f t="shared" ref="RNR53:RQC53" si="231">RNQ53*$C$53</f>
        <v>5.6857944524291462E+164</v>
      </c>
      <c r="RNS53" s="708">
        <f t="shared" si="231"/>
        <v>5.8563682860020204E+164</v>
      </c>
      <c r="RNT53" s="708">
        <f t="shared" si="231"/>
        <v>6.0320593345820811E+164</v>
      </c>
      <c r="RNU53" s="708">
        <f t="shared" si="231"/>
        <v>6.2130211146195441E+164</v>
      </c>
      <c r="RNV53" s="708">
        <f t="shared" si="231"/>
        <v>6.3994117480581304E+164</v>
      </c>
      <c r="RNW53" s="708">
        <f t="shared" si="231"/>
        <v>6.5913941004998745E+164</v>
      </c>
      <c r="RNX53" s="708">
        <f t="shared" si="231"/>
        <v>6.7891359235148709E+164</v>
      </c>
      <c r="RNY53" s="708">
        <f t="shared" si="231"/>
        <v>6.9928100012203174E+164</v>
      </c>
      <c r="RNZ53" s="708">
        <f t="shared" si="231"/>
        <v>7.2025943012569269E+164</v>
      </c>
      <c r="ROA53" s="708">
        <f t="shared" si="231"/>
        <v>7.4186721302946345E+164</v>
      </c>
      <c r="ROB53" s="708">
        <f t="shared" si="231"/>
        <v>7.6412322942034733E+164</v>
      </c>
      <c r="ROC53" s="708">
        <f t="shared" si="231"/>
        <v>7.8704692630295773E+164</v>
      </c>
      <c r="ROD53" s="708">
        <f t="shared" si="231"/>
        <v>8.1065833409204647E+164</v>
      </c>
      <c r="ROE53" s="708">
        <f t="shared" si="231"/>
        <v>8.3497808411480785E+164</v>
      </c>
      <c r="ROF53" s="708">
        <f t="shared" si="231"/>
        <v>8.6002742663825213E+164</v>
      </c>
      <c r="ROG53" s="708">
        <f t="shared" si="231"/>
        <v>8.8582824943739972E+164</v>
      </c>
      <c r="ROH53" s="708">
        <f t="shared" si="231"/>
        <v>9.1240309692052171E+164</v>
      </c>
      <c r="ROI53" s="708">
        <f t="shared" si="231"/>
        <v>9.3977518982813736E+164</v>
      </c>
      <c r="ROJ53" s="708">
        <f t="shared" si="231"/>
        <v>9.6796844552298156E+164</v>
      </c>
      <c r="ROK53" s="708">
        <f t="shared" si="231"/>
        <v>9.9700749888867113E+164</v>
      </c>
      <c r="ROL53" s="708">
        <f t="shared" si="231"/>
        <v>1.0269177238553312E+165</v>
      </c>
      <c r="ROM53" s="708">
        <f t="shared" si="231"/>
        <v>1.0577252555709912E+165</v>
      </c>
      <c r="RON53" s="708">
        <f t="shared" si="231"/>
        <v>1.0894570132381209E+165</v>
      </c>
      <c r="ROO53" s="708">
        <f t="shared" si="231"/>
        <v>1.1221407236352646E+165</v>
      </c>
      <c r="ROP53" s="708">
        <f t="shared" si="231"/>
        <v>1.1558049453443224E+165</v>
      </c>
      <c r="ROQ53" s="708">
        <f t="shared" si="231"/>
        <v>1.1904790937046521E+165</v>
      </c>
      <c r="ROR53" s="708">
        <f t="shared" si="231"/>
        <v>1.2261934665157917E+165</v>
      </c>
      <c r="ROS53" s="708">
        <f t="shared" si="231"/>
        <v>1.2629792705112654E+165</v>
      </c>
      <c r="ROT53" s="708">
        <f t="shared" si="231"/>
        <v>1.3008686486266033E+165</v>
      </c>
      <c r="ROU53" s="708">
        <f t="shared" si="231"/>
        <v>1.3398947080854014E+165</v>
      </c>
      <c r="ROV53" s="708">
        <f t="shared" si="231"/>
        <v>1.3800915493279636E+165</v>
      </c>
      <c r="ROW53" s="708">
        <f t="shared" si="231"/>
        <v>1.4214942958078025E+165</v>
      </c>
      <c r="ROX53" s="708">
        <f t="shared" si="231"/>
        <v>1.4641391246820365E+165</v>
      </c>
      <c r="ROY53" s="708">
        <f t="shared" si="231"/>
        <v>1.5080632984224977E+165</v>
      </c>
      <c r="ROZ53" s="708">
        <f t="shared" si="231"/>
        <v>1.5533051973751726E+165</v>
      </c>
      <c r="RPA53" s="708">
        <f t="shared" si="231"/>
        <v>1.5999043532964279E+165</v>
      </c>
      <c r="RPB53" s="708">
        <f t="shared" si="231"/>
        <v>1.6479014838953208E+165</v>
      </c>
      <c r="RPC53" s="708">
        <f t="shared" si="231"/>
        <v>1.6973385284121804E+165</v>
      </c>
      <c r="RPD53" s="708">
        <f t="shared" si="231"/>
        <v>1.748258684264546E+165</v>
      </c>
      <c r="RPE53" s="708">
        <f t="shared" si="231"/>
        <v>1.8007064447924825E+165</v>
      </c>
      <c r="RPF53" s="708">
        <f t="shared" si="231"/>
        <v>1.8547276381362569E+165</v>
      </c>
      <c r="RPG53" s="708">
        <f t="shared" si="231"/>
        <v>1.9103694672803449E+165</v>
      </c>
      <c r="RPH53" s="708">
        <f t="shared" si="231"/>
        <v>1.9676805512987551E+165</v>
      </c>
      <c r="RPI53" s="708">
        <f t="shared" si="231"/>
        <v>2.026710967837718E+165</v>
      </c>
      <c r="RPJ53" s="708">
        <f t="shared" si="231"/>
        <v>2.0875122968728495E+165</v>
      </c>
      <c r="RPK53" s="708">
        <f t="shared" si="231"/>
        <v>2.1501376657790351E+165</v>
      </c>
      <c r="RPL53" s="708">
        <f t="shared" si="231"/>
        <v>2.2146417957524062E+165</v>
      </c>
      <c r="RPM53" s="708">
        <f t="shared" si="231"/>
        <v>2.2810810496249783E+165</v>
      </c>
      <c r="RPN53" s="708">
        <f t="shared" si="231"/>
        <v>2.3495134811137278E+165</v>
      </c>
      <c r="RPO53" s="708">
        <f t="shared" si="231"/>
        <v>2.4199988855471397E+165</v>
      </c>
      <c r="RPP53" s="708">
        <f t="shared" si="231"/>
        <v>2.4925988521135541E+165</v>
      </c>
      <c r="RPQ53" s="708">
        <f t="shared" si="231"/>
        <v>2.5673768176769609E+165</v>
      </c>
      <c r="RPR53" s="708">
        <f t="shared" si="231"/>
        <v>2.6443981222072698E+165</v>
      </c>
      <c r="RPS53" s="708">
        <f t="shared" si="231"/>
        <v>2.7237300658734881E+165</v>
      </c>
      <c r="RPT53" s="708">
        <f t="shared" si="231"/>
        <v>2.8054419678496927E+165</v>
      </c>
      <c r="RPU53" s="708">
        <f t="shared" si="231"/>
        <v>2.8896052268851835E+165</v>
      </c>
      <c r="RPV53" s="708">
        <f t="shared" si="231"/>
        <v>2.9762933836917391E+165</v>
      </c>
      <c r="RPW53" s="708">
        <f t="shared" si="231"/>
        <v>3.0655821852024912E+165</v>
      </c>
      <c r="RPX53" s="708">
        <f t="shared" si="231"/>
        <v>3.1575496507585659E+165</v>
      </c>
      <c r="RPY53" s="708">
        <f t="shared" si="231"/>
        <v>3.252276140281323E+165</v>
      </c>
      <c r="RPZ53" s="708">
        <f t="shared" si="231"/>
        <v>3.3498444244897629E+165</v>
      </c>
      <c r="RQA53" s="708">
        <f t="shared" si="231"/>
        <v>3.4503397572244561E+165</v>
      </c>
      <c r="RQB53" s="708">
        <f t="shared" si="231"/>
        <v>3.55384994994119E+165</v>
      </c>
      <c r="RQC53" s="708">
        <f t="shared" si="231"/>
        <v>3.6604654484394257E+165</v>
      </c>
      <c r="RQD53" s="708">
        <f t="shared" ref="RQD53:RSO53" si="232">RQC53*$C$53</f>
        <v>3.7702794118926081E+165</v>
      </c>
      <c r="RQE53" s="708">
        <f t="shared" si="232"/>
        <v>3.8833877942493867E+165</v>
      </c>
      <c r="RQF53" s="708">
        <f t="shared" si="232"/>
        <v>3.9998894280768686E+165</v>
      </c>
      <c r="RQG53" s="708">
        <f t="shared" si="232"/>
        <v>4.1198861109191747E+165</v>
      </c>
      <c r="RQH53" s="708">
        <f t="shared" si="232"/>
        <v>4.2434826942467504E+165</v>
      </c>
      <c r="RQI53" s="708">
        <f t="shared" si="232"/>
        <v>4.3707871750741529E+165</v>
      </c>
      <c r="RQJ53" s="708">
        <f t="shared" si="232"/>
        <v>4.5019107903263775E+165</v>
      </c>
      <c r="RQK53" s="708">
        <f t="shared" si="232"/>
        <v>4.6369681140361692E+165</v>
      </c>
      <c r="RQL53" s="708">
        <f t="shared" si="232"/>
        <v>4.776077157457254E+165</v>
      </c>
      <c r="RQM53" s="708">
        <f t="shared" si="232"/>
        <v>4.9193594721809717E+165</v>
      </c>
      <c r="RQN53" s="708">
        <f t="shared" si="232"/>
        <v>5.0669402563464013E+165</v>
      </c>
      <c r="RQO53" s="708">
        <f t="shared" si="232"/>
        <v>5.2189484640367937E+165</v>
      </c>
      <c r="RQP53" s="708">
        <f t="shared" si="232"/>
        <v>5.3755169179578976E+165</v>
      </c>
      <c r="RQQ53" s="708">
        <f t="shared" si="232"/>
        <v>5.5367824254966347E+165</v>
      </c>
      <c r="RQR53" s="708">
        <f t="shared" si="232"/>
        <v>5.7028858982615341E+165</v>
      </c>
      <c r="RQS53" s="708">
        <f t="shared" si="232"/>
        <v>5.87397247520938E+165</v>
      </c>
      <c r="RQT53" s="708">
        <f t="shared" si="232"/>
        <v>6.0501916494656614E+165</v>
      </c>
      <c r="RQU53" s="708">
        <f t="shared" si="232"/>
        <v>6.2316973989496315E+165</v>
      </c>
      <c r="RQV53" s="708">
        <f t="shared" si="232"/>
        <v>6.4186483209181208E+165</v>
      </c>
      <c r="RQW53" s="708">
        <f t="shared" si="232"/>
        <v>6.6112077705456649E+165</v>
      </c>
      <c r="RQX53" s="708">
        <f t="shared" si="232"/>
        <v>6.8095440036620347E+165</v>
      </c>
      <c r="RQY53" s="708">
        <f t="shared" si="232"/>
        <v>7.0138303237718957E+165</v>
      </c>
      <c r="RQZ53" s="708">
        <f t="shared" si="232"/>
        <v>7.2242452334850529E+165</v>
      </c>
      <c r="RRA53" s="708">
        <f t="shared" si="232"/>
        <v>7.4409725904896043E+165</v>
      </c>
      <c r="RRB53" s="708">
        <f t="shared" si="232"/>
        <v>7.664201768204292E+165</v>
      </c>
      <c r="RRC53" s="708">
        <f t="shared" si="232"/>
        <v>7.8941278212504215E+165</v>
      </c>
      <c r="RRD53" s="708">
        <f t="shared" si="232"/>
        <v>8.1309516558879343E+165</v>
      </c>
      <c r="RRE53" s="708">
        <f t="shared" si="232"/>
        <v>8.3748802055645719E+165</v>
      </c>
      <c r="RRF53" s="708">
        <f t="shared" si="232"/>
        <v>8.6261266117315098E+165</v>
      </c>
      <c r="RRG53" s="708">
        <f t="shared" si="232"/>
        <v>8.8849104100834545E+165</v>
      </c>
      <c r="RRH53" s="708">
        <f t="shared" si="232"/>
        <v>9.1514577223859585E+165</v>
      </c>
      <c r="RRI53" s="708">
        <f t="shared" si="232"/>
        <v>9.4260014540575376E+165</v>
      </c>
      <c r="RRJ53" s="708">
        <f t="shared" si="232"/>
        <v>9.7087814976792635E+165</v>
      </c>
      <c r="RRK53" s="708">
        <f t="shared" si="232"/>
        <v>1.0000044942609641E+166</v>
      </c>
      <c r="RRL53" s="708">
        <f t="shared" si="232"/>
        <v>1.030004629088793E+166</v>
      </c>
      <c r="RRM53" s="708">
        <f t="shared" si="232"/>
        <v>1.0609047679614569E+166</v>
      </c>
      <c r="RRN53" s="708">
        <f t="shared" si="232"/>
        <v>1.0927319110003006E+166</v>
      </c>
      <c r="RRO53" s="708">
        <f t="shared" si="232"/>
        <v>1.1255138683303096E+166</v>
      </c>
      <c r="RRP53" s="708">
        <f t="shared" si="232"/>
        <v>1.1592792843802189E+166</v>
      </c>
      <c r="RRQ53" s="708">
        <f t="shared" si="232"/>
        <v>1.1940576629116255E+166</v>
      </c>
      <c r="RRR53" s="708">
        <f t="shared" si="232"/>
        <v>1.2298793927989743E+166</v>
      </c>
      <c r="RRS53" s="708">
        <f t="shared" si="232"/>
        <v>1.2667757745829435E+166</v>
      </c>
      <c r="RRT53" s="708">
        <f t="shared" si="232"/>
        <v>1.3047790478204319E+166</v>
      </c>
      <c r="RRU53" s="708">
        <f t="shared" si="232"/>
        <v>1.3439224192550449E+166</v>
      </c>
      <c r="RRV53" s="708">
        <f t="shared" si="232"/>
        <v>1.3842400918326963E+166</v>
      </c>
      <c r="RRW53" s="708">
        <f t="shared" si="232"/>
        <v>1.4257672945876771E+166</v>
      </c>
      <c r="RRX53" s="708">
        <f t="shared" si="232"/>
        <v>1.4685403134253075E+166</v>
      </c>
      <c r="RRY53" s="708">
        <f t="shared" si="232"/>
        <v>1.5125965228280667E+166</v>
      </c>
      <c r="RRZ53" s="708">
        <f t="shared" si="232"/>
        <v>1.5579744185129089E+166</v>
      </c>
      <c r="RSA53" s="708">
        <f t="shared" si="232"/>
        <v>1.6047136510682961E+166</v>
      </c>
      <c r="RSB53" s="708">
        <f t="shared" si="232"/>
        <v>1.6528550606003451E+166</v>
      </c>
      <c r="RSC53" s="708">
        <f t="shared" si="232"/>
        <v>1.7024407124183554E+166</v>
      </c>
      <c r="RSD53" s="708">
        <f t="shared" si="232"/>
        <v>1.753513933790906E+166</v>
      </c>
      <c r="RSE53" s="708">
        <f t="shared" si="232"/>
        <v>1.8061193518046331E+166</v>
      </c>
      <c r="RSF53" s="708">
        <f t="shared" si="232"/>
        <v>1.860302932358772E+166</v>
      </c>
      <c r="RSG53" s="708">
        <f t="shared" si="232"/>
        <v>1.9161120203295352E+166</v>
      </c>
      <c r="RSH53" s="708">
        <f t="shared" si="232"/>
        <v>1.9735953809394214E+166</v>
      </c>
      <c r="RSI53" s="708">
        <f t="shared" si="232"/>
        <v>2.0328032423676041E+166</v>
      </c>
      <c r="RSJ53" s="708">
        <f t="shared" si="232"/>
        <v>2.0937873396386323E+166</v>
      </c>
      <c r="RSK53" s="708">
        <f t="shared" si="232"/>
        <v>2.1566009598277914E+166</v>
      </c>
      <c r="RSL53" s="708">
        <f t="shared" si="232"/>
        <v>2.2212989886226251E+166</v>
      </c>
      <c r="RSM53" s="708">
        <f t="shared" si="232"/>
        <v>2.287937958281304E+166</v>
      </c>
      <c r="RSN53" s="708">
        <f t="shared" si="232"/>
        <v>2.3565760970297431E+166</v>
      </c>
      <c r="RSO53" s="708">
        <f t="shared" si="232"/>
        <v>2.4272733799406354E+166</v>
      </c>
      <c r="RSP53" s="708">
        <f t="shared" ref="RSP53:RVA53" si="233">RSO53*$C$53</f>
        <v>2.5000915813388544E+166</v>
      </c>
      <c r="RSQ53" s="708">
        <f t="shared" si="233"/>
        <v>2.5750943287790201E+166</v>
      </c>
      <c r="RSR53" s="708">
        <f t="shared" si="233"/>
        <v>2.6523471586423907E+166</v>
      </c>
      <c r="RSS53" s="708">
        <f t="shared" si="233"/>
        <v>2.7319175734016624E+166</v>
      </c>
      <c r="RST53" s="708">
        <f t="shared" si="233"/>
        <v>2.8138751006037123E+166</v>
      </c>
      <c r="RSU53" s="708">
        <f t="shared" si="233"/>
        <v>2.8982913536218237E+166</v>
      </c>
      <c r="RSV53" s="708">
        <f t="shared" si="233"/>
        <v>2.9852400942304788E+166</v>
      </c>
      <c r="RSW53" s="708">
        <f t="shared" si="233"/>
        <v>3.074797297057393E+166</v>
      </c>
      <c r="RSX53" s="708">
        <f t="shared" si="233"/>
        <v>3.1670412159691149E+166</v>
      </c>
      <c r="RSY53" s="708">
        <f t="shared" si="233"/>
        <v>3.2620524524481885E+166</v>
      </c>
      <c r="RSZ53" s="708">
        <f t="shared" si="233"/>
        <v>3.3599140260216344E+166</v>
      </c>
      <c r="RTA53" s="708">
        <f t="shared" si="233"/>
        <v>3.4607114468022836E+166</v>
      </c>
      <c r="RTB53" s="708">
        <f t="shared" si="233"/>
        <v>3.5645327902063526E+166</v>
      </c>
      <c r="RTC53" s="708">
        <f t="shared" si="233"/>
        <v>3.6714687739125435E+166</v>
      </c>
      <c r="RTD53" s="708">
        <f t="shared" si="233"/>
        <v>3.7816128371299198E+166</v>
      </c>
      <c r="RTE53" s="708">
        <f t="shared" si="233"/>
        <v>3.8950612222438177E+166</v>
      </c>
      <c r="RTF53" s="708">
        <f t="shared" si="233"/>
        <v>4.0119130589111324E+166</v>
      </c>
      <c r="RTG53" s="708">
        <f t="shared" si="233"/>
        <v>4.1322704506784662E+166</v>
      </c>
      <c r="RTH53" s="708">
        <f t="shared" si="233"/>
        <v>4.25623856419882E+166</v>
      </c>
      <c r="RTI53" s="708">
        <f t="shared" si="233"/>
        <v>4.3839257211247847E+166</v>
      </c>
      <c r="RTJ53" s="708">
        <f t="shared" si="233"/>
        <v>4.5154434927585283E+166</v>
      </c>
      <c r="RTK53" s="708">
        <f t="shared" si="233"/>
        <v>4.6509067975412846E+166</v>
      </c>
      <c r="RTL53" s="708">
        <f t="shared" si="233"/>
        <v>4.7904340014675234E+166</v>
      </c>
      <c r="RTM53" s="708">
        <f t="shared" si="233"/>
        <v>4.9341470215115493E+166</v>
      </c>
      <c r="RTN53" s="708">
        <f t="shared" si="233"/>
        <v>5.0821714321568961E+166</v>
      </c>
      <c r="RTO53" s="708">
        <f t="shared" si="233"/>
        <v>5.2346365751216033E+166</v>
      </c>
      <c r="RTP53" s="708">
        <f t="shared" si="233"/>
        <v>5.3916756723752512E+166</v>
      </c>
      <c r="RTQ53" s="708">
        <f t="shared" si="233"/>
        <v>5.5534259425465087E+166</v>
      </c>
      <c r="RTR53" s="708">
        <f t="shared" si="233"/>
        <v>5.7200287208229041E+166</v>
      </c>
      <c r="RTS53" s="708">
        <f t="shared" si="233"/>
        <v>5.8916295824475917E+166</v>
      </c>
      <c r="RTT53" s="708">
        <f t="shared" si="233"/>
        <v>6.06837846992102E+166</v>
      </c>
      <c r="RTU53" s="708">
        <f t="shared" si="233"/>
        <v>6.2504298240186511E+166</v>
      </c>
      <c r="RTV53" s="708">
        <f t="shared" si="233"/>
        <v>6.4379427187392112E+166</v>
      </c>
      <c r="RTW53" s="708">
        <f t="shared" si="233"/>
        <v>6.6310810003013882E+166</v>
      </c>
      <c r="RTX53" s="708">
        <f t="shared" si="233"/>
        <v>6.8300134303104295E+166</v>
      </c>
      <c r="RTY53" s="708">
        <f t="shared" si="233"/>
        <v>7.0349138332197423E+166</v>
      </c>
      <c r="RTZ53" s="708">
        <f t="shared" si="233"/>
        <v>7.2459612482163354E+166</v>
      </c>
      <c r="RUA53" s="708">
        <f t="shared" si="233"/>
        <v>7.4633400856628254E+166</v>
      </c>
      <c r="RUB53" s="708">
        <f t="shared" si="233"/>
        <v>7.68724028823271E+166</v>
      </c>
      <c r="RUC53" s="708">
        <f t="shared" si="233"/>
        <v>7.9178574968796917E+166</v>
      </c>
      <c r="RUD53" s="708">
        <f t="shared" si="233"/>
        <v>8.1553932217860825E+166</v>
      </c>
      <c r="RUE53" s="708">
        <f t="shared" si="233"/>
        <v>8.4000550184396653E+166</v>
      </c>
      <c r="RUF53" s="708">
        <f t="shared" si="233"/>
        <v>8.6520566689928552E+166</v>
      </c>
      <c r="RUG53" s="708">
        <f t="shared" si="233"/>
        <v>8.9116183690626415E+166</v>
      </c>
      <c r="RUH53" s="708">
        <f t="shared" si="233"/>
        <v>9.178966920134521E+166</v>
      </c>
      <c r="RUI53" s="708">
        <f t="shared" si="233"/>
        <v>9.4543359277385568E+166</v>
      </c>
      <c r="RUJ53" s="708">
        <f t="shared" si="233"/>
        <v>9.7379660055707139E+166</v>
      </c>
      <c r="RUK53" s="708">
        <f t="shared" si="233"/>
        <v>1.0030104985737835E+167</v>
      </c>
      <c r="RUL53" s="708">
        <f t="shared" si="233"/>
        <v>1.033100813530997E+167</v>
      </c>
      <c r="RUM53" s="708">
        <f t="shared" si="233"/>
        <v>1.0640938379369269E+167</v>
      </c>
      <c r="RUN53" s="708">
        <f t="shared" si="233"/>
        <v>1.0960166530750347E+167</v>
      </c>
      <c r="RUO53" s="708">
        <f t="shared" si="233"/>
        <v>1.1288971526672858E+167</v>
      </c>
      <c r="RUP53" s="708">
        <f t="shared" si="233"/>
        <v>1.1627640672473043E+167</v>
      </c>
      <c r="RUQ53" s="708">
        <f t="shared" si="233"/>
        <v>1.1976469892647233E+167</v>
      </c>
      <c r="RUR53" s="708">
        <f t="shared" si="233"/>
        <v>1.2335763989426652E+167</v>
      </c>
      <c r="RUS53" s="708">
        <f t="shared" si="233"/>
        <v>1.2705836909109453E+167</v>
      </c>
      <c r="RUT53" s="708">
        <f t="shared" si="233"/>
        <v>1.3087012016382736E+167</v>
      </c>
      <c r="RUU53" s="708">
        <f t="shared" si="233"/>
        <v>1.3479622376874219E+167</v>
      </c>
      <c r="RUV53" s="708">
        <f t="shared" si="233"/>
        <v>1.3884011048180445E+167</v>
      </c>
      <c r="RUW53" s="708">
        <f t="shared" si="233"/>
        <v>1.430053137962586E+167</v>
      </c>
      <c r="RUX53" s="708">
        <f t="shared" si="233"/>
        <v>1.4729547321014635E+167</v>
      </c>
      <c r="RUY53" s="708">
        <f t="shared" si="233"/>
        <v>1.5171433740645073E+167</v>
      </c>
      <c r="RUZ53" s="708">
        <f t="shared" si="233"/>
        <v>1.5626576752864427E+167</v>
      </c>
      <c r="RVA53" s="708">
        <f t="shared" si="233"/>
        <v>1.609537405545036E+167</v>
      </c>
      <c r="RVB53" s="708">
        <f t="shared" ref="RVB53:RXM53" si="234">RVA53*$C$53</f>
        <v>1.6578235277113872E+167</v>
      </c>
      <c r="RVC53" s="708">
        <f t="shared" si="234"/>
        <v>1.7075582335427289E+167</v>
      </c>
      <c r="RVD53" s="708">
        <f t="shared" si="234"/>
        <v>1.7587849805490107E+167</v>
      </c>
      <c r="RVE53" s="708">
        <f t="shared" si="234"/>
        <v>1.8115485299654811E+167</v>
      </c>
      <c r="RVF53" s="708">
        <f t="shared" si="234"/>
        <v>1.8658949858644457E+167</v>
      </c>
      <c r="RVG53" s="708">
        <f t="shared" si="234"/>
        <v>1.9218718354403791E+167</v>
      </c>
      <c r="RVH53" s="708">
        <f t="shared" si="234"/>
        <v>1.9795279905035906E+167</v>
      </c>
      <c r="RVI53" s="708">
        <f t="shared" si="234"/>
        <v>2.0389138302186984E+167</v>
      </c>
      <c r="RVJ53" s="708">
        <f t="shared" si="234"/>
        <v>2.1000812451252593E+167</v>
      </c>
      <c r="RVK53" s="708">
        <f t="shared" si="234"/>
        <v>2.1630836824790172E+167</v>
      </c>
      <c r="RVL53" s="708">
        <f t="shared" si="234"/>
        <v>2.2279761929533878E+167</v>
      </c>
      <c r="RVM53" s="708">
        <f t="shared" si="234"/>
        <v>2.2948154787419894E+167</v>
      </c>
      <c r="RVN53" s="708">
        <f t="shared" si="234"/>
        <v>2.3636599431042492E+167</v>
      </c>
      <c r="RVO53" s="708">
        <f t="shared" si="234"/>
        <v>2.4345697413973768E+167</v>
      </c>
      <c r="RVP53" s="708">
        <f t="shared" si="234"/>
        <v>2.507606833639298E+167</v>
      </c>
      <c r="RVQ53" s="708">
        <f t="shared" si="234"/>
        <v>2.582835038648477E+167</v>
      </c>
      <c r="RVR53" s="708">
        <f t="shared" si="234"/>
        <v>2.6603200898079315E+167</v>
      </c>
      <c r="RVS53" s="708">
        <f t="shared" si="234"/>
        <v>2.7401296925021693E+167</v>
      </c>
      <c r="RVT53" s="708">
        <f t="shared" si="234"/>
        <v>2.8223335832772344E+167</v>
      </c>
      <c r="RVU53" s="708">
        <f t="shared" si="234"/>
        <v>2.9070035907755517E+167</v>
      </c>
      <c r="RVV53" s="708">
        <f t="shared" si="234"/>
        <v>2.9942136984988183E+167</v>
      </c>
      <c r="RVW53" s="708">
        <f t="shared" si="234"/>
        <v>3.0840401094537829E+167</v>
      </c>
      <c r="RVX53" s="708">
        <f t="shared" si="234"/>
        <v>3.1765613127373963E+167</v>
      </c>
      <c r="RVY53" s="708">
        <f t="shared" si="234"/>
        <v>3.2718581521195183E+167</v>
      </c>
      <c r="RVZ53" s="708">
        <f t="shared" si="234"/>
        <v>3.3700138966831041E+167</v>
      </c>
      <c r="RWA53" s="708">
        <f t="shared" si="234"/>
        <v>3.4711143135835972E+167</v>
      </c>
      <c r="RWB53" s="708">
        <f t="shared" si="234"/>
        <v>3.5752477429911051E+167</v>
      </c>
      <c r="RWC53" s="708">
        <f t="shared" si="234"/>
        <v>3.6825051752808383E+167</v>
      </c>
      <c r="RWD53" s="708">
        <f t="shared" si="234"/>
        <v>3.7929803305392633E+167</v>
      </c>
      <c r="RWE53" s="708">
        <f t="shared" si="234"/>
        <v>3.9067697404554412E+167</v>
      </c>
      <c r="RWF53" s="708">
        <f t="shared" si="234"/>
        <v>4.0239728326691043E+167</v>
      </c>
      <c r="RWG53" s="708">
        <f t="shared" si="234"/>
        <v>4.1446920176491775E+167</v>
      </c>
      <c r="RWH53" s="708">
        <f t="shared" si="234"/>
        <v>4.269032778178653E+167</v>
      </c>
      <c r="RWI53" s="708">
        <f t="shared" si="234"/>
        <v>4.3971037615240126E+167</v>
      </c>
      <c r="RWJ53" s="708">
        <f t="shared" si="234"/>
        <v>4.5290168743697328E+167</v>
      </c>
      <c r="RWK53" s="708">
        <f t="shared" si="234"/>
        <v>4.6648873806008248E+167</v>
      </c>
      <c r="RWL53" s="708">
        <f t="shared" si="234"/>
        <v>4.8048340020188497E+167</v>
      </c>
      <c r="RWM53" s="708">
        <f t="shared" si="234"/>
        <v>4.9489790220794157E+167</v>
      </c>
      <c r="RWN53" s="708">
        <f t="shared" si="234"/>
        <v>5.0974483927417979E+167</v>
      </c>
      <c r="RWO53" s="708">
        <f t="shared" si="234"/>
        <v>5.2503718445240515E+167</v>
      </c>
      <c r="RWP53" s="708">
        <f t="shared" si="234"/>
        <v>5.4078829998597727E+167</v>
      </c>
      <c r="RWQ53" s="708">
        <f t="shared" si="234"/>
        <v>5.5701194898555657E+167</v>
      </c>
      <c r="RWR53" s="708">
        <f t="shared" si="234"/>
        <v>5.7372230745512329E+167</v>
      </c>
      <c r="RWS53" s="708">
        <f t="shared" si="234"/>
        <v>5.9093397667877705E+167</v>
      </c>
      <c r="RWT53" s="708">
        <f t="shared" si="234"/>
        <v>6.0866199597914037E+167</v>
      </c>
      <c r="RWU53" s="708">
        <f t="shared" si="234"/>
        <v>6.269218558585146E+167</v>
      </c>
      <c r="RWV53" s="708">
        <f t="shared" si="234"/>
        <v>6.4572951153427007E+167</v>
      </c>
      <c r="RWW53" s="708">
        <f t="shared" si="234"/>
        <v>6.6510139688029818E+167</v>
      </c>
      <c r="RWX53" s="708">
        <f t="shared" si="234"/>
        <v>6.8505443878670718E+167</v>
      </c>
      <c r="RWY53" s="708">
        <f t="shared" si="234"/>
        <v>7.0560607195030839E+167</v>
      </c>
      <c r="RWZ53" s="708">
        <f t="shared" si="234"/>
        <v>7.2677425410881763E+167</v>
      </c>
      <c r="RXA53" s="708">
        <f t="shared" si="234"/>
        <v>7.4857748173208218E+167</v>
      </c>
      <c r="RXB53" s="708">
        <f t="shared" si="234"/>
        <v>7.7103480618404464E+167</v>
      </c>
      <c r="RXC53" s="708">
        <f t="shared" si="234"/>
        <v>7.9416585036956599E+167</v>
      </c>
      <c r="RXD53" s="708">
        <f t="shared" si="234"/>
        <v>8.1799082588065298E+167</v>
      </c>
      <c r="RXE53" s="708">
        <f t="shared" si="234"/>
        <v>8.4253055065707259E+167</v>
      </c>
      <c r="RXF53" s="708">
        <f t="shared" si="234"/>
        <v>8.6780646717678482E+167</v>
      </c>
      <c r="RXG53" s="708">
        <f t="shared" si="234"/>
        <v>8.9384066119208836E+167</v>
      </c>
      <c r="RXH53" s="708">
        <f t="shared" si="234"/>
        <v>9.2065588102785101E+167</v>
      </c>
      <c r="RXI53" s="708">
        <f t="shared" si="234"/>
        <v>9.4827555745868665E+167</v>
      </c>
      <c r="RXJ53" s="708">
        <f t="shared" si="234"/>
        <v>9.7672382418244735E+167</v>
      </c>
      <c r="RXK53" s="708">
        <f t="shared" si="234"/>
        <v>1.0060255389079208E+168</v>
      </c>
      <c r="RXL53" s="708">
        <f t="shared" si="234"/>
        <v>1.0362063050751585E+168</v>
      </c>
      <c r="RXM53" s="708">
        <f t="shared" si="234"/>
        <v>1.0672924942274133E+168</v>
      </c>
      <c r="RXN53" s="708">
        <f t="shared" ref="RXN53:RZY53" si="235">RXM53*$C$53</f>
        <v>1.0993112690542357E+168</v>
      </c>
      <c r="RXO53" s="708">
        <f t="shared" si="235"/>
        <v>1.1322906071258627E+168</v>
      </c>
      <c r="RXP53" s="708">
        <f t="shared" si="235"/>
        <v>1.1662593253396386E+168</v>
      </c>
      <c r="RXQ53" s="708">
        <f t="shared" si="235"/>
        <v>1.2012471050998278E+168</v>
      </c>
      <c r="RXR53" s="708">
        <f t="shared" si="235"/>
        <v>1.2372845182528227E+168</v>
      </c>
      <c r="RXS53" s="708">
        <f t="shared" si="235"/>
        <v>1.2744030538004073E+168</v>
      </c>
      <c r="RXT53" s="708">
        <f t="shared" si="235"/>
        <v>1.3126351454144196E+168</v>
      </c>
      <c r="RXU53" s="708">
        <f t="shared" si="235"/>
        <v>1.3520141997768522E+168</v>
      </c>
      <c r="RXV53" s="708">
        <f t="shared" si="235"/>
        <v>1.3925746257701578E+168</v>
      </c>
      <c r="RXW53" s="708">
        <f t="shared" si="235"/>
        <v>1.4343518645432625E+168</v>
      </c>
      <c r="RXX53" s="708">
        <f t="shared" si="235"/>
        <v>1.4773824204795605E+168</v>
      </c>
      <c r="RXY53" s="708">
        <f t="shared" si="235"/>
        <v>1.5217038930939473E+168</v>
      </c>
      <c r="RXZ53" s="708">
        <f t="shared" si="235"/>
        <v>1.5673550098867659E+168</v>
      </c>
      <c r="RYA53" s="708">
        <f t="shared" si="235"/>
        <v>1.6143756601833689E+168</v>
      </c>
      <c r="RYB53" s="708">
        <f t="shared" si="235"/>
        <v>1.66280692998887E+168</v>
      </c>
      <c r="RYC53" s="708">
        <f t="shared" si="235"/>
        <v>1.7126911378885361E+168</v>
      </c>
      <c r="RYD53" s="708">
        <f t="shared" si="235"/>
        <v>1.7640718720251921E+168</v>
      </c>
      <c r="RYE53" s="708">
        <f t="shared" si="235"/>
        <v>1.816994028185948E+168</v>
      </c>
      <c r="RYF53" s="708">
        <f t="shared" si="235"/>
        <v>1.8715038490315265E+168</v>
      </c>
      <c r="RYG53" s="708">
        <f t="shared" si="235"/>
        <v>1.9276489645024723E+168</v>
      </c>
      <c r="RYH53" s="708">
        <f t="shared" si="235"/>
        <v>1.9854784334375465E+168</v>
      </c>
      <c r="RYI53" s="708">
        <f t="shared" si="235"/>
        <v>2.045042786440673E+168</v>
      </c>
      <c r="RYJ53" s="708">
        <f t="shared" si="235"/>
        <v>2.1063940700338931E+168</v>
      </c>
      <c r="RYK53" s="708">
        <f t="shared" si="235"/>
        <v>2.16958589213491E+168</v>
      </c>
      <c r="RYL53" s="708">
        <f t="shared" si="235"/>
        <v>2.2346734688989575E+168</v>
      </c>
      <c r="RYM53" s="708">
        <f t="shared" si="235"/>
        <v>2.3017136729659263E+168</v>
      </c>
      <c r="RYN53" s="708">
        <f t="shared" si="235"/>
        <v>2.370765083154904E+168</v>
      </c>
      <c r="RYO53" s="708">
        <f t="shared" si="235"/>
        <v>2.4418880356495511E+168</v>
      </c>
      <c r="RYP53" s="708">
        <f t="shared" si="235"/>
        <v>2.5151446767190377E+168</v>
      </c>
      <c r="RYQ53" s="708">
        <f t="shared" si="235"/>
        <v>2.5905990170206089E+168</v>
      </c>
      <c r="RYR53" s="708">
        <f t="shared" si="235"/>
        <v>2.6683169875312274E+168</v>
      </c>
      <c r="RYS53" s="708">
        <f t="shared" si="235"/>
        <v>2.7483664971571643E+168</v>
      </c>
      <c r="RYT53" s="708">
        <f t="shared" si="235"/>
        <v>2.8308174920718793E+168</v>
      </c>
      <c r="RYU53" s="708">
        <f t="shared" si="235"/>
        <v>2.9157420168340358E+168</v>
      </c>
      <c r="RYV53" s="708">
        <f t="shared" si="235"/>
        <v>3.0032142773390568E+168</v>
      </c>
      <c r="RYW53" s="708">
        <f t="shared" si="235"/>
        <v>3.0933107056592285E+168</v>
      </c>
      <c r="RYX53" s="708">
        <f t="shared" si="235"/>
        <v>3.1861100268290056E+168</v>
      </c>
      <c r="RYY53" s="708">
        <f t="shared" si="235"/>
        <v>3.2816933276338759E+168</v>
      </c>
      <c r="RYZ53" s="708">
        <f t="shared" si="235"/>
        <v>3.3801441274628922E+168</v>
      </c>
      <c r="RZA53" s="708">
        <f t="shared" si="235"/>
        <v>3.4815484512867788E+168</v>
      </c>
      <c r="RZB53" s="708">
        <f t="shared" si="235"/>
        <v>3.5859949048253821E+168</v>
      </c>
      <c r="RZC53" s="708">
        <f t="shared" si="235"/>
        <v>3.6935747519701439E+168</v>
      </c>
      <c r="RZD53" s="708">
        <f t="shared" si="235"/>
        <v>3.8043819945292483E+168</v>
      </c>
      <c r="RZE53" s="708">
        <f t="shared" si="235"/>
        <v>3.9185134543651263E+168</v>
      </c>
      <c r="RZF53" s="708">
        <f t="shared" si="235"/>
        <v>4.0360688579960803E+168</v>
      </c>
      <c r="RZG53" s="708">
        <f t="shared" si="235"/>
        <v>4.1571509237359625E+168</v>
      </c>
      <c r="RZH53" s="708">
        <f t="shared" si="235"/>
        <v>4.2818654514480413E+168</v>
      </c>
      <c r="RZI53" s="708">
        <f t="shared" si="235"/>
        <v>4.4103214149914828E+168</v>
      </c>
      <c r="RZJ53" s="708">
        <f t="shared" si="235"/>
        <v>4.5426310574412278E+168</v>
      </c>
      <c r="RZK53" s="708">
        <f t="shared" si="235"/>
        <v>4.6789099891644645E+168</v>
      </c>
      <c r="RZL53" s="708">
        <f t="shared" si="235"/>
        <v>4.8192772888393983E+168</v>
      </c>
      <c r="RZM53" s="708">
        <f t="shared" si="235"/>
        <v>4.9638556075045801E+168</v>
      </c>
      <c r="RZN53" s="708">
        <f t="shared" si="235"/>
        <v>5.1127712757297173E+168</v>
      </c>
      <c r="RZO53" s="708">
        <f t="shared" si="235"/>
        <v>5.2661544140016089E+168</v>
      </c>
      <c r="RZP53" s="708">
        <f t="shared" si="235"/>
        <v>5.424139046421657E+168</v>
      </c>
      <c r="RZQ53" s="708">
        <f t="shared" si="235"/>
        <v>5.5868632178143072E+168</v>
      </c>
      <c r="RZR53" s="708">
        <f t="shared" si="235"/>
        <v>5.7544691143487366E+168</v>
      </c>
      <c r="RZS53" s="708">
        <f t="shared" si="235"/>
        <v>5.927103187779199E+168</v>
      </c>
      <c r="RZT53" s="708">
        <f t="shared" si="235"/>
        <v>6.1049162834125751E+168</v>
      </c>
      <c r="RZU53" s="708">
        <f t="shared" si="235"/>
        <v>6.2880637719149521E+168</v>
      </c>
      <c r="RZV53" s="708">
        <f t="shared" si="235"/>
        <v>6.4767056850724007E+168</v>
      </c>
      <c r="RZW53" s="708">
        <f t="shared" si="235"/>
        <v>6.6710068556245729E+168</v>
      </c>
      <c r="RZX53" s="708">
        <f t="shared" si="235"/>
        <v>6.8711370612933103E+168</v>
      </c>
      <c r="RZY53" s="708">
        <f t="shared" si="235"/>
        <v>7.0772711731321102E+168</v>
      </c>
      <c r="RZZ53" s="708">
        <f t="shared" ref="RZZ53:SCK53" si="236">RZY53*$C$53</f>
        <v>7.289589308326074E+168</v>
      </c>
      <c r="SAA53" s="708">
        <f t="shared" si="236"/>
        <v>7.5082769875758566E+168</v>
      </c>
      <c r="SAB53" s="708">
        <f t="shared" si="236"/>
        <v>7.7335252972031332E+168</v>
      </c>
      <c r="SAC53" s="708">
        <f t="shared" si="236"/>
        <v>7.9655310561192279E+168</v>
      </c>
      <c r="SAD53" s="708">
        <f t="shared" si="236"/>
        <v>8.2044969878028045E+168</v>
      </c>
      <c r="SAE53" s="708">
        <f t="shared" si="236"/>
        <v>8.450631897436889E+168</v>
      </c>
      <c r="SAF53" s="708">
        <f t="shared" si="236"/>
        <v>8.7041508543599961E+168</v>
      </c>
      <c r="SAG53" s="708">
        <f t="shared" si="236"/>
        <v>8.9652753799907957E+168</v>
      </c>
      <c r="SAH53" s="708">
        <f t="shared" si="236"/>
        <v>9.2342336413905192E+168</v>
      </c>
      <c r="SAI53" s="708">
        <f t="shared" si="236"/>
        <v>9.5112606506322346E+168</v>
      </c>
      <c r="SAJ53" s="708">
        <f t="shared" si="236"/>
        <v>9.7965984701512013E+168</v>
      </c>
      <c r="SAK53" s="708">
        <f t="shared" si="236"/>
        <v>1.0090496424255738E+169</v>
      </c>
      <c r="SAL53" s="708">
        <f t="shared" si="236"/>
        <v>1.039321131698341E+169</v>
      </c>
      <c r="SAM53" s="708">
        <f t="shared" si="236"/>
        <v>1.0705007656492913E+169</v>
      </c>
      <c r="SAN53" s="708">
        <f t="shared" si="236"/>
        <v>1.10261578861877E+169</v>
      </c>
      <c r="SAO53" s="708">
        <f t="shared" si="236"/>
        <v>1.1356942622773332E+169</v>
      </c>
      <c r="SAP53" s="708">
        <f t="shared" si="236"/>
        <v>1.1697650901456533E+169</v>
      </c>
      <c r="SAQ53" s="708">
        <f t="shared" si="236"/>
        <v>1.2048580428500229E+169</v>
      </c>
      <c r="SAR53" s="708">
        <f t="shared" si="236"/>
        <v>1.2410037841355237E+169</v>
      </c>
      <c r="SAS53" s="708">
        <f t="shared" si="236"/>
        <v>1.2782338976595894E+169</v>
      </c>
      <c r="SAT53" s="708">
        <f t="shared" si="236"/>
        <v>1.3165809145893772E+169</v>
      </c>
      <c r="SAU53" s="708">
        <f t="shared" si="236"/>
        <v>1.3560783420270586E+169</v>
      </c>
      <c r="SAV53" s="708">
        <f t="shared" si="236"/>
        <v>1.3967606922878704E+169</v>
      </c>
      <c r="SAW53" s="708">
        <f t="shared" si="236"/>
        <v>1.4386635130565066E+169</v>
      </c>
      <c r="SAX53" s="708">
        <f t="shared" si="236"/>
        <v>1.4818234184482018E+169</v>
      </c>
      <c r="SAY53" s="708">
        <f t="shared" si="236"/>
        <v>1.5262781210016478E+169</v>
      </c>
      <c r="SAZ53" s="708">
        <f t="shared" si="236"/>
        <v>1.5720664646316973E+169</v>
      </c>
      <c r="SBA53" s="708">
        <f t="shared" si="236"/>
        <v>1.6192284585706483E+169</v>
      </c>
      <c r="SBB53" s="708">
        <f t="shared" si="236"/>
        <v>1.6678053123277677E+169</v>
      </c>
      <c r="SBC53" s="708">
        <f t="shared" si="236"/>
        <v>1.7178394716976007E+169</v>
      </c>
      <c r="SBD53" s="708">
        <f t="shared" si="236"/>
        <v>1.7693746558485287E+169</v>
      </c>
      <c r="SBE53" s="708">
        <f t="shared" si="236"/>
        <v>1.8224558955239845E+169</v>
      </c>
      <c r="SBF53" s="708">
        <f t="shared" si="236"/>
        <v>1.8771295723897042E+169</v>
      </c>
      <c r="SBG53" s="708">
        <f t="shared" si="236"/>
        <v>1.9334434595613954E+169</v>
      </c>
      <c r="SBH53" s="708">
        <f t="shared" si="236"/>
        <v>1.9914467633482373E+169</v>
      </c>
      <c r="SBI53" s="708">
        <f t="shared" si="236"/>
        <v>2.0511901662486845E+169</v>
      </c>
      <c r="SBJ53" s="708">
        <f t="shared" si="236"/>
        <v>2.1127258712361452E+169</v>
      </c>
      <c r="SBK53" s="708">
        <f t="shared" si="236"/>
        <v>2.1761076473732296E+169</v>
      </c>
      <c r="SBL53" s="708">
        <f t="shared" si="236"/>
        <v>2.2413908767944264E+169</v>
      </c>
      <c r="SBM53" s="708">
        <f t="shared" si="236"/>
        <v>2.3086326030982592E+169</v>
      </c>
      <c r="SBN53" s="708">
        <f t="shared" si="236"/>
        <v>2.377891581191207E+169</v>
      </c>
      <c r="SBO53" s="708">
        <f t="shared" si="236"/>
        <v>2.4492283286269431E+169</v>
      </c>
      <c r="SBP53" s="708">
        <f t="shared" si="236"/>
        <v>2.5227051784857514E+169</v>
      </c>
      <c r="SBQ53" s="708">
        <f t="shared" si="236"/>
        <v>2.5983863338403241E+169</v>
      </c>
      <c r="SBR53" s="708">
        <f t="shared" si="236"/>
        <v>2.6763379238555338E+169</v>
      </c>
      <c r="SBS53" s="708">
        <f t="shared" si="236"/>
        <v>2.7566280615712E+169</v>
      </c>
      <c r="SBT53" s="708">
        <f t="shared" si="236"/>
        <v>2.8393269034183362E+169</v>
      </c>
      <c r="SBU53" s="708">
        <f t="shared" si="236"/>
        <v>2.9245067105208865E+169</v>
      </c>
      <c r="SBV53" s="708">
        <f t="shared" si="236"/>
        <v>3.0122419118365131E+169</v>
      </c>
      <c r="SBW53" s="708">
        <f t="shared" si="236"/>
        <v>3.1026091691916089E+169</v>
      </c>
      <c r="SBX53" s="708">
        <f t="shared" si="236"/>
        <v>3.1956874442673571E+169</v>
      </c>
      <c r="SBY53" s="708">
        <f t="shared" si="236"/>
        <v>3.2915580675953779E+169</v>
      </c>
      <c r="SBZ53" s="708">
        <f t="shared" si="236"/>
        <v>3.3903048096232395E+169</v>
      </c>
      <c r="SCA53" s="708">
        <f t="shared" si="236"/>
        <v>3.4920139539119368E+169</v>
      </c>
      <c r="SCB53" s="708">
        <f t="shared" si="236"/>
        <v>3.5967743725292947E+169</v>
      </c>
      <c r="SCC53" s="708">
        <f t="shared" si="236"/>
        <v>3.7046776037051737E+169</v>
      </c>
      <c r="SCD53" s="708">
        <f t="shared" si="236"/>
        <v>3.815817931816329E+169</v>
      </c>
      <c r="SCE53" s="708">
        <f t="shared" si="236"/>
        <v>3.9302924697708188E+169</v>
      </c>
      <c r="SCF53" s="708">
        <f t="shared" si="236"/>
        <v>4.0482012438639434E+169</v>
      </c>
      <c r="SCG53" s="708">
        <f t="shared" si="236"/>
        <v>4.1696472811798619E+169</v>
      </c>
      <c r="SCH53" s="708">
        <f t="shared" si="236"/>
        <v>4.2947366996152579E+169</v>
      </c>
      <c r="SCI53" s="708">
        <f t="shared" si="236"/>
        <v>4.4235788006037156E+169</v>
      </c>
      <c r="SCJ53" s="708">
        <f t="shared" si="236"/>
        <v>4.5562861646218273E+169</v>
      </c>
      <c r="SCK53" s="708">
        <f t="shared" si="236"/>
        <v>4.6929747495604823E+169</v>
      </c>
      <c r="SCL53" s="708">
        <f t="shared" ref="SCL53:SEW53" si="237">SCK53*$C$53</f>
        <v>4.8337639920472967E+169</v>
      </c>
      <c r="SCM53" s="708">
        <f t="shared" si="237"/>
        <v>4.9787769118087158E+169</v>
      </c>
      <c r="SCN53" s="708">
        <f t="shared" si="237"/>
        <v>5.1281402191629775E+169</v>
      </c>
      <c r="SCO53" s="708">
        <f t="shared" si="237"/>
        <v>5.2819844257378667E+169</v>
      </c>
      <c r="SCP53" s="708">
        <f t="shared" si="237"/>
        <v>5.4404439585100026E+169</v>
      </c>
      <c r="SCQ53" s="708">
        <f t="shared" si="237"/>
        <v>5.603657277265303E+169</v>
      </c>
      <c r="SCR53" s="708">
        <f t="shared" si="237"/>
        <v>5.7717669955832624E+169</v>
      </c>
      <c r="SCS53" s="708">
        <f t="shared" si="237"/>
        <v>5.9449200054507602E+169</v>
      </c>
      <c r="SCT53" s="708">
        <f t="shared" si="237"/>
        <v>6.1232676056142829E+169</v>
      </c>
      <c r="SCU53" s="708">
        <f t="shared" si="237"/>
        <v>6.306965633782711E+169</v>
      </c>
      <c r="SCV53" s="708">
        <f t="shared" si="237"/>
        <v>6.4961746027961929E+169</v>
      </c>
      <c r="SCW53" s="708">
        <f t="shared" si="237"/>
        <v>6.6910598408800793E+169</v>
      </c>
      <c r="SCX53" s="708">
        <f t="shared" si="237"/>
        <v>6.8917916361064823E+169</v>
      </c>
      <c r="SCY53" s="708">
        <f t="shared" si="237"/>
        <v>7.0985453851896772E+169</v>
      </c>
      <c r="SCZ53" s="708">
        <f t="shared" si="237"/>
        <v>7.3115017467453671E+169</v>
      </c>
      <c r="SDA53" s="708">
        <f t="shared" si="237"/>
        <v>7.5308467991477277E+169</v>
      </c>
      <c r="SDB53" s="708">
        <f t="shared" si="237"/>
        <v>7.7567722031221601E+169</v>
      </c>
      <c r="SDC53" s="708">
        <f t="shared" si="237"/>
        <v>7.9894753692158253E+169</v>
      </c>
      <c r="SDD53" s="708">
        <f t="shared" si="237"/>
        <v>8.2291596302923006E+169</v>
      </c>
      <c r="SDE53" s="708">
        <f t="shared" si="237"/>
        <v>8.4760344192010703E+169</v>
      </c>
      <c r="SDF53" s="708">
        <f t="shared" si="237"/>
        <v>8.7303154517771028E+169</v>
      </c>
      <c r="SDG53" s="708">
        <f t="shared" si="237"/>
        <v>8.9922249153304157E+169</v>
      </c>
      <c r="SDH53" s="708">
        <f t="shared" si="237"/>
        <v>9.2619916627903289E+169</v>
      </c>
      <c r="SDI53" s="708">
        <f t="shared" si="237"/>
        <v>9.5398514126740394E+169</v>
      </c>
      <c r="SDJ53" s="708">
        <f t="shared" si="237"/>
        <v>9.8260469550542607E+169</v>
      </c>
      <c r="SDK53" s="708">
        <f t="shared" si="237"/>
        <v>1.0120828363705889E+170</v>
      </c>
      <c r="SDL53" s="708">
        <f t="shared" si="237"/>
        <v>1.0424453214617065E+170</v>
      </c>
      <c r="SDM53" s="708">
        <f t="shared" si="237"/>
        <v>1.0737186811055577E+170</v>
      </c>
      <c r="SDN53" s="708">
        <f t="shared" si="237"/>
        <v>1.1059302415387245E+170</v>
      </c>
      <c r="SDO53" s="708">
        <f t="shared" si="237"/>
        <v>1.1391081487848863E+170</v>
      </c>
      <c r="SDP53" s="708">
        <f t="shared" si="237"/>
        <v>1.173281393248433E+170</v>
      </c>
      <c r="SDQ53" s="708">
        <f t="shared" si="237"/>
        <v>1.2084798350458859E+170</v>
      </c>
      <c r="SDR53" s="708">
        <f t="shared" si="237"/>
        <v>1.2447342300972626E+170</v>
      </c>
      <c r="SDS53" s="708">
        <f t="shared" si="237"/>
        <v>1.2820762570001804E+170</v>
      </c>
      <c r="SDT53" s="708">
        <f t="shared" si="237"/>
        <v>1.3205385447101858E+170</v>
      </c>
      <c r="SDU53" s="708">
        <f t="shared" si="237"/>
        <v>1.3601547010514913E+170</v>
      </c>
      <c r="SDV53" s="708">
        <f t="shared" si="237"/>
        <v>1.4009593420830361E+170</v>
      </c>
      <c r="SDW53" s="708">
        <f t="shared" si="237"/>
        <v>1.4429881223455271E+170</v>
      </c>
      <c r="SDX53" s="708">
        <f t="shared" si="237"/>
        <v>1.4862777660158928E+170</v>
      </c>
      <c r="SDY53" s="708">
        <f t="shared" si="237"/>
        <v>1.5308660989963697E+170</v>
      </c>
      <c r="SDZ53" s="708">
        <f t="shared" si="237"/>
        <v>1.5767920819662608E+170</v>
      </c>
      <c r="SEA53" s="708">
        <f t="shared" si="237"/>
        <v>1.6240958444252486E+170</v>
      </c>
      <c r="SEB53" s="708">
        <f t="shared" si="237"/>
        <v>1.6728187197580062E+170</v>
      </c>
      <c r="SEC53" s="708">
        <f t="shared" si="237"/>
        <v>1.7230032813507465E+170</v>
      </c>
      <c r="SED53" s="708">
        <f t="shared" si="237"/>
        <v>1.7746933797912688E+170</v>
      </c>
      <c r="SEE53" s="708">
        <f t="shared" si="237"/>
        <v>1.827934181185007E+170</v>
      </c>
      <c r="SEF53" s="708">
        <f t="shared" si="237"/>
        <v>1.8827722066205573E+170</v>
      </c>
      <c r="SEG53" s="708">
        <f t="shared" si="237"/>
        <v>1.939255372819174E+170</v>
      </c>
      <c r="SEH53" s="708">
        <f t="shared" si="237"/>
        <v>1.9974330340037494E+170</v>
      </c>
      <c r="SEI53" s="708">
        <f t="shared" si="237"/>
        <v>2.057356025023862E+170</v>
      </c>
      <c r="SEJ53" s="708">
        <f t="shared" si="237"/>
        <v>2.1190767057745781E+170</v>
      </c>
      <c r="SEK53" s="708">
        <f t="shared" si="237"/>
        <v>2.1826490069478156E+170</v>
      </c>
      <c r="SEL53" s="708">
        <f t="shared" si="237"/>
        <v>2.2481284771562501E+170</v>
      </c>
      <c r="SEM53" s="708">
        <f t="shared" si="237"/>
        <v>2.3155723314709378E+170</v>
      </c>
      <c r="SEN53" s="708">
        <f t="shared" si="237"/>
        <v>2.385039501415066E+170</v>
      </c>
      <c r="SEO53" s="708">
        <f t="shared" si="237"/>
        <v>2.4565906864575182E+170</v>
      </c>
      <c r="SEP53" s="708">
        <f t="shared" si="237"/>
        <v>2.5302884070512438E+170</v>
      </c>
      <c r="SEQ53" s="708">
        <f t="shared" si="237"/>
        <v>2.6061970592627812E+170</v>
      </c>
      <c r="SER53" s="708">
        <f t="shared" si="237"/>
        <v>2.6843829710406649E+170</v>
      </c>
      <c r="SES53" s="708">
        <f t="shared" si="237"/>
        <v>2.7649144601718848E+170</v>
      </c>
      <c r="SET53" s="708">
        <f t="shared" si="237"/>
        <v>2.8478618939770413E+170</v>
      </c>
      <c r="SEU53" s="708">
        <f t="shared" si="237"/>
        <v>2.9332977507963528E+170</v>
      </c>
      <c r="SEV53" s="708">
        <f t="shared" si="237"/>
        <v>3.0212966833202434E+170</v>
      </c>
      <c r="SEW53" s="708">
        <f t="shared" si="237"/>
        <v>3.1119355838198508E+170</v>
      </c>
      <c r="SEX53" s="708">
        <f t="shared" ref="SEX53:SHI53" si="238">SEW53*$C$53</f>
        <v>3.2052936513344465E+170</v>
      </c>
      <c r="SEY53" s="708">
        <f t="shared" si="238"/>
        <v>3.3014524608744801E+170</v>
      </c>
      <c r="SEZ53" s="708">
        <f t="shared" si="238"/>
        <v>3.4004960347007147E+170</v>
      </c>
      <c r="SFA53" s="708">
        <f t="shared" si="238"/>
        <v>3.5025109157417364E+170</v>
      </c>
      <c r="SFB53" s="708">
        <f t="shared" si="238"/>
        <v>3.6075862432139888E+170</v>
      </c>
      <c r="SFC53" s="708">
        <f t="shared" si="238"/>
        <v>3.7158138305104083E+170</v>
      </c>
      <c r="SFD53" s="708">
        <f t="shared" si="238"/>
        <v>3.8272882454257204E+170</v>
      </c>
      <c r="SFE53" s="708">
        <f t="shared" si="238"/>
        <v>3.9421068927884919E+170</v>
      </c>
      <c r="SFF53" s="708">
        <f t="shared" si="238"/>
        <v>4.0603700995721466E+170</v>
      </c>
      <c r="SFG53" s="708">
        <f t="shared" si="238"/>
        <v>4.1821812025593111E+170</v>
      </c>
      <c r="SFH53" s="708">
        <f t="shared" si="238"/>
        <v>4.3076466386360905E+170</v>
      </c>
      <c r="SFI53" s="708">
        <f t="shared" si="238"/>
        <v>4.4368760377951732E+170</v>
      </c>
      <c r="SFJ53" s="708">
        <f t="shared" si="238"/>
        <v>4.5699823189290287E+170</v>
      </c>
      <c r="SFK53" s="708">
        <f t="shared" si="238"/>
        <v>4.7070817884968997E+170</v>
      </c>
      <c r="SFL53" s="708">
        <f t="shared" si="238"/>
        <v>4.8482942421518064E+170</v>
      </c>
      <c r="SFM53" s="708">
        <f t="shared" si="238"/>
        <v>4.9937430694163606E+170</v>
      </c>
      <c r="SFN53" s="708">
        <f t="shared" si="238"/>
        <v>5.1435553614988515E+170</v>
      </c>
      <c r="SFO53" s="708">
        <f t="shared" si="238"/>
        <v>5.2978620223438173E+170</v>
      </c>
      <c r="SFP53" s="708">
        <f t="shared" si="238"/>
        <v>5.4567978830141318E+170</v>
      </c>
      <c r="SFQ53" s="708">
        <f t="shared" si="238"/>
        <v>5.6205018195045562E+170</v>
      </c>
      <c r="SFR53" s="708">
        <f t="shared" si="238"/>
        <v>5.789116874089693E+170</v>
      </c>
      <c r="SFS53" s="708">
        <f t="shared" si="238"/>
        <v>5.9627903803123839E+170</v>
      </c>
      <c r="SFT53" s="708">
        <f t="shared" si="238"/>
        <v>6.141674091721755E+170</v>
      </c>
      <c r="SFU53" s="708">
        <f t="shared" si="238"/>
        <v>6.3259243144734074E+170</v>
      </c>
      <c r="SFV53" s="708">
        <f t="shared" si="238"/>
        <v>6.5157020439076103E+170</v>
      </c>
      <c r="SFW53" s="708">
        <f t="shared" si="238"/>
        <v>6.7111731052248385E+170</v>
      </c>
      <c r="SFX53" s="708">
        <f t="shared" si="238"/>
        <v>6.912508298381584E+170</v>
      </c>
      <c r="SFY53" s="708">
        <f t="shared" si="238"/>
        <v>7.119883547333032E+170</v>
      </c>
      <c r="SFZ53" s="708">
        <f t="shared" si="238"/>
        <v>7.3334800537530234E+170</v>
      </c>
      <c r="SGA53" s="708">
        <f t="shared" si="238"/>
        <v>7.5534844553656139E+170</v>
      </c>
      <c r="SGB53" s="708">
        <f t="shared" si="238"/>
        <v>7.7800889890265827E+170</v>
      </c>
      <c r="SGC53" s="708">
        <f t="shared" si="238"/>
        <v>8.0134916586973802E+170</v>
      </c>
      <c r="SGD53" s="708">
        <f t="shared" si="238"/>
        <v>8.2538964084583014E+170</v>
      </c>
      <c r="SGE53" s="708">
        <f t="shared" si="238"/>
        <v>8.5015133007120508E+170</v>
      </c>
      <c r="SGF53" s="708">
        <f t="shared" si="238"/>
        <v>8.7565586997334126E+170</v>
      </c>
      <c r="SGG53" s="708">
        <f t="shared" si="238"/>
        <v>9.0192554607254148E+170</v>
      </c>
      <c r="SGH53" s="708">
        <f t="shared" si="238"/>
        <v>9.2898331245471774E+170</v>
      </c>
      <c r="SGI53" s="708">
        <f t="shared" si="238"/>
        <v>9.5685281182835931E+170</v>
      </c>
      <c r="SGJ53" s="708">
        <f t="shared" si="238"/>
        <v>9.8555839618321001E+170</v>
      </c>
      <c r="SGK53" s="708">
        <f t="shared" si="238"/>
        <v>1.0151251480687064E+171</v>
      </c>
      <c r="SGL53" s="708">
        <f t="shared" si="238"/>
        <v>1.0455789025107677E+171</v>
      </c>
      <c r="SGM53" s="708">
        <f t="shared" si="238"/>
        <v>1.0769462695860908E+171</v>
      </c>
      <c r="SGN53" s="708">
        <f t="shared" si="238"/>
        <v>1.1092546576736735E+171</v>
      </c>
      <c r="SGO53" s="708">
        <f t="shared" si="238"/>
        <v>1.1425322974038837E+171</v>
      </c>
      <c r="SGP53" s="708">
        <f t="shared" si="238"/>
        <v>1.1768082663260003E+171</v>
      </c>
      <c r="SGQ53" s="708">
        <f t="shared" si="238"/>
        <v>1.2121125143157804E+171</v>
      </c>
      <c r="SGR53" s="708">
        <f t="shared" si="238"/>
        <v>1.2484758897452538E+171</v>
      </c>
      <c r="SGS53" s="708">
        <f t="shared" si="238"/>
        <v>1.2859301664376113E+171</v>
      </c>
      <c r="SGT53" s="708">
        <f t="shared" si="238"/>
        <v>1.3245080714307396E+171</v>
      </c>
      <c r="SGU53" s="708">
        <f t="shared" si="238"/>
        <v>1.3642433135736618E+171</v>
      </c>
      <c r="SGV53" s="708">
        <f t="shared" si="238"/>
        <v>1.4051706129808716E+171</v>
      </c>
      <c r="SGW53" s="708">
        <f t="shared" si="238"/>
        <v>1.4473257313702978E+171</v>
      </c>
      <c r="SGX53" s="708">
        <f t="shared" si="238"/>
        <v>1.4907455033114067E+171</v>
      </c>
      <c r="SGY53" s="708">
        <f t="shared" si="238"/>
        <v>1.5354678684107489E+171</v>
      </c>
      <c r="SGZ53" s="708">
        <f t="shared" si="238"/>
        <v>1.5815319044630715E+171</v>
      </c>
      <c r="SHA53" s="708">
        <f t="shared" si="238"/>
        <v>1.6289778615969636E+171</v>
      </c>
      <c r="SHB53" s="708">
        <f t="shared" si="238"/>
        <v>1.6778471974448725E+171</v>
      </c>
      <c r="SHC53" s="708">
        <f t="shared" si="238"/>
        <v>1.7281826133682187E+171</v>
      </c>
      <c r="SHD53" s="708">
        <f t="shared" si="238"/>
        <v>1.7800280917692653E+171</v>
      </c>
      <c r="SHE53" s="708">
        <f t="shared" si="238"/>
        <v>1.8334289345223434E+171</v>
      </c>
      <c r="SHF53" s="708">
        <f t="shared" si="238"/>
        <v>1.8884318025580138E+171</v>
      </c>
      <c r="SHG53" s="708">
        <f t="shared" si="238"/>
        <v>1.9450847566347542E+171</v>
      </c>
      <c r="SHH53" s="708">
        <f t="shared" si="238"/>
        <v>2.0034372993337969E+171</v>
      </c>
      <c r="SHI53" s="708">
        <f t="shared" si="238"/>
        <v>2.0635404183138108E+171</v>
      </c>
      <c r="SHJ53" s="708">
        <f t="shared" ref="SHJ53:SJU53" si="239">SHI53*$C$53</f>
        <v>2.1254466308632252E+171</v>
      </c>
      <c r="SHK53" s="708">
        <f t="shared" si="239"/>
        <v>2.1892100297891221E+171</v>
      </c>
      <c r="SHL53" s="708">
        <f t="shared" si="239"/>
        <v>2.2548863306827957E+171</v>
      </c>
      <c r="SHM53" s="708">
        <f t="shared" si="239"/>
        <v>2.3225329206032796E+171</v>
      </c>
      <c r="SHN53" s="708">
        <f t="shared" si="239"/>
        <v>2.3922089082213781E+171</v>
      </c>
      <c r="SHO53" s="708">
        <f t="shared" si="239"/>
        <v>2.4639751754680194E+171</v>
      </c>
      <c r="SHP53" s="708">
        <f t="shared" si="239"/>
        <v>2.53789443073206E+171</v>
      </c>
      <c r="SHQ53" s="708">
        <f t="shared" si="239"/>
        <v>2.614031263654022E+171</v>
      </c>
      <c r="SHR53" s="708">
        <f t="shared" si="239"/>
        <v>2.6924522015636427E+171</v>
      </c>
      <c r="SHS53" s="708">
        <f t="shared" si="239"/>
        <v>2.7732257676105522E+171</v>
      </c>
      <c r="SHT53" s="708">
        <f t="shared" si="239"/>
        <v>2.856422540638869E+171</v>
      </c>
      <c r="SHU53" s="708">
        <f t="shared" si="239"/>
        <v>2.9421152168580349E+171</v>
      </c>
      <c r="SHV53" s="708">
        <f t="shared" si="239"/>
        <v>3.030378673363776E+171</v>
      </c>
      <c r="SHW53" s="708">
        <f t="shared" si="239"/>
        <v>3.1212900335646895E+171</v>
      </c>
      <c r="SHX53" s="708">
        <f t="shared" si="239"/>
        <v>3.2149287345716304E+171</v>
      </c>
      <c r="SHY53" s="708">
        <f t="shared" si="239"/>
        <v>3.3113765966087796E+171</v>
      </c>
      <c r="SHZ53" s="708">
        <f t="shared" si="239"/>
        <v>3.4107178945070431E+171</v>
      </c>
      <c r="SIA53" s="708">
        <f t="shared" si="239"/>
        <v>3.5130394313422545E+171</v>
      </c>
      <c r="SIB53" s="708">
        <f t="shared" si="239"/>
        <v>3.6184306142825222E+171</v>
      </c>
      <c r="SIC53" s="708">
        <f t="shared" si="239"/>
        <v>3.7269835327109979E+171</v>
      </c>
      <c r="SID53" s="708">
        <f t="shared" si="239"/>
        <v>3.8387930386923278E+171</v>
      </c>
      <c r="SIE53" s="708">
        <f t="shared" si="239"/>
        <v>3.9539568298530974E+171</v>
      </c>
      <c r="SIF53" s="708">
        <f t="shared" si="239"/>
        <v>4.0725755347486902E+171</v>
      </c>
      <c r="SIG53" s="708">
        <f t="shared" si="239"/>
        <v>4.1947528007911508E+171</v>
      </c>
      <c r="SIH53" s="708">
        <f t="shared" si="239"/>
        <v>4.3205953848148856E+171</v>
      </c>
      <c r="SII53" s="708">
        <f t="shared" si="239"/>
        <v>4.4502132463593319E+171</v>
      </c>
      <c r="SIJ53" s="708">
        <f t="shared" si="239"/>
        <v>4.583719643750112E+171</v>
      </c>
      <c r="SIK53" s="708">
        <f t="shared" si="239"/>
        <v>4.7212312330626151E+171</v>
      </c>
      <c r="SIL53" s="708">
        <f t="shared" si="239"/>
        <v>4.8628681700544938E+171</v>
      </c>
      <c r="SIM53" s="708">
        <f t="shared" si="239"/>
        <v>5.0087542151561285E+171</v>
      </c>
      <c r="SIN53" s="708">
        <f t="shared" si="239"/>
        <v>5.1590168416108122E+171</v>
      </c>
      <c r="SIO53" s="708">
        <f t="shared" si="239"/>
        <v>5.313787346859137E+171</v>
      </c>
      <c r="SIP53" s="708">
        <f t="shared" si="239"/>
        <v>5.4732009672649111E+171</v>
      </c>
      <c r="SIQ53" s="708">
        <f t="shared" si="239"/>
        <v>5.6373969962828585E+171</v>
      </c>
      <c r="SIR53" s="708">
        <f t="shared" si="239"/>
        <v>5.8065189061713446E+171</v>
      </c>
      <c r="SIS53" s="708">
        <f t="shared" si="239"/>
        <v>5.9807144733564852E+171</v>
      </c>
      <c r="SIT53" s="708">
        <f t="shared" si="239"/>
        <v>6.1601359075571802E+171</v>
      </c>
      <c r="SIU53" s="708">
        <f t="shared" si="239"/>
        <v>6.3449399847838954E+171</v>
      </c>
      <c r="SIV53" s="708">
        <f t="shared" si="239"/>
        <v>6.5352881843274121E+171</v>
      </c>
      <c r="SIW53" s="708">
        <f t="shared" si="239"/>
        <v>6.7313468298572349E+171</v>
      </c>
      <c r="SIX53" s="708">
        <f t="shared" si="239"/>
        <v>6.9332872347529519E+171</v>
      </c>
      <c r="SIY53" s="708">
        <f t="shared" si="239"/>
        <v>7.1412858517955408E+171</v>
      </c>
      <c r="SIZ53" s="708">
        <f t="shared" si="239"/>
        <v>7.3555244273494068E+171</v>
      </c>
      <c r="SJA53" s="708">
        <f t="shared" si="239"/>
        <v>7.5761901601698896E+171</v>
      </c>
      <c r="SJB53" s="708">
        <f t="shared" si="239"/>
        <v>7.8034758649749862E+171</v>
      </c>
      <c r="SJC53" s="708">
        <f t="shared" si="239"/>
        <v>8.0375801409242368E+171</v>
      </c>
      <c r="SJD53" s="708">
        <f t="shared" si="239"/>
        <v>8.2787075451519634E+171</v>
      </c>
      <c r="SJE53" s="708">
        <f t="shared" si="239"/>
        <v>8.527068771506523E+171</v>
      </c>
      <c r="SJF53" s="708">
        <f t="shared" si="239"/>
        <v>8.7828808346517196E+171</v>
      </c>
      <c r="SJG53" s="708">
        <f t="shared" si="239"/>
        <v>9.0463672596912719E+171</v>
      </c>
      <c r="SJH53" s="708">
        <f t="shared" si="239"/>
        <v>9.3177582774820098E+171</v>
      </c>
      <c r="SJI53" s="708">
        <f t="shared" si="239"/>
        <v>9.5972910258064702E+171</v>
      </c>
      <c r="SJJ53" s="708">
        <f t="shared" si="239"/>
        <v>9.8852097565806645E+171</v>
      </c>
      <c r="SJK53" s="708">
        <f t="shared" si="239"/>
        <v>1.0181766049278085E+172</v>
      </c>
      <c r="SJL53" s="708">
        <f t="shared" si="239"/>
        <v>1.0487219030756428E+172</v>
      </c>
      <c r="SJM53" s="708">
        <f t="shared" si="239"/>
        <v>1.0801835601679121E+172</v>
      </c>
      <c r="SJN53" s="708">
        <f t="shared" si="239"/>
        <v>1.1125890669729495E+172</v>
      </c>
      <c r="SJO53" s="708">
        <f t="shared" si="239"/>
        <v>1.1459667389821379E+172</v>
      </c>
      <c r="SJP53" s="708">
        <f t="shared" si="239"/>
        <v>1.1803457411516021E+172</v>
      </c>
      <c r="SJQ53" s="708">
        <f t="shared" si="239"/>
        <v>1.2157561133861502E+172</v>
      </c>
      <c r="SJR53" s="708">
        <f t="shared" si="239"/>
        <v>1.2522287967877348E+172</v>
      </c>
      <c r="SJS53" s="708">
        <f t="shared" si="239"/>
        <v>1.2897956606913669E+172</v>
      </c>
      <c r="SJT53" s="708">
        <f t="shared" si="239"/>
        <v>1.3284895305121079E+172</v>
      </c>
      <c r="SJU53" s="708">
        <f t="shared" si="239"/>
        <v>1.3683442164274712E+172</v>
      </c>
      <c r="SJV53" s="708">
        <f t="shared" ref="SJV53:SMG53" si="240">SJU53*$C$53</f>
        <v>1.4093945429202954E+172</v>
      </c>
      <c r="SJW53" s="708">
        <f t="shared" si="240"/>
        <v>1.4516763792079043E+172</v>
      </c>
      <c r="SJX53" s="708">
        <f t="shared" si="240"/>
        <v>1.4952266705841415E+172</v>
      </c>
      <c r="SJY53" s="708">
        <f t="shared" si="240"/>
        <v>1.5400834707016658E+172</v>
      </c>
      <c r="SJZ53" s="708">
        <f t="shared" si="240"/>
        <v>1.5862859748227159E+172</v>
      </c>
      <c r="SKA53" s="708">
        <f t="shared" si="240"/>
        <v>1.6338745540673975E+172</v>
      </c>
      <c r="SKB53" s="708">
        <f t="shared" si="240"/>
        <v>1.6828907906894196E+172</v>
      </c>
      <c r="SKC53" s="708">
        <f t="shared" si="240"/>
        <v>1.7333775144101023E+172</v>
      </c>
      <c r="SKD53" s="708">
        <f t="shared" si="240"/>
        <v>1.7853788398424056E+172</v>
      </c>
      <c r="SKE53" s="708">
        <f t="shared" si="240"/>
        <v>1.8389402050376777E+172</v>
      </c>
      <c r="SKF53" s="708">
        <f t="shared" si="240"/>
        <v>1.8941084111888082E+172</v>
      </c>
      <c r="SKG53" s="708">
        <f t="shared" si="240"/>
        <v>1.9509316635244723E+172</v>
      </c>
      <c r="SKH53" s="708">
        <f t="shared" si="240"/>
        <v>2.0094596134302066E+172</v>
      </c>
      <c r="SKI53" s="708">
        <f t="shared" si="240"/>
        <v>2.0697434018331127E+172</v>
      </c>
      <c r="SKJ53" s="708">
        <f t="shared" si="240"/>
        <v>2.131835703888106E+172</v>
      </c>
      <c r="SKK53" s="708">
        <f t="shared" si="240"/>
        <v>2.1957907750047491E+172</v>
      </c>
      <c r="SKL53" s="708">
        <f t="shared" si="240"/>
        <v>2.2616644982548916E+172</v>
      </c>
      <c r="SKM53" s="708">
        <f t="shared" si="240"/>
        <v>2.3295144332025386E+172</v>
      </c>
      <c r="SKN53" s="708">
        <f t="shared" si="240"/>
        <v>2.3993998661986147E+172</v>
      </c>
      <c r="SKO53" s="708">
        <f t="shared" si="240"/>
        <v>2.471381862184573E+172</v>
      </c>
      <c r="SKP53" s="708">
        <f t="shared" si="240"/>
        <v>2.5455233180501104E+172</v>
      </c>
      <c r="SKQ53" s="708">
        <f t="shared" si="240"/>
        <v>2.6218890175916138E+172</v>
      </c>
      <c r="SKR53" s="708">
        <f t="shared" si="240"/>
        <v>2.7005456881193624E+172</v>
      </c>
      <c r="SKS53" s="708">
        <f t="shared" si="240"/>
        <v>2.7815620587629433E+172</v>
      </c>
      <c r="SKT53" s="708">
        <f t="shared" si="240"/>
        <v>2.8650089205258316E+172</v>
      </c>
      <c r="SKU53" s="708">
        <f t="shared" si="240"/>
        <v>2.9509591881416065E+172</v>
      </c>
      <c r="SKV53" s="708">
        <f t="shared" si="240"/>
        <v>3.0394879637858547E+172</v>
      </c>
      <c r="SKW53" s="708">
        <f t="shared" si="240"/>
        <v>3.1306726026994308E+172</v>
      </c>
      <c r="SKX53" s="708">
        <f t="shared" si="240"/>
        <v>3.2245927807804136E+172</v>
      </c>
      <c r="SKY53" s="708">
        <f t="shared" si="240"/>
        <v>3.3213305642038259E+172</v>
      </c>
      <c r="SKZ53" s="708">
        <f t="shared" si="240"/>
        <v>3.4209704811299407E+172</v>
      </c>
      <c r="SLA53" s="708">
        <f t="shared" si="240"/>
        <v>3.5235995955638389E+172</v>
      </c>
      <c r="SLB53" s="708">
        <f t="shared" si="240"/>
        <v>3.6293075834307539E+172</v>
      </c>
      <c r="SLC53" s="708">
        <f t="shared" si="240"/>
        <v>3.7381868109336766E+172</v>
      </c>
      <c r="SLD53" s="708">
        <f t="shared" si="240"/>
        <v>3.8503324152616871E+172</v>
      </c>
      <c r="SLE53" s="708">
        <f t="shared" si="240"/>
        <v>3.9658423877195381E+172</v>
      </c>
      <c r="SLF53" s="708">
        <f t="shared" si="240"/>
        <v>4.0848176593511243E+172</v>
      </c>
      <c r="SLG53" s="708">
        <f t="shared" si="240"/>
        <v>4.207362189131658E+172</v>
      </c>
      <c r="SLH53" s="708">
        <f t="shared" si="240"/>
        <v>4.3335830548056078E+172</v>
      </c>
      <c r="SLI53" s="708">
        <f t="shared" si="240"/>
        <v>4.4635905464497763E+172</v>
      </c>
      <c r="SLJ53" s="708">
        <f t="shared" si="240"/>
        <v>4.5974982628432698E+172</v>
      </c>
      <c r="SLK53" s="708">
        <f t="shared" si="240"/>
        <v>4.735423210728568E+172</v>
      </c>
      <c r="SLL53" s="708">
        <f t="shared" si="240"/>
        <v>4.8774859070504249E+172</v>
      </c>
      <c r="SLM53" s="708">
        <f t="shared" si="240"/>
        <v>5.0238104842619379E+172</v>
      </c>
      <c r="SLN53" s="708">
        <f t="shared" si="240"/>
        <v>5.1745247987897959E+172</v>
      </c>
      <c r="SLO53" s="708">
        <f t="shared" si="240"/>
        <v>5.3297605427534901E+172</v>
      </c>
      <c r="SLP53" s="708">
        <f t="shared" si="240"/>
        <v>5.4896533590360948E+172</v>
      </c>
      <c r="SLQ53" s="708">
        <f t="shared" si="240"/>
        <v>5.6543429598071776E+172</v>
      </c>
      <c r="SLR53" s="708">
        <f t="shared" si="240"/>
        <v>5.8239732486013929E+172</v>
      </c>
      <c r="SLS53" s="708">
        <f t="shared" si="240"/>
        <v>5.9986924460594347E+172</v>
      </c>
      <c r="SLT53" s="708">
        <f t="shared" si="240"/>
        <v>6.1786532194412181E+172</v>
      </c>
      <c r="SLU53" s="708">
        <f t="shared" si="240"/>
        <v>6.3640128160244553E+172</v>
      </c>
      <c r="SLV53" s="708">
        <f t="shared" si="240"/>
        <v>6.5549332005051895E+172</v>
      </c>
      <c r="SLW53" s="708">
        <f t="shared" si="240"/>
        <v>6.7515811965203458E+172</v>
      </c>
      <c r="SLX53" s="708">
        <f t="shared" si="240"/>
        <v>6.9541286324159561E+172</v>
      </c>
      <c r="SLY53" s="708">
        <f t="shared" si="240"/>
        <v>7.1627524913884352E+172</v>
      </c>
      <c r="SLZ53" s="708">
        <f t="shared" si="240"/>
        <v>7.3776350661300882E+172</v>
      </c>
      <c r="SMA53" s="708">
        <f t="shared" si="240"/>
        <v>7.5989641181139909E+172</v>
      </c>
      <c r="SMB53" s="708">
        <f t="shared" si="240"/>
        <v>7.8269330416574104E+172</v>
      </c>
      <c r="SMC53" s="708">
        <f t="shared" si="240"/>
        <v>8.0617410329071336E+172</v>
      </c>
      <c r="SMD53" s="708">
        <f t="shared" si="240"/>
        <v>8.3035932638943481E+172</v>
      </c>
      <c r="SME53" s="708">
        <f t="shared" si="240"/>
        <v>8.5527010618111783E+172</v>
      </c>
      <c r="SMF53" s="708">
        <f t="shared" si="240"/>
        <v>8.809282093665514E+172</v>
      </c>
      <c r="SMG53" s="708">
        <f t="shared" si="240"/>
        <v>9.0735605564754801E+172</v>
      </c>
      <c r="SMH53" s="708">
        <f t="shared" ref="SMH53:SOS53" si="241">SMG53*$C$53</f>
        <v>9.3457673731697447E+172</v>
      </c>
      <c r="SMI53" s="708">
        <f t="shared" si="241"/>
        <v>9.6261403943648372E+172</v>
      </c>
      <c r="SMJ53" s="708">
        <f t="shared" si="241"/>
        <v>9.9149246061957822E+172</v>
      </c>
      <c r="SMK53" s="708">
        <f t="shared" si="241"/>
        <v>1.0212372344381656E+173</v>
      </c>
      <c r="SML53" s="708">
        <f t="shared" si="241"/>
        <v>1.0518743514713106E+173</v>
      </c>
      <c r="SMM53" s="708">
        <f t="shared" si="241"/>
        <v>1.0834305820154499E+173</v>
      </c>
      <c r="SMN53" s="708">
        <f t="shared" si="241"/>
        <v>1.1159334994759134E+173</v>
      </c>
      <c r="SMO53" s="708">
        <f t="shared" si="241"/>
        <v>1.1494115044601908E+173</v>
      </c>
      <c r="SMP53" s="708">
        <f t="shared" si="241"/>
        <v>1.1838938495939966E+173</v>
      </c>
      <c r="SMQ53" s="708">
        <f t="shared" si="241"/>
        <v>1.2194106650818165E+173</v>
      </c>
      <c r="SMR53" s="708">
        <f t="shared" si="241"/>
        <v>1.2559929850342711E+173</v>
      </c>
      <c r="SMS53" s="708">
        <f t="shared" si="241"/>
        <v>1.2936727745852993E+173</v>
      </c>
      <c r="SMT53" s="708">
        <f t="shared" si="241"/>
        <v>1.3324829578228584E+173</v>
      </c>
      <c r="SMU53" s="708">
        <f t="shared" si="241"/>
        <v>1.372457446557544E+173</v>
      </c>
      <c r="SMV53" s="708">
        <f t="shared" si="241"/>
        <v>1.4136311699542704E+173</v>
      </c>
      <c r="SMW53" s="708">
        <f t="shared" si="241"/>
        <v>1.4560401050528986E+173</v>
      </c>
      <c r="SMX53" s="708">
        <f t="shared" si="241"/>
        <v>1.4997213082044856E+173</v>
      </c>
      <c r="SMY53" s="708">
        <f t="shared" si="241"/>
        <v>1.5447129474506202E+173</v>
      </c>
      <c r="SMZ53" s="708">
        <f t="shared" si="241"/>
        <v>1.5910543358741389E+173</v>
      </c>
      <c r="SNA53" s="708">
        <f t="shared" si="241"/>
        <v>1.6387859659503631E+173</v>
      </c>
      <c r="SNB53" s="708">
        <f t="shared" si="241"/>
        <v>1.6879495449288741E+173</v>
      </c>
      <c r="SNC53" s="708">
        <f t="shared" si="241"/>
        <v>1.7385880312767403E+173</v>
      </c>
      <c r="SND53" s="708">
        <f t="shared" si="241"/>
        <v>1.7907456722150425E+173</v>
      </c>
      <c r="SNE53" s="708">
        <f t="shared" si="241"/>
        <v>1.8444680423814939E+173</v>
      </c>
      <c r="SNF53" s="708">
        <f t="shared" si="241"/>
        <v>1.8998020836529388E+173</v>
      </c>
      <c r="SNG53" s="708">
        <f t="shared" si="241"/>
        <v>1.956796146162527E+173</v>
      </c>
      <c r="SNH53" s="708">
        <f t="shared" si="241"/>
        <v>2.015500030547403E+173</v>
      </c>
      <c r="SNI53" s="708">
        <f t="shared" si="241"/>
        <v>2.0759650314638252E+173</v>
      </c>
      <c r="SNJ53" s="708">
        <f t="shared" si="241"/>
        <v>2.13824398240774E+173</v>
      </c>
      <c r="SNK53" s="708">
        <f t="shared" si="241"/>
        <v>2.2023913018799722E+173</v>
      </c>
      <c r="SNL53" s="708">
        <f t="shared" si="241"/>
        <v>2.2684630409363714E+173</v>
      </c>
      <c r="SNM53" s="708">
        <f t="shared" si="241"/>
        <v>2.3365169321644627E+173</v>
      </c>
      <c r="SNN53" s="708">
        <f t="shared" si="241"/>
        <v>2.4066124401293966E+173</v>
      </c>
      <c r="SNO53" s="708">
        <f t="shared" si="241"/>
        <v>2.4788108133332784E+173</v>
      </c>
      <c r="SNP53" s="708">
        <f t="shared" si="241"/>
        <v>2.553175137733277E+173</v>
      </c>
      <c r="SNQ53" s="708">
        <f t="shared" si="241"/>
        <v>2.6297703918652754E+173</v>
      </c>
      <c r="SNR53" s="708">
        <f t="shared" si="241"/>
        <v>2.7086635036212339E+173</v>
      </c>
      <c r="SNS53" s="708">
        <f t="shared" si="241"/>
        <v>2.7899234087298709E+173</v>
      </c>
      <c r="SNT53" s="708">
        <f t="shared" si="241"/>
        <v>2.8736211109917669E+173</v>
      </c>
      <c r="SNU53" s="708">
        <f t="shared" si="241"/>
        <v>2.95982974432152E+173</v>
      </c>
      <c r="SNV53" s="708">
        <f t="shared" si="241"/>
        <v>3.0486246366511656E+173</v>
      </c>
      <c r="SNW53" s="708">
        <f t="shared" si="241"/>
        <v>3.1400833757507009E+173</v>
      </c>
      <c r="SNX53" s="708">
        <f t="shared" si="241"/>
        <v>3.2342858770232218E+173</v>
      </c>
      <c r="SNY53" s="708">
        <f t="shared" si="241"/>
        <v>3.3313144533339184E+173</v>
      </c>
      <c r="SNZ53" s="708">
        <f t="shared" si="241"/>
        <v>3.4312538869339362E+173</v>
      </c>
      <c r="SOA53" s="708">
        <f t="shared" si="241"/>
        <v>3.5341915035419542E+173</v>
      </c>
      <c r="SOB53" s="708">
        <f t="shared" si="241"/>
        <v>3.6402172486482131E+173</v>
      </c>
      <c r="SOC53" s="708">
        <f t="shared" si="241"/>
        <v>3.7494237661076595E+173</v>
      </c>
      <c r="SOD53" s="708">
        <f t="shared" si="241"/>
        <v>3.8619064790908895E+173</v>
      </c>
      <c r="SOE53" s="708">
        <f t="shared" si="241"/>
        <v>3.9777636734636165E+173</v>
      </c>
      <c r="SOF53" s="708">
        <f t="shared" si="241"/>
        <v>4.0970965836675249E+173</v>
      </c>
      <c r="SOG53" s="708">
        <f t="shared" si="241"/>
        <v>4.2200094811775511E+173</v>
      </c>
      <c r="SOH53" s="708">
        <f t="shared" si="241"/>
        <v>4.3466097656128776E+173</v>
      </c>
      <c r="SOI53" s="708">
        <f t="shared" si="241"/>
        <v>4.4770080585812642E+173</v>
      </c>
      <c r="SOJ53" s="708">
        <f t="shared" si="241"/>
        <v>4.6113183003387024E+173</v>
      </c>
      <c r="SOK53" s="708">
        <f t="shared" si="241"/>
        <v>4.7496578493488637E+173</v>
      </c>
      <c r="SOL53" s="708">
        <f t="shared" si="241"/>
        <v>4.8921475848293299E+173</v>
      </c>
      <c r="SOM53" s="708">
        <f t="shared" si="241"/>
        <v>5.03891201237421E+173</v>
      </c>
      <c r="SON53" s="708">
        <f t="shared" si="241"/>
        <v>5.1900793727454361E+173</v>
      </c>
      <c r="SOO53" s="708">
        <f t="shared" si="241"/>
        <v>5.3457817539277988E+173</v>
      </c>
      <c r="SOP53" s="708">
        <f t="shared" si="241"/>
        <v>5.5061552065456327E+173</v>
      </c>
      <c r="SOQ53" s="708">
        <f t="shared" si="241"/>
        <v>5.6713398627420022E+173</v>
      </c>
      <c r="SOR53" s="708">
        <f t="shared" si="241"/>
        <v>5.8414800586242624E+173</v>
      </c>
      <c r="SOS53" s="708">
        <f t="shared" si="241"/>
        <v>6.0167244603829902E+173</v>
      </c>
      <c r="SOT53" s="708">
        <f t="shared" ref="SOT53:SRE53" si="242">SOS53*$C$53</f>
        <v>6.1972261941944804E+173</v>
      </c>
      <c r="SOU53" s="708">
        <f t="shared" si="242"/>
        <v>6.3831429800203152E+173</v>
      </c>
      <c r="SOV53" s="708">
        <f t="shared" si="242"/>
        <v>6.5746372694209251E+173</v>
      </c>
      <c r="SOW53" s="708">
        <f t="shared" si="242"/>
        <v>6.7718763875035532E+173</v>
      </c>
      <c r="SOX53" s="708">
        <f t="shared" si="242"/>
        <v>6.9750326791286604E+173</v>
      </c>
      <c r="SOY53" s="708">
        <f t="shared" si="242"/>
        <v>7.1842836595025208E+173</v>
      </c>
      <c r="SOZ53" s="708">
        <f t="shared" si="242"/>
        <v>7.3998121692875964E+173</v>
      </c>
      <c r="SPA53" s="708">
        <f t="shared" si="242"/>
        <v>7.6218065343662243E+173</v>
      </c>
      <c r="SPB53" s="708">
        <f t="shared" si="242"/>
        <v>7.8504607303972116E+173</v>
      </c>
      <c r="SPC53" s="708">
        <f t="shared" si="242"/>
        <v>8.0859745523091279E+173</v>
      </c>
      <c r="SPD53" s="708">
        <f t="shared" si="242"/>
        <v>8.3285537888784016E+173</v>
      </c>
      <c r="SPE53" s="708">
        <f t="shared" si="242"/>
        <v>8.5784104025447534E+173</v>
      </c>
      <c r="SPF53" s="708">
        <f t="shared" si="242"/>
        <v>8.8357627146210963E+173</v>
      </c>
      <c r="SPG53" s="708">
        <f t="shared" si="242"/>
        <v>9.1008355960597296E+173</v>
      </c>
      <c r="SPH53" s="708">
        <f t="shared" si="242"/>
        <v>9.3738606639415216E+173</v>
      </c>
      <c r="SPI53" s="708">
        <f t="shared" si="242"/>
        <v>9.6550764838597679E+173</v>
      </c>
      <c r="SPJ53" s="708">
        <f t="shared" si="242"/>
        <v>9.9447287783755601E+173</v>
      </c>
      <c r="SPK53" s="708">
        <f t="shared" si="242"/>
        <v>1.0243070641726827E+174</v>
      </c>
      <c r="SPL53" s="708">
        <f t="shared" si="242"/>
        <v>1.0550362760978631E+174</v>
      </c>
      <c r="SPM53" s="708">
        <f t="shared" si="242"/>
        <v>1.0866873643807991E+174</v>
      </c>
      <c r="SPN53" s="708">
        <f t="shared" si="242"/>
        <v>1.1192879853122232E+174</v>
      </c>
      <c r="SPO53" s="708">
        <f t="shared" si="242"/>
        <v>1.15286662487159E+174</v>
      </c>
      <c r="SPP53" s="708">
        <f t="shared" si="242"/>
        <v>1.1874526236177376E+174</v>
      </c>
      <c r="SPQ53" s="708">
        <f t="shared" si="242"/>
        <v>1.2230762023262699E+174</v>
      </c>
      <c r="SPR53" s="708">
        <f t="shared" si="242"/>
        <v>1.259768488396058E+174</v>
      </c>
      <c r="SPS53" s="708">
        <f t="shared" si="242"/>
        <v>1.2975615430479397E+174</v>
      </c>
      <c r="SPT53" s="708">
        <f t="shared" si="242"/>
        <v>1.336488389339378E+174</v>
      </c>
      <c r="SPU53" s="708">
        <f t="shared" si="242"/>
        <v>1.3765830410195594E+174</v>
      </c>
      <c r="SPV53" s="708">
        <f t="shared" si="242"/>
        <v>1.4178805322501463E+174</v>
      </c>
      <c r="SPW53" s="708">
        <f t="shared" si="242"/>
        <v>1.4604169482176508E+174</v>
      </c>
      <c r="SPX53" s="708">
        <f t="shared" si="242"/>
        <v>1.5042294566641804E+174</v>
      </c>
      <c r="SPY53" s="708">
        <f t="shared" si="242"/>
        <v>1.5493563403641059E+174</v>
      </c>
      <c r="SPZ53" s="708">
        <f t="shared" si="242"/>
        <v>1.5958370305750291E+174</v>
      </c>
      <c r="SQA53" s="708">
        <f t="shared" si="242"/>
        <v>1.6437121414922801E+174</v>
      </c>
      <c r="SQB53" s="708">
        <f t="shared" si="242"/>
        <v>1.6930235057370485E+174</v>
      </c>
      <c r="SQC53" s="708">
        <f t="shared" si="242"/>
        <v>1.7438142109091599E+174</v>
      </c>
      <c r="SQD53" s="708">
        <f t="shared" si="242"/>
        <v>1.7961286372364348E+174</v>
      </c>
      <c r="SQE53" s="708">
        <f t="shared" si="242"/>
        <v>1.8500124963535279E+174</v>
      </c>
      <c r="SQF53" s="708">
        <f t="shared" si="242"/>
        <v>1.9055128712441337E+174</v>
      </c>
      <c r="SQG53" s="708">
        <f t="shared" si="242"/>
        <v>1.9626782573814578E+174</v>
      </c>
      <c r="SQH53" s="708">
        <f t="shared" si="242"/>
        <v>2.0215586051029016E+174</v>
      </c>
      <c r="SQI53" s="708">
        <f t="shared" si="242"/>
        <v>2.0822053632559887E+174</v>
      </c>
      <c r="SQJ53" s="708">
        <f t="shared" si="242"/>
        <v>2.1446715241536686E+174</v>
      </c>
      <c r="SQK53" s="708">
        <f t="shared" si="242"/>
        <v>2.2090116698782789E+174</v>
      </c>
      <c r="SQL53" s="708">
        <f t="shared" si="242"/>
        <v>2.2752820199746273E+174</v>
      </c>
      <c r="SQM53" s="708">
        <f t="shared" si="242"/>
        <v>2.3435404805738662E+174</v>
      </c>
      <c r="SQN53" s="708">
        <f t="shared" si="242"/>
        <v>2.4138466949910823E+174</v>
      </c>
      <c r="SQO53" s="708">
        <f t="shared" si="242"/>
        <v>2.4862620958408148E+174</v>
      </c>
      <c r="SQP53" s="708">
        <f t="shared" si="242"/>
        <v>2.5608499587160395E+174</v>
      </c>
      <c r="SQQ53" s="708">
        <f t="shared" si="242"/>
        <v>2.6376754574775208E+174</v>
      </c>
      <c r="SQR53" s="708">
        <f t="shared" si="242"/>
        <v>2.7168057212018466E+174</v>
      </c>
      <c r="SQS53" s="708">
        <f t="shared" si="242"/>
        <v>2.7983098928379022E+174</v>
      </c>
      <c r="SQT53" s="708">
        <f t="shared" si="242"/>
        <v>2.8822591896230394E+174</v>
      </c>
      <c r="SQU53" s="708">
        <f t="shared" si="242"/>
        <v>2.9687269653117307E+174</v>
      </c>
      <c r="SQV53" s="708">
        <f t="shared" si="242"/>
        <v>3.0577887742710828E+174</v>
      </c>
      <c r="SQW53" s="708">
        <f t="shared" si="242"/>
        <v>3.1495224374992154E+174</v>
      </c>
      <c r="SQX53" s="708">
        <f t="shared" si="242"/>
        <v>3.2440081106241918E+174</v>
      </c>
      <c r="SQY53" s="708">
        <f t="shared" si="242"/>
        <v>3.3413283539429178E+174</v>
      </c>
      <c r="SQZ53" s="708">
        <f t="shared" si="242"/>
        <v>3.4415682045612054E+174</v>
      </c>
      <c r="SRA53" s="708">
        <f t="shared" si="242"/>
        <v>3.5448152506980418E+174</v>
      </c>
      <c r="SRB53" s="708">
        <f t="shared" si="242"/>
        <v>3.6511597082189834E+174</v>
      </c>
      <c r="SRC53" s="708">
        <f t="shared" si="242"/>
        <v>3.760694499465553E+174</v>
      </c>
      <c r="SRD53" s="708">
        <f t="shared" si="242"/>
        <v>3.8735153344495197E+174</v>
      </c>
      <c r="SRE53" s="708">
        <f t="shared" si="242"/>
        <v>3.9897207944830051E+174</v>
      </c>
      <c r="SRF53" s="708">
        <f t="shared" ref="SRF53:STQ53" si="243">SRE53*$C$53</f>
        <v>4.1094124183174952E+174</v>
      </c>
      <c r="SRG53" s="708">
        <f t="shared" si="243"/>
        <v>4.2326947908670205E+174</v>
      </c>
      <c r="SRH53" s="708">
        <f t="shared" si="243"/>
        <v>4.3596756345930315E+174</v>
      </c>
      <c r="SRI53" s="708">
        <f t="shared" si="243"/>
        <v>4.4904659036308228E+174</v>
      </c>
      <c r="SRJ53" s="708">
        <f t="shared" si="243"/>
        <v>4.6251798807397476E+174</v>
      </c>
      <c r="SRK53" s="708">
        <f t="shared" si="243"/>
        <v>4.7639352771619402E+174</v>
      </c>
      <c r="SRL53" s="708">
        <f t="shared" si="243"/>
        <v>4.9068533354767984E+174</v>
      </c>
      <c r="SRM53" s="708">
        <f t="shared" si="243"/>
        <v>5.0540589355411024E+174</v>
      </c>
      <c r="SRN53" s="708">
        <f t="shared" si="243"/>
        <v>5.2056807036073357E+174</v>
      </c>
      <c r="SRO53" s="708">
        <f t="shared" si="243"/>
        <v>5.3618511247155563E+174</v>
      </c>
      <c r="SRP53" s="708">
        <f t="shared" si="243"/>
        <v>5.5227066584570232E+174</v>
      </c>
      <c r="SRQ53" s="708">
        <f t="shared" si="243"/>
        <v>5.6883878582107342E+174</v>
      </c>
      <c r="SRR53" s="708">
        <f t="shared" si="243"/>
        <v>5.8590394939570564E+174</v>
      </c>
      <c r="SRS53" s="708">
        <f t="shared" si="243"/>
        <v>6.0348106787757683E+174</v>
      </c>
      <c r="SRT53" s="708">
        <f t="shared" si="243"/>
        <v>6.2158549991390415E+174</v>
      </c>
      <c r="SRU53" s="708">
        <f t="shared" si="243"/>
        <v>6.4023306491132127E+174</v>
      </c>
      <c r="SRV53" s="708">
        <f t="shared" si="243"/>
        <v>6.5944005685866094E+174</v>
      </c>
      <c r="SRW53" s="708">
        <f t="shared" si="243"/>
        <v>6.7922325856442081E+174</v>
      </c>
      <c r="SRX53" s="708">
        <f t="shared" si="243"/>
        <v>6.9959995632135344E+174</v>
      </c>
      <c r="SRY53" s="708">
        <f t="shared" si="243"/>
        <v>7.2058795501099408E+174</v>
      </c>
      <c r="SRZ53" s="708">
        <f t="shared" si="243"/>
        <v>7.4220559366132388E+174</v>
      </c>
      <c r="SSA53" s="708">
        <f t="shared" si="243"/>
        <v>7.644717614711636E+174</v>
      </c>
      <c r="SSB53" s="708">
        <f t="shared" si="243"/>
        <v>7.8740591431529849E+174</v>
      </c>
      <c r="SSC53" s="708">
        <f t="shared" si="243"/>
        <v>8.1102809174475742E+174</v>
      </c>
      <c r="SSD53" s="708">
        <f t="shared" si="243"/>
        <v>8.3535893449710008E+174</v>
      </c>
      <c r="SSE53" s="708">
        <f t="shared" si="243"/>
        <v>8.6041970253201305E+174</v>
      </c>
      <c r="SSF53" s="708">
        <f t="shared" si="243"/>
        <v>8.8623229360797349E+174</v>
      </c>
      <c r="SSG53" s="708">
        <f t="shared" si="243"/>
        <v>9.128192624162128E+174</v>
      </c>
      <c r="SSH53" s="708">
        <f t="shared" si="243"/>
        <v>9.4020384028869921E+174</v>
      </c>
      <c r="SSI53" s="708">
        <f t="shared" si="243"/>
        <v>9.684099554973603E+174</v>
      </c>
      <c r="SSJ53" s="708">
        <f t="shared" si="243"/>
        <v>9.9746225416228105E+174</v>
      </c>
      <c r="SSK53" s="708">
        <f t="shared" si="243"/>
        <v>1.0273861217871496E+175</v>
      </c>
      <c r="SSL53" s="708">
        <f t="shared" si="243"/>
        <v>1.0582077054407641E+175</v>
      </c>
      <c r="SSM53" s="708">
        <f t="shared" si="243"/>
        <v>1.089953936603987E+175</v>
      </c>
      <c r="SSN53" s="708">
        <f t="shared" si="243"/>
        <v>1.1226525547021066E+175</v>
      </c>
      <c r="SSO53" s="708">
        <f t="shared" si="243"/>
        <v>1.1563321313431699E+175</v>
      </c>
      <c r="SSP53" s="708">
        <f t="shared" si="243"/>
        <v>1.191022095283465E+175</v>
      </c>
      <c r="SSQ53" s="708">
        <f t="shared" si="243"/>
        <v>1.2267527581419691E+175</v>
      </c>
      <c r="SSR53" s="708">
        <f t="shared" si="243"/>
        <v>1.2635553408862282E+175</v>
      </c>
      <c r="SSS53" s="708">
        <f t="shared" si="243"/>
        <v>1.301462001112815E+175</v>
      </c>
      <c r="SST53" s="708">
        <f t="shared" si="243"/>
        <v>1.3405058611461995E+175</v>
      </c>
      <c r="SSU53" s="708">
        <f t="shared" si="243"/>
        <v>1.3807210369805856E+175</v>
      </c>
      <c r="SSV53" s="708">
        <f t="shared" si="243"/>
        <v>1.4221426680900032E+175</v>
      </c>
      <c r="SSW53" s="708">
        <f t="shared" si="243"/>
        <v>1.4648069481327033E+175</v>
      </c>
      <c r="SSX53" s="708">
        <f t="shared" si="243"/>
        <v>1.5087511565766845E+175</v>
      </c>
      <c r="SSY53" s="708">
        <f t="shared" si="243"/>
        <v>1.5540136912739851E+175</v>
      </c>
      <c r="SSZ53" s="708">
        <f t="shared" si="243"/>
        <v>1.6006341020122047E+175</v>
      </c>
      <c r="STA53" s="708">
        <f t="shared" si="243"/>
        <v>1.6486531250725709E+175</v>
      </c>
      <c r="STB53" s="708">
        <f t="shared" si="243"/>
        <v>1.6981127188247479E+175</v>
      </c>
      <c r="STC53" s="708">
        <f t="shared" si="243"/>
        <v>1.7490561003894904E+175</v>
      </c>
      <c r="STD53" s="708">
        <f t="shared" si="243"/>
        <v>1.8015277834011751E+175</v>
      </c>
      <c r="STE53" s="708">
        <f t="shared" si="243"/>
        <v>1.8555736169032103E+175</v>
      </c>
      <c r="STF53" s="708">
        <f t="shared" si="243"/>
        <v>1.9112408254103067E+175</v>
      </c>
      <c r="STG53" s="708">
        <f t="shared" si="243"/>
        <v>1.9685780501726161E+175</v>
      </c>
      <c r="STH53" s="708">
        <f t="shared" si="243"/>
        <v>2.0276353916777947E+175</v>
      </c>
      <c r="STI53" s="708">
        <f t="shared" si="243"/>
        <v>2.0884644534281286E+175</v>
      </c>
      <c r="STJ53" s="708">
        <f t="shared" si="243"/>
        <v>2.1511183870309724E+175</v>
      </c>
      <c r="STK53" s="708">
        <f t="shared" si="243"/>
        <v>2.2156519386419017E+175</v>
      </c>
      <c r="STL53" s="708">
        <f t="shared" si="243"/>
        <v>2.2821214968011588E+175</v>
      </c>
      <c r="STM53" s="708">
        <f t="shared" si="243"/>
        <v>2.3505851417051936E+175</v>
      </c>
      <c r="STN53" s="708">
        <f t="shared" si="243"/>
        <v>2.4211026959563495E+175</v>
      </c>
      <c r="STO53" s="708">
        <f t="shared" si="243"/>
        <v>2.4937357768350399E+175</v>
      </c>
      <c r="STP53" s="708">
        <f t="shared" si="243"/>
        <v>2.5685478501400913E+175</v>
      </c>
      <c r="STQ53" s="708">
        <f t="shared" si="243"/>
        <v>2.645604285644294E+175</v>
      </c>
      <c r="STR53" s="708">
        <f t="shared" ref="STR53:SWC53" si="244">STQ53*$C$53</f>
        <v>2.7249724142136228E+175</v>
      </c>
      <c r="STS53" s="708">
        <f t="shared" si="244"/>
        <v>2.8067215866400314E+175</v>
      </c>
      <c r="STT53" s="708">
        <f t="shared" si="244"/>
        <v>2.8909232342392326E+175</v>
      </c>
      <c r="STU53" s="708">
        <f t="shared" si="244"/>
        <v>2.9776509312664095E+175</v>
      </c>
      <c r="STV53" s="708">
        <f t="shared" si="244"/>
        <v>3.066980459204402E+175</v>
      </c>
      <c r="STW53" s="708">
        <f t="shared" si="244"/>
        <v>3.1589898729805342E+175</v>
      </c>
      <c r="STX53" s="708">
        <f t="shared" si="244"/>
        <v>3.2537595691699503E+175</v>
      </c>
      <c r="STY53" s="708">
        <f t="shared" si="244"/>
        <v>3.3513723562450492E+175</v>
      </c>
      <c r="STZ53" s="708">
        <f t="shared" si="244"/>
        <v>3.4519135269324005E+175</v>
      </c>
      <c r="SUA53" s="708">
        <f t="shared" si="244"/>
        <v>3.5554709327403727E+175</v>
      </c>
      <c r="SUB53" s="708">
        <f t="shared" si="244"/>
        <v>3.662135060722584E+175</v>
      </c>
      <c r="SUC53" s="708">
        <f t="shared" si="244"/>
        <v>3.7719991125442615E+175</v>
      </c>
      <c r="SUD53" s="708">
        <f t="shared" si="244"/>
        <v>3.8851590859205894E+175</v>
      </c>
      <c r="SUE53" s="708">
        <f t="shared" si="244"/>
        <v>4.0017138584982074E+175</v>
      </c>
      <c r="SUF53" s="708">
        <f t="shared" si="244"/>
        <v>4.1217652742531539E+175</v>
      </c>
      <c r="SUG53" s="708">
        <f t="shared" si="244"/>
        <v>4.2454182324807484E+175</v>
      </c>
      <c r="SUH53" s="708">
        <f t="shared" si="244"/>
        <v>4.3727807794551708E+175</v>
      </c>
      <c r="SUI53" s="708">
        <f t="shared" si="244"/>
        <v>4.503964202838826E+175</v>
      </c>
      <c r="SUJ53" s="708">
        <f t="shared" si="244"/>
        <v>4.6390831289239911E+175</v>
      </c>
      <c r="SUK53" s="708">
        <f t="shared" si="244"/>
        <v>4.778255622791711E+175</v>
      </c>
      <c r="SUL53" s="708">
        <f t="shared" si="244"/>
        <v>4.9216032914754626E+175</v>
      </c>
      <c r="SUM53" s="708">
        <f t="shared" si="244"/>
        <v>5.0692513902197269E+175</v>
      </c>
      <c r="SUN53" s="708">
        <f t="shared" si="244"/>
        <v>5.221328931926319E+175</v>
      </c>
      <c r="SUO53" s="708">
        <f t="shared" si="244"/>
        <v>5.3779687998841086E+175</v>
      </c>
      <c r="SUP53" s="708">
        <f t="shared" si="244"/>
        <v>5.5393078638806317E+175</v>
      </c>
      <c r="SUQ53" s="708">
        <f t="shared" si="244"/>
        <v>5.7054870997970509E+175</v>
      </c>
      <c r="SUR53" s="708">
        <f t="shared" si="244"/>
        <v>5.8766517127909623E+175</v>
      </c>
      <c r="SUS53" s="708">
        <f t="shared" si="244"/>
        <v>6.0529512641746915E+175</v>
      </c>
      <c r="SUT53" s="708">
        <f t="shared" si="244"/>
        <v>6.2345398020999328E+175</v>
      </c>
      <c r="SUU53" s="708">
        <f t="shared" si="244"/>
        <v>6.4215759961629306E+175</v>
      </c>
      <c r="SUV53" s="708">
        <f t="shared" si="244"/>
        <v>6.6142232760478181E+175</v>
      </c>
      <c r="SUW53" s="708">
        <f t="shared" si="244"/>
        <v>6.8126499743292524E+175</v>
      </c>
      <c r="SUX53" s="708">
        <f t="shared" si="244"/>
        <v>7.0170294735591307E+175</v>
      </c>
      <c r="SUY53" s="708">
        <f t="shared" si="244"/>
        <v>7.2275403577659047E+175</v>
      </c>
      <c r="SUZ53" s="708">
        <f t="shared" si="244"/>
        <v>7.4443665684988826E+175</v>
      </c>
      <c r="SVA53" s="708">
        <f t="shared" si="244"/>
        <v>7.6676975655538492E+175</v>
      </c>
      <c r="SVB53" s="708">
        <f t="shared" si="244"/>
        <v>7.8977284925204656E+175</v>
      </c>
      <c r="SVC53" s="708">
        <f t="shared" si="244"/>
        <v>8.1346603472960802E+175</v>
      </c>
      <c r="SVD53" s="708">
        <f t="shared" si="244"/>
        <v>8.3787001577149624E+175</v>
      </c>
      <c r="SVE53" s="708">
        <f t="shared" si="244"/>
        <v>8.630061162446411E+175</v>
      </c>
      <c r="SVF53" s="708">
        <f t="shared" si="244"/>
        <v>8.888962997319804E+175</v>
      </c>
      <c r="SVG53" s="708">
        <f t="shared" si="244"/>
        <v>9.1556318872393978E+175</v>
      </c>
      <c r="SVH53" s="708">
        <f t="shared" si="244"/>
        <v>9.4303008438565796E+175</v>
      </c>
      <c r="SVI53" s="708">
        <f t="shared" si="244"/>
        <v>9.7132098691722774E+175</v>
      </c>
      <c r="SVJ53" s="708">
        <f t="shared" si="244"/>
        <v>1.0004606165247446E+176</v>
      </c>
      <c r="SVK53" s="708">
        <f t="shared" si="244"/>
        <v>1.030474435020487E+176</v>
      </c>
      <c r="SVL53" s="708">
        <f t="shared" si="244"/>
        <v>1.0613886680711016E+176</v>
      </c>
      <c r="SVM53" s="708">
        <f t="shared" si="244"/>
        <v>1.0932303281132346E+176</v>
      </c>
      <c r="SVN53" s="708">
        <f t="shared" si="244"/>
        <v>1.1260272379566317E+176</v>
      </c>
      <c r="SVO53" s="708">
        <f t="shared" si="244"/>
        <v>1.1598080550953307E+176</v>
      </c>
      <c r="SVP53" s="708">
        <f t="shared" si="244"/>
        <v>1.1946022967481906E+176</v>
      </c>
      <c r="SVQ53" s="708">
        <f t="shared" si="244"/>
        <v>1.2304403656506364E+176</v>
      </c>
      <c r="SVR53" s="708">
        <f t="shared" si="244"/>
        <v>1.2673535766201554E+176</v>
      </c>
      <c r="SVS53" s="708">
        <f t="shared" si="244"/>
        <v>1.3053741839187602E+176</v>
      </c>
      <c r="SVT53" s="708">
        <f t="shared" si="244"/>
        <v>1.3445354094363231E+176</v>
      </c>
      <c r="SVU53" s="708">
        <f t="shared" si="244"/>
        <v>1.3848714717194127E+176</v>
      </c>
      <c r="SVV53" s="708">
        <f t="shared" si="244"/>
        <v>1.4264176158709951E+176</v>
      </c>
      <c r="SVW53" s="708">
        <f t="shared" si="244"/>
        <v>1.4692101443471249E+176</v>
      </c>
      <c r="SVX53" s="708">
        <f t="shared" si="244"/>
        <v>1.5132864486775388E+176</v>
      </c>
      <c r="SVY53" s="708">
        <f t="shared" si="244"/>
        <v>1.5586850421378651E+176</v>
      </c>
      <c r="SVZ53" s="708">
        <f t="shared" si="244"/>
        <v>1.605445593402001E+176</v>
      </c>
      <c r="SWA53" s="708">
        <f t="shared" si="244"/>
        <v>1.6536089612040611E+176</v>
      </c>
      <c r="SWB53" s="708">
        <f t="shared" si="244"/>
        <v>1.7032172300401828E+176</v>
      </c>
      <c r="SWC53" s="708">
        <f t="shared" si="244"/>
        <v>1.7543137469413884E+176</v>
      </c>
      <c r="SWD53" s="708">
        <f t="shared" ref="SWD53:SYO53" si="245">SWC53*$C$53</f>
        <v>1.80694315934963E+176</v>
      </c>
      <c r="SWE53" s="708">
        <f t="shared" si="245"/>
        <v>1.861151454130119E+176</v>
      </c>
      <c r="SWF53" s="708">
        <f t="shared" si="245"/>
        <v>1.9169859977540227E+176</v>
      </c>
      <c r="SWG53" s="708">
        <f t="shared" si="245"/>
        <v>1.9744955776866435E+176</v>
      </c>
      <c r="SWH53" s="708">
        <f t="shared" si="245"/>
        <v>2.0337304450172429E+176</v>
      </c>
      <c r="SWI53" s="708">
        <f t="shared" si="245"/>
        <v>2.0947423583677603E+176</v>
      </c>
      <c r="SWJ53" s="708">
        <f t="shared" si="245"/>
        <v>2.1575846291187933E+176</v>
      </c>
      <c r="SWK53" s="708">
        <f t="shared" si="245"/>
        <v>2.2223121679923571E+176</v>
      </c>
      <c r="SWL53" s="708">
        <f t="shared" si="245"/>
        <v>2.2889815330321279E+176</v>
      </c>
      <c r="SWM53" s="708">
        <f t="shared" si="245"/>
        <v>2.3576509790230918E+176</v>
      </c>
      <c r="SWN53" s="708">
        <f t="shared" si="245"/>
        <v>2.4283805083937847E+176</v>
      </c>
      <c r="SWO53" s="708">
        <f t="shared" si="245"/>
        <v>2.5012319236455984E+176</v>
      </c>
      <c r="SWP53" s="708">
        <f t="shared" si="245"/>
        <v>2.5762688813549666E+176</v>
      </c>
      <c r="SWQ53" s="708">
        <f t="shared" si="245"/>
        <v>2.6535569477956155E+176</v>
      </c>
      <c r="SWR53" s="708">
        <f t="shared" si="245"/>
        <v>2.733163656229484E+176</v>
      </c>
      <c r="SWS53" s="708">
        <f t="shared" si="245"/>
        <v>2.8151585659163685E+176</v>
      </c>
      <c r="SWT53" s="708">
        <f t="shared" si="245"/>
        <v>2.8996133228938593E+176</v>
      </c>
      <c r="SWU53" s="708">
        <f t="shared" si="245"/>
        <v>2.9866017225806752E+176</v>
      </c>
      <c r="SWV53" s="708">
        <f t="shared" si="245"/>
        <v>3.0761997742580957E+176</v>
      </c>
      <c r="SWW53" s="708">
        <f t="shared" si="245"/>
        <v>3.1684857674858387E+176</v>
      </c>
      <c r="SWX53" s="708">
        <f t="shared" si="245"/>
        <v>3.2635403405104138E+176</v>
      </c>
      <c r="SWY53" s="708">
        <f t="shared" si="245"/>
        <v>3.3614465507257263E+176</v>
      </c>
      <c r="SWZ53" s="708">
        <f t="shared" si="245"/>
        <v>3.4622899472474981E+176</v>
      </c>
      <c r="SXA53" s="708">
        <f t="shared" si="245"/>
        <v>3.5661586456649233E+176</v>
      </c>
      <c r="SXB53" s="708">
        <f t="shared" si="245"/>
        <v>3.6731434050348713E+176</v>
      </c>
      <c r="SXC53" s="708">
        <f t="shared" si="245"/>
        <v>3.7833377071859174E+176</v>
      </c>
      <c r="SXD53" s="708">
        <f t="shared" si="245"/>
        <v>3.8968378384014952E+176</v>
      </c>
      <c r="SXE53" s="708">
        <f t="shared" si="245"/>
        <v>4.0137429735535403E+176</v>
      </c>
      <c r="SXF53" s="708">
        <f t="shared" si="245"/>
        <v>4.1341552627601464E+176</v>
      </c>
      <c r="SXG53" s="708">
        <f t="shared" si="245"/>
        <v>4.2581799206429511E+176</v>
      </c>
      <c r="SXH53" s="708">
        <f t="shared" si="245"/>
        <v>4.3859253182622396E+176</v>
      </c>
      <c r="SXI53" s="708">
        <f t="shared" si="245"/>
        <v>4.5175030778101072E+176</v>
      </c>
      <c r="SXJ53" s="708">
        <f t="shared" si="245"/>
        <v>4.6530281701444107E+176</v>
      </c>
      <c r="SXK53" s="708">
        <f t="shared" si="245"/>
        <v>4.7926190152487432E+176</v>
      </c>
      <c r="SXL53" s="708">
        <f t="shared" si="245"/>
        <v>4.9363975857062056E+176</v>
      </c>
      <c r="SXM53" s="708">
        <f t="shared" si="245"/>
        <v>5.0844895132773915E+176</v>
      </c>
      <c r="SXN53" s="708">
        <f t="shared" si="245"/>
        <v>5.2370241986757129E+176</v>
      </c>
      <c r="SXO53" s="708">
        <f t="shared" si="245"/>
        <v>5.394134924635984E+176</v>
      </c>
      <c r="SXP53" s="708">
        <f t="shared" si="245"/>
        <v>5.5559589723750636E+176</v>
      </c>
      <c r="SXQ53" s="708">
        <f t="shared" si="245"/>
        <v>5.722637741546316E+176</v>
      </c>
      <c r="SXR53" s="708">
        <f t="shared" si="245"/>
        <v>5.8943168737927053E+176</v>
      </c>
      <c r="SXS53" s="708">
        <f t="shared" si="245"/>
        <v>6.0711463800064863E+176</v>
      </c>
      <c r="SXT53" s="708">
        <f t="shared" si="245"/>
        <v>6.253280771406681E+176</v>
      </c>
      <c r="SXU53" s="708">
        <f t="shared" si="245"/>
        <v>6.4408791945488815E+176</v>
      </c>
      <c r="SXV53" s="708">
        <f t="shared" si="245"/>
        <v>6.6341055703853479E+176</v>
      </c>
      <c r="SXW53" s="708">
        <f t="shared" si="245"/>
        <v>6.8331287374969087E+176</v>
      </c>
      <c r="SXX53" s="708">
        <f t="shared" si="245"/>
        <v>7.0381225996218158E+176</v>
      </c>
      <c r="SXY53" s="708">
        <f t="shared" si="245"/>
        <v>7.2492662776104707E+176</v>
      </c>
      <c r="SXZ53" s="708">
        <f t="shared" si="245"/>
        <v>7.4667442659387854E+176</v>
      </c>
      <c r="SYA53" s="708">
        <f t="shared" si="245"/>
        <v>7.6907465939169494E+176</v>
      </c>
      <c r="SYB53" s="708">
        <f t="shared" si="245"/>
        <v>7.9214689917344585E+176</v>
      </c>
      <c r="SYC53" s="708">
        <f t="shared" si="245"/>
        <v>8.1591130614864922E+176</v>
      </c>
      <c r="SYD53" s="708">
        <f t="shared" si="245"/>
        <v>8.403886453331087E+176</v>
      </c>
      <c r="SYE53" s="708">
        <f t="shared" si="245"/>
        <v>8.6560030469310202E+176</v>
      </c>
      <c r="SYF53" s="708">
        <f t="shared" si="245"/>
        <v>8.9156831383389509E+176</v>
      </c>
      <c r="SYG53" s="708">
        <f t="shared" si="245"/>
        <v>9.1831536324891197E+176</v>
      </c>
      <c r="SYH53" s="708">
        <f t="shared" si="245"/>
        <v>9.458648241463794E+176</v>
      </c>
      <c r="SYI53" s="708">
        <f t="shared" si="245"/>
        <v>9.7424076887077084E+176</v>
      </c>
      <c r="SYJ53" s="708">
        <f t="shared" si="245"/>
        <v>1.003467991936894E+177</v>
      </c>
      <c r="SYK53" s="708">
        <f t="shared" si="245"/>
        <v>1.0335720316950009E+177</v>
      </c>
      <c r="SYL53" s="708">
        <f t="shared" si="245"/>
        <v>1.0645791926458509E+177</v>
      </c>
      <c r="SYM53" s="708">
        <f t="shared" si="245"/>
        <v>1.0965165684252266E+177</v>
      </c>
      <c r="SYN53" s="708">
        <f t="shared" si="245"/>
        <v>1.1294120654779835E+177</v>
      </c>
      <c r="SYO53" s="708">
        <f t="shared" si="245"/>
        <v>1.163294427442323E+177</v>
      </c>
      <c r="SYP53" s="708">
        <f t="shared" ref="SYP53:TBA53" si="246">SYO53*$C$53</f>
        <v>1.1981932602655928E+177</v>
      </c>
      <c r="SYQ53" s="708">
        <f t="shared" si="246"/>
        <v>1.2341390580735606E+177</v>
      </c>
      <c r="SYR53" s="708">
        <f t="shared" si="246"/>
        <v>1.2711632298157675E+177</v>
      </c>
      <c r="SYS53" s="708">
        <f t="shared" si="246"/>
        <v>1.3092981267102406E+177</v>
      </c>
      <c r="SYT53" s="708">
        <f t="shared" si="246"/>
        <v>1.348577070511548E+177</v>
      </c>
      <c r="SYU53" s="708">
        <f t="shared" si="246"/>
        <v>1.3890343826268944E+177</v>
      </c>
      <c r="SYV53" s="708">
        <f t="shared" si="246"/>
        <v>1.4307054141057013E+177</v>
      </c>
      <c r="SYW53" s="708">
        <f t="shared" si="246"/>
        <v>1.4736265765288723E+177</v>
      </c>
      <c r="SYX53" s="708">
        <f t="shared" si="246"/>
        <v>1.5178353738247386E+177</v>
      </c>
      <c r="SYY53" s="708">
        <f t="shared" si="246"/>
        <v>1.5633704350394808E+177</v>
      </c>
      <c r="SYZ53" s="708">
        <f t="shared" si="246"/>
        <v>1.6102715480906653E+177</v>
      </c>
      <c r="SZA53" s="708">
        <f t="shared" si="246"/>
        <v>1.6585796945333854E+177</v>
      </c>
      <c r="SZB53" s="708">
        <f t="shared" si="246"/>
        <v>1.7083370853693869E+177</v>
      </c>
      <c r="SZC53" s="708">
        <f t="shared" si="246"/>
        <v>1.7595871979304686E+177</v>
      </c>
      <c r="SZD53" s="708">
        <f t="shared" si="246"/>
        <v>1.8123748138683827E+177</v>
      </c>
      <c r="SZE53" s="708">
        <f t="shared" si="246"/>
        <v>1.8667460582844342E+177</v>
      </c>
      <c r="SZF53" s="708">
        <f t="shared" si="246"/>
        <v>1.9227484400329673E+177</v>
      </c>
      <c r="SZG53" s="708">
        <f t="shared" si="246"/>
        <v>1.9804308932339564E+177</v>
      </c>
      <c r="SZH53" s="708">
        <f t="shared" si="246"/>
        <v>2.0398438200309753E+177</v>
      </c>
      <c r="SZI53" s="708">
        <f t="shared" si="246"/>
        <v>2.1010391346319048E+177</v>
      </c>
      <c r="SZJ53" s="708">
        <f t="shared" si="246"/>
        <v>2.1640703086708621E+177</v>
      </c>
      <c r="SZK53" s="708">
        <f t="shared" si="246"/>
        <v>2.228992417930988E+177</v>
      </c>
      <c r="SZL53" s="708">
        <f t="shared" si="246"/>
        <v>2.2958621904689176E+177</v>
      </c>
      <c r="SZM53" s="708">
        <f t="shared" si="246"/>
        <v>2.3647380561829852E+177</v>
      </c>
      <c r="SZN53" s="708">
        <f t="shared" si="246"/>
        <v>2.4356801978684747E+177</v>
      </c>
      <c r="SZO53" s="708">
        <f t="shared" si="246"/>
        <v>2.508750603804529E+177</v>
      </c>
      <c r="SZP53" s="708">
        <f t="shared" si="246"/>
        <v>2.5840131219186651E+177</v>
      </c>
      <c r="SZQ53" s="708">
        <f t="shared" si="246"/>
        <v>2.6615335155762251E+177</v>
      </c>
      <c r="SZR53" s="708">
        <f t="shared" si="246"/>
        <v>2.7413795210435118E+177</v>
      </c>
      <c r="SZS53" s="708">
        <f t="shared" si="246"/>
        <v>2.823620906674817E+177</v>
      </c>
      <c r="SZT53" s="708">
        <f t="shared" si="246"/>
        <v>2.9083295338750615E+177</v>
      </c>
      <c r="SZU53" s="708">
        <f t="shared" si="246"/>
        <v>2.9955794198913136E+177</v>
      </c>
      <c r="SZV53" s="708">
        <f t="shared" si="246"/>
        <v>3.0854468024880532E+177</v>
      </c>
      <c r="SZW53" s="708">
        <f t="shared" si="246"/>
        <v>3.1780102065626947E+177</v>
      </c>
      <c r="SZX53" s="708">
        <f t="shared" si="246"/>
        <v>3.2733505127595754E+177</v>
      </c>
      <c r="SZY53" s="708">
        <f t="shared" si="246"/>
        <v>3.371551028142363E+177</v>
      </c>
      <c r="SZZ53" s="708">
        <f t="shared" si="246"/>
        <v>3.4726975589866341E+177</v>
      </c>
      <c r="TAA53" s="708">
        <f t="shared" si="246"/>
        <v>3.5768784857562335E+177</v>
      </c>
      <c r="TAB53" s="708">
        <f t="shared" si="246"/>
        <v>3.6841848403289204E+177</v>
      </c>
      <c r="TAC53" s="708">
        <f t="shared" si="246"/>
        <v>3.7947103855387881E+177</v>
      </c>
      <c r="TAD53" s="708">
        <f t="shared" si="246"/>
        <v>3.9085516971049518E+177</v>
      </c>
      <c r="TAE53" s="708">
        <f t="shared" si="246"/>
        <v>4.0258082480181006E+177</v>
      </c>
      <c r="TAF53" s="708">
        <f t="shared" si="246"/>
        <v>4.1465824954586433E+177</v>
      </c>
      <c r="TAG53" s="708">
        <f t="shared" si="246"/>
        <v>4.2709799703224031E+177</v>
      </c>
      <c r="TAH53" s="708">
        <f t="shared" si="246"/>
        <v>4.3991093694320756E+177</v>
      </c>
      <c r="TAI53" s="708">
        <f t="shared" si="246"/>
        <v>4.5310826505150379E+177</v>
      </c>
      <c r="TAJ53" s="708">
        <f t="shared" si="246"/>
        <v>4.667015130030489E+177</v>
      </c>
      <c r="TAK53" s="708">
        <f t="shared" si="246"/>
        <v>4.807025583931404E+177</v>
      </c>
      <c r="TAL53" s="708">
        <f t="shared" si="246"/>
        <v>4.951236351449346E+177</v>
      </c>
      <c r="TAM53" s="708">
        <f t="shared" si="246"/>
        <v>5.0997734419928263E+177</v>
      </c>
      <c r="TAN53" s="708">
        <f t="shared" si="246"/>
        <v>5.2527666452526113E+177</v>
      </c>
      <c r="TAO53" s="708">
        <f t="shared" si="246"/>
        <v>5.4103496446101894E+177</v>
      </c>
      <c r="TAP53" s="708">
        <f t="shared" si="246"/>
        <v>5.5726601339484954E+177</v>
      </c>
      <c r="TAQ53" s="708">
        <f t="shared" si="246"/>
        <v>5.7398399379669507E+177</v>
      </c>
      <c r="TAR53" s="708">
        <f t="shared" si="246"/>
        <v>5.9120351361059593E+177</v>
      </c>
      <c r="TAS53" s="708">
        <f t="shared" si="246"/>
        <v>6.0893961901891383E+177</v>
      </c>
      <c r="TAT53" s="708">
        <f t="shared" si="246"/>
        <v>6.2720780758948123E+177</v>
      </c>
      <c r="TAU53" s="708">
        <f t="shared" si="246"/>
        <v>6.4602404181716568E+177</v>
      </c>
      <c r="TAV53" s="708">
        <f t="shared" si="246"/>
        <v>6.6540476307168067E+177</v>
      </c>
      <c r="TAW53" s="708">
        <f t="shared" si="246"/>
        <v>6.8536690596383114E+177</v>
      </c>
      <c r="TAX53" s="708">
        <f t="shared" si="246"/>
        <v>7.0592791314274614E+177</v>
      </c>
      <c r="TAY53" s="708">
        <f t="shared" si="246"/>
        <v>7.2710575053702851E+177</v>
      </c>
      <c r="TAZ53" s="708">
        <f t="shared" si="246"/>
        <v>7.4891892305313936E+177</v>
      </c>
      <c r="TBA53" s="708">
        <f t="shared" si="246"/>
        <v>7.7138649074473353E+177</v>
      </c>
      <c r="TBB53" s="708">
        <f t="shared" ref="TBB53:TDM53" si="247">TBA53*$C$53</f>
        <v>7.9452808546707554E+177</v>
      </c>
      <c r="TBC53" s="708">
        <f t="shared" si="247"/>
        <v>8.1836392803108786E+177</v>
      </c>
      <c r="TBD53" s="708">
        <f t="shared" si="247"/>
        <v>8.4291484587202054E+177</v>
      </c>
      <c r="TBE53" s="708">
        <f t="shared" si="247"/>
        <v>8.6820229124818126E+177</v>
      </c>
      <c r="TBF53" s="708">
        <f t="shared" si="247"/>
        <v>8.9424835998562679E+177</v>
      </c>
      <c r="TBG53" s="708">
        <f t="shared" si="247"/>
        <v>9.2107581078519559E+177</v>
      </c>
      <c r="TBH53" s="708">
        <f t="shared" si="247"/>
        <v>9.4870808510875144E+177</v>
      </c>
      <c r="TBI53" s="708">
        <f t="shared" si="247"/>
        <v>9.7716932766201392E+177</v>
      </c>
      <c r="TBJ53" s="708">
        <f t="shared" si="247"/>
        <v>1.0064844074918744E+178</v>
      </c>
      <c r="TBK53" s="708">
        <f t="shared" si="247"/>
        <v>1.0366789397166307E+178</v>
      </c>
      <c r="TBL53" s="708">
        <f t="shared" si="247"/>
        <v>1.0677793079081296E+178</v>
      </c>
      <c r="TBM53" s="708">
        <f t="shared" si="247"/>
        <v>1.0998126871453735E+178</v>
      </c>
      <c r="TBN53" s="708">
        <f t="shared" si="247"/>
        <v>1.1328070677597348E+178</v>
      </c>
      <c r="TBO53" s="708">
        <f t="shared" si="247"/>
        <v>1.166791279792527E+178</v>
      </c>
      <c r="TBP53" s="708">
        <f t="shared" si="247"/>
        <v>1.2017950181863028E+178</v>
      </c>
      <c r="TBQ53" s="708">
        <f t="shared" si="247"/>
        <v>1.237848868731892E+178</v>
      </c>
      <c r="TBR53" s="708">
        <f t="shared" si="247"/>
        <v>1.2749843347938488E+178</v>
      </c>
      <c r="TBS53" s="708">
        <f t="shared" si="247"/>
        <v>1.3132338648376643E+178</v>
      </c>
      <c r="TBT53" s="708">
        <f t="shared" si="247"/>
        <v>1.3526308807827943E+178</v>
      </c>
      <c r="TBU53" s="708">
        <f t="shared" si="247"/>
        <v>1.3932098072062782E+178</v>
      </c>
      <c r="TBV53" s="708">
        <f t="shared" si="247"/>
        <v>1.4350061014224665E+178</v>
      </c>
      <c r="TBW53" s="708">
        <f t="shared" si="247"/>
        <v>1.4780562844651407E+178</v>
      </c>
      <c r="TBX53" s="708">
        <f t="shared" si="247"/>
        <v>1.5223979729990948E+178</v>
      </c>
      <c r="TBY53" s="708">
        <f t="shared" si="247"/>
        <v>1.5680699121890678E+178</v>
      </c>
      <c r="TBZ53" s="708">
        <f t="shared" si="247"/>
        <v>1.6151120095547398E+178</v>
      </c>
      <c r="TCA53" s="708">
        <f t="shared" si="247"/>
        <v>1.6635653698413822E+178</v>
      </c>
      <c r="TCB53" s="708">
        <f t="shared" si="247"/>
        <v>1.7134723309366236E+178</v>
      </c>
      <c r="TCC53" s="708">
        <f t="shared" si="247"/>
        <v>1.7648765008647224E+178</v>
      </c>
      <c r="TCD53" s="708">
        <f t="shared" si="247"/>
        <v>1.8178227958906642E+178</v>
      </c>
      <c r="TCE53" s="708">
        <f t="shared" si="247"/>
        <v>1.8723574797673843E+178</v>
      </c>
      <c r="TCF53" s="708">
        <f t="shared" si="247"/>
        <v>1.9285282041604057E+178</v>
      </c>
      <c r="TCG53" s="708">
        <f t="shared" si="247"/>
        <v>1.986384050285218E+178</v>
      </c>
      <c r="TCH53" s="708">
        <f t="shared" si="247"/>
        <v>2.0459755717937744E+178</v>
      </c>
      <c r="TCI53" s="708">
        <f t="shared" si="247"/>
        <v>2.1073548389475878E+178</v>
      </c>
      <c r="TCJ53" s="708">
        <f t="shared" si="247"/>
        <v>2.1705754841160156E+178</v>
      </c>
      <c r="TCK53" s="708">
        <f t="shared" si="247"/>
        <v>2.2356927486394963E+178</v>
      </c>
      <c r="TCL53" s="708">
        <f t="shared" si="247"/>
        <v>2.3027635310986814E+178</v>
      </c>
      <c r="TCM53" s="708">
        <f t="shared" si="247"/>
        <v>2.3718464370316418E+178</v>
      </c>
      <c r="TCN53" s="708">
        <f t="shared" si="247"/>
        <v>2.4430018301425912E+178</v>
      </c>
      <c r="TCO53" s="708">
        <f t="shared" si="247"/>
        <v>2.5162918850468688E+178</v>
      </c>
      <c r="TCP53" s="708">
        <f t="shared" si="247"/>
        <v>2.591780641598275E+178</v>
      </c>
      <c r="TCQ53" s="708">
        <f t="shared" si="247"/>
        <v>2.6695340608462233E+178</v>
      </c>
      <c r="TCR53" s="708">
        <f t="shared" si="247"/>
        <v>2.74962008267161E+178</v>
      </c>
      <c r="TCS53" s="708">
        <f t="shared" si="247"/>
        <v>2.8321086851517584E+178</v>
      </c>
      <c r="TCT53" s="708">
        <f t="shared" si="247"/>
        <v>2.9170719457063113E+178</v>
      </c>
      <c r="TCU53" s="708">
        <f t="shared" si="247"/>
        <v>3.0045841040775006E+178</v>
      </c>
      <c r="TCV53" s="708">
        <f t="shared" si="247"/>
        <v>3.0947216271998257E+178</v>
      </c>
      <c r="TCW53" s="708">
        <f t="shared" si="247"/>
        <v>3.1875632760158207E+178</v>
      </c>
      <c r="TCX53" s="708">
        <f t="shared" si="247"/>
        <v>3.2831901742962951E+178</v>
      </c>
      <c r="TCY53" s="708">
        <f t="shared" si="247"/>
        <v>3.381685879525184E+178</v>
      </c>
      <c r="TCZ53" s="708">
        <f t="shared" si="247"/>
        <v>3.4831364559109396E+178</v>
      </c>
      <c r="TDA53" s="708">
        <f t="shared" si="247"/>
        <v>3.5876305495882681E+178</v>
      </c>
      <c r="TDB53" s="708">
        <f t="shared" si="247"/>
        <v>3.6952594660759161E+178</v>
      </c>
      <c r="TDC53" s="708">
        <f t="shared" si="247"/>
        <v>3.8061172500581938E+178</v>
      </c>
      <c r="TDD53" s="708">
        <f t="shared" si="247"/>
        <v>3.92030076755994E+178</v>
      </c>
      <c r="TDE53" s="708">
        <f t="shared" si="247"/>
        <v>4.0379097905867383E+178</v>
      </c>
      <c r="TDF53" s="708">
        <f t="shared" si="247"/>
        <v>4.1590470843043405E+178</v>
      </c>
      <c r="TDG53" s="708">
        <f t="shared" si="247"/>
        <v>4.2838184968334707E+178</v>
      </c>
      <c r="TDH53" s="708">
        <f t="shared" si="247"/>
        <v>4.4123330517384748E+178</v>
      </c>
      <c r="TDI53" s="708">
        <f t="shared" si="247"/>
        <v>4.5447030432906295E+178</v>
      </c>
      <c r="TDJ53" s="708">
        <f t="shared" si="247"/>
        <v>4.6810441345893484E+178</v>
      </c>
      <c r="TDK53" s="708">
        <f t="shared" si="247"/>
        <v>4.8214754586270287E+178</v>
      </c>
      <c r="TDL53" s="708">
        <f t="shared" si="247"/>
        <v>4.9661197223858399E+178</v>
      </c>
      <c r="TDM53" s="708">
        <f t="shared" si="247"/>
        <v>5.1151033140574149E+178</v>
      </c>
      <c r="TDN53" s="708">
        <f t="shared" ref="TDN53:TFY53" si="248">TDM53*$C$53</f>
        <v>5.2685564134791373E+178</v>
      </c>
      <c r="TDO53" s="708">
        <f t="shared" si="248"/>
        <v>5.4266131058835115E+178</v>
      </c>
      <c r="TDP53" s="708">
        <f t="shared" si="248"/>
        <v>5.5894114990600168E+178</v>
      </c>
      <c r="TDQ53" s="708">
        <f t="shared" si="248"/>
        <v>5.7570938440318173E+178</v>
      </c>
      <c r="TDR53" s="708">
        <f t="shared" si="248"/>
        <v>5.9298066593527722E+178</v>
      </c>
      <c r="TDS53" s="708">
        <f t="shared" si="248"/>
        <v>6.1077008591333554E+178</v>
      </c>
      <c r="TDT53" s="708">
        <f t="shared" si="248"/>
        <v>6.2909318849073564E+178</v>
      </c>
      <c r="TDU53" s="708">
        <f t="shared" si="248"/>
        <v>6.4796598414545771E+178</v>
      </c>
      <c r="TDV53" s="708">
        <f t="shared" si="248"/>
        <v>6.6740496366982146E+178</v>
      </c>
      <c r="TDW53" s="708">
        <f t="shared" si="248"/>
        <v>6.8742711257991615E+178</v>
      </c>
      <c r="TDX53" s="708">
        <f t="shared" si="248"/>
        <v>7.0804992595731371E+178</v>
      </c>
      <c r="TDY53" s="708">
        <f t="shared" si="248"/>
        <v>7.2929142373603308E+178</v>
      </c>
      <c r="TDZ53" s="708">
        <f t="shared" si="248"/>
        <v>7.5117016644811406E+178</v>
      </c>
      <c r="TEA53" s="708">
        <f t="shared" si="248"/>
        <v>7.7370527144155744E+178</v>
      </c>
      <c r="TEB53" s="708">
        <f t="shared" si="248"/>
        <v>7.9691642958480411E+178</v>
      </c>
      <c r="TEC53" s="708">
        <f t="shared" si="248"/>
        <v>8.2082392247234824E+178</v>
      </c>
      <c r="TED53" s="708">
        <f t="shared" si="248"/>
        <v>8.4544864014651864E+178</v>
      </c>
      <c r="TEE53" s="708">
        <f t="shared" si="248"/>
        <v>8.7081209935091428E+178</v>
      </c>
      <c r="TEF53" s="708">
        <f t="shared" si="248"/>
        <v>8.9693646233144176E+178</v>
      </c>
      <c r="TEG53" s="708">
        <f t="shared" si="248"/>
        <v>9.2384455620138499E+178</v>
      </c>
      <c r="TEH53" s="708">
        <f t="shared" si="248"/>
        <v>9.5155989288742657E+178</v>
      </c>
      <c r="TEI53" s="708">
        <f t="shared" si="248"/>
        <v>9.8010668967404941E+178</v>
      </c>
      <c r="TEJ53" s="708">
        <f t="shared" si="248"/>
        <v>1.009509890364271E+179</v>
      </c>
      <c r="TEK53" s="708">
        <f t="shared" si="248"/>
        <v>1.0397951870751991E+179</v>
      </c>
      <c r="TEL53" s="708">
        <f t="shared" si="248"/>
        <v>1.070989042687455E+179</v>
      </c>
      <c r="TEM53" s="708">
        <f t="shared" si="248"/>
        <v>1.1031187139680788E+179</v>
      </c>
      <c r="TEN53" s="708">
        <f t="shared" si="248"/>
        <v>1.1362122753871212E+179</v>
      </c>
      <c r="TEO53" s="708">
        <f t="shared" si="248"/>
        <v>1.1702986436487349E+179</v>
      </c>
      <c r="TEP53" s="708">
        <f t="shared" si="248"/>
        <v>1.205407602958197E+179</v>
      </c>
      <c r="TEQ53" s="708">
        <f t="shared" si="248"/>
        <v>1.2415698310469429E+179</v>
      </c>
      <c r="TER53" s="708">
        <f t="shared" si="248"/>
        <v>1.2788169259783513E+179</v>
      </c>
      <c r="TES53" s="708">
        <f t="shared" si="248"/>
        <v>1.317181433757702E+179</v>
      </c>
      <c r="TET53" s="708">
        <f t="shared" si="248"/>
        <v>1.3566968767704331E+179</v>
      </c>
      <c r="TEU53" s="708">
        <f t="shared" si="248"/>
        <v>1.397397783073546E+179</v>
      </c>
      <c r="TEV53" s="708">
        <f t="shared" si="248"/>
        <v>1.4393197165657525E+179</v>
      </c>
      <c r="TEW53" s="708">
        <f t="shared" si="248"/>
        <v>1.4824993080627251E+179</v>
      </c>
      <c r="TEX53" s="708">
        <f t="shared" si="248"/>
        <v>1.5269742873046069E+179</v>
      </c>
      <c r="TEY53" s="708">
        <f t="shared" si="248"/>
        <v>1.5727835159237452E+179</v>
      </c>
      <c r="TEZ53" s="708">
        <f t="shared" si="248"/>
        <v>1.6199670214014576E+179</v>
      </c>
      <c r="TFA53" s="708">
        <f t="shared" si="248"/>
        <v>1.6685660320435012E+179</v>
      </c>
      <c r="TFB53" s="708">
        <f t="shared" si="248"/>
        <v>1.7186230130048065E+179</v>
      </c>
      <c r="TFC53" s="708">
        <f t="shared" si="248"/>
        <v>1.7701817033949508E+179</v>
      </c>
      <c r="TFD53" s="708">
        <f t="shared" si="248"/>
        <v>1.8232871544967994E+179</v>
      </c>
      <c r="TFE53" s="708">
        <f t="shared" si="248"/>
        <v>1.8779857691317034E+179</v>
      </c>
      <c r="TFF53" s="708">
        <f t="shared" si="248"/>
        <v>1.9343253422056546E+179</v>
      </c>
      <c r="TFG53" s="708">
        <f t="shared" si="248"/>
        <v>1.9923551024718244E+179</v>
      </c>
      <c r="TFH53" s="708">
        <f t="shared" si="248"/>
        <v>2.052125755545979E+179</v>
      </c>
      <c r="TFI53" s="708">
        <f t="shared" si="248"/>
        <v>2.1136895282123585E+179</v>
      </c>
      <c r="TFJ53" s="708">
        <f t="shared" si="248"/>
        <v>2.1771002140587292E+179</v>
      </c>
      <c r="TFK53" s="708">
        <f t="shared" si="248"/>
        <v>2.2424132204804911E+179</v>
      </c>
      <c r="TFL53" s="708">
        <f t="shared" si="248"/>
        <v>2.3096856170949058E+179</v>
      </c>
      <c r="TFM53" s="708">
        <f t="shared" si="248"/>
        <v>2.3789761856077531E+179</v>
      </c>
      <c r="TFN53" s="708">
        <f t="shared" si="248"/>
        <v>2.4503454711759858E+179</v>
      </c>
      <c r="TFO53" s="708">
        <f t="shared" si="248"/>
        <v>2.5238558353112655E+179</v>
      </c>
      <c r="TFP53" s="708">
        <f t="shared" si="248"/>
        <v>2.5995715103706035E+179</v>
      </c>
      <c r="TFQ53" s="708">
        <f t="shared" si="248"/>
        <v>2.6775586556817216E+179</v>
      </c>
      <c r="TFR53" s="708">
        <f t="shared" si="248"/>
        <v>2.7578854153521734E+179</v>
      </c>
      <c r="TFS53" s="708">
        <f t="shared" si="248"/>
        <v>2.8406219778127389E+179</v>
      </c>
      <c r="TFT53" s="708">
        <f t="shared" si="248"/>
        <v>2.9258406371471212E+179</v>
      </c>
      <c r="TFU53" s="708">
        <f t="shared" si="248"/>
        <v>3.013615856261535E+179</v>
      </c>
      <c r="TFV53" s="708">
        <f t="shared" si="248"/>
        <v>3.104024331949381E+179</v>
      </c>
      <c r="TFW53" s="708">
        <f t="shared" si="248"/>
        <v>3.1971450619078628E+179</v>
      </c>
      <c r="TFX53" s="708">
        <f t="shared" si="248"/>
        <v>3.2930594137650988E+179</v>
      </c>
      <c r="TFY53" s="708">
        <f t="shared" si="248"/>
        <v>3.3918511961780518E+179</v>
      </c>
      <c r="TFZ53" s="708">
        <f t="shared" ref="TFZ53:TIK53" si="249">TFY53*$C$53</f>
        <v>3.4936067320633934E+179</v>
      </c>
      <c r="TGA53" s="708">
        <f t="shared" si="249"/>
        <v>3.5984149340252955E+179</v>
      </c>
      <c r="TGB53" s="708">
        <f t="shared" si="249"/>
        <v>3.7063673820460547E+179</v>
      </c>
      <c r="TGC53" s="708">
        <f t="shared" si="249"/>
        <v>3.8175584035074365E+179</v>
      </c>
      <c r="TGD53" s="708">
        <f t="shared" si="249"/>
        <v>3.9320851556126598E+179</v>
      </c>
      <c r="TGE53" s="708">
        <f t="shared" si="249"/>
        <v>4.0500477102810395E+179</v>
      </c>
      <c r="TGF53" s="708">
        <f t="shared" si="249"/>
        <v>4.1715491415894708E+179</v>
      </c>
      <c r="TGG53" s="708">
        <f t="shared" si="249"/>
        <v>4.2966956158371552E+179</v>
      </c>
      <c r="TGH53" s="708">
        <f t="shared" si="249"/>
        <v>4.4255964843122702E+179</v>
      </c>
      <c r="TGI53" s="708">
        <f t="shared" si="249"/>
        <v>4.5583643788416386E+179</v>
      </c>
      <c r="TGJ53" s="708">
        <f t="shared" si="249"/>
        <v>4.6951153102068881E+179</v>
      </c>
      <c r="TGK53" s="708">
        <f t="shared" si="249"/>
        <v>4.8359687695130949E+179</v>
      </c>
      <c r="TGL53" s="708">
        <f t="shared" si="249"/>
        <v>4.9810478325984879E+179</v>
      </c>
      <c r="TGM53" s="708">
        <f t="shared" si="249"/>
        <v>5.1304792675764427E+179</v>
      </c>
      <c r="TGN53" s="708">
        <f t="shared" si="249"/>
        <v>5.2843936456037358E+179</v>
      </c>
      <c r="TGO53" s="708">
        <f t="shared" si="249"/>
        <v>5.4429254549718476E+179</v>
      </c>
      <c r="TGP53" s="708">
        <f t="shared" si="249"/>
        <v>5.6062132186210031E+179</v>
      </c>
      <c r="TGQ53" s="708">
        <f t="shared" si="249"/>
        <v>5.7743996151796337E+179</v>
      </c>
      <c r="TGR53" s="708">
        <f t="shared" si="249"/>
        <v>5.9476316036350226E+179</v>
      </c>
      <c r="TGS53" s="708">
        <f t="shared" si="249"/>
        <v>6.1260605517440731E+179</v>
      </c>
      <c r="TGT53" s="708">
        <f t="shared" si="249"/>
        <v>6.3098423682963952E+179</v>
      </c>
      <c r="TGU53" s="708">
        <f t="shared" si="249"/>
        <v>6.4991376393452873E+179</v>
      </c>
      <c r="TGV53" s="708">
        <f t="shared" si="249"/>
        <v>6.694111768525646E+179</v>
      </c>
      <c r="TGW53" s="708">
        <f t="shared" si="249"/>
        <v>6.894935121581416E+179</v>
      </c>
      <c r="TGX53" s="708">
        <f t="shared" si="249"/>
        <v>7.1017831752288582E+179</v>
      </c>
      <c r="TGY53" s="708">
        <f t="shared" si="249"/>
        <v>7.3148366704857238E+179</v>
      </c>
      <c r="TGZ53" s="708">
        <f t="shared" si="249"/>
        <v>7.5342817706002957E+179</v>
      </c>
      <c r="THA53" s="708">
        <f t="shared" si="249"/>
        <v>7.7603102237183048E+179</v>
      </c>
      <c r="THB53" s="708">
        <f t="shared" si="249"/>
        <v>7.9931195304298539E+179</v>
      </c>
      <c r="THC53" s="708">
        <f t="shared" si="249"/>
        <v>8.2329131163427493E+179</v>
      </c>
      <c r="THD53" s="708">
        <f t="shared" si="249"/>
        <v>8.4799005098330325E+179</v>
      </c>
      <c r="THE53" s="708">
        <f t="shared" si="249"/>
        <v>8.7342975251280241E+179</v>
      </c>
      <c r="THF53" s="708">
        <f t="shared" si="249"/>
        <v>8.9963264508818651E+179</v>
      </c>
      <c r="THG53" s="708">
        <f t="shared" si="249"/>
        <v>9.2662162444083217E+179</v>
      </c>
      <c r="THH53" s="708">
        <f t="shared" si="249"/>
        <v>9.5442027317405712E+179</v>
      </c>
      <c r="THI53" s="708">
        <f t="shared" si="249"/>
        <v>9.8305288136927886E+179</v>
      </c>
      <c r="THJ53" s="708">
        <f t="shared" si="249"/>
        <v>1.0125444678103573E+180</v>
      </c>
      <c r="THK53" s="708">
        <f t="shared" si="249"/>
        <v>1.0429208018446679E+180</v>
      </c>
      <c r="THL53" s="708">
        <f t="shared" si="249"/>
        <v>1.0742084259000079E+180</v>
      </c>
      <c r="THM53" s="708">
        <f t="shared" si="249"/>
        <v>1.1064346786770081E+180</v>
      </c>
      <c r="THN53" s="708">
        <f t="shared" si="249"/>
        <v>1.1396277190373183E+180</v>
      </c>
      <c r="THO53" s="708">
        <f t="shared" si="249"/>
        <v>1.1738165506084378E+180</v>
      </c>
      <c r="THP53" s="708">
        <f t="shared" si="249"/>
        <v>1.209031047126691E+180</v>
      </c>
      <c r="THQ53" s="708">
        <f t="shared" si="249"/>
        <v>1.2453019785404919E+180</v>
      </c>
      <c r="THR53" s="708">
        <f t="shared" si="249"/>
        <v>1.2826610378967066E+180</v>
      </c>
      <c r="THS53" s="708">
        <f t="shared" si="249"/>
        <v>1.3211408690336077E+180</v>
      </c>
      <c r="THT53" s="708">
        <f t="shared" si="249"/>
        <v>1.3607750951046161E+180</v>
      </c>
      <c r="THU53" s="708">
        <f t="shared" si="249"/>
        <v>1.4015983479577546E+180</v>
      </c>
      <c r="THV53" s="708">
        <f t="shared" si="249"/>
        <v>1.4436462983964872E+180</v>
      </c>
      <c r="THW53" s="708">
        <f t="shared" si="249"/>
        <v>1.4869556873483819E+180</v>
      </c>
      <c r="THX53" s="708">
        <f t="shared" si="249"/>
        <v>1.5315643579688334E+180</v>
      </c>
      <c r="THY53" s="708">
        <f t="shared" si="249"/>
        <v>1.5775112887078985E+180</v>
      </c>
      <c r="THZ53" s="708">
        <f t="shared" si="249"/>
        <v>1.6248366273691355E+180</v>
      </c>
      <c r="TIA53" s="708">
        <f t="shared" si="249"/>
        <v>1.6735817261902095E+180</v>
      </c>
      <c r="TIB53" s="708">
        <f t="shared" si="249"/>
        <v>1.7237891779759159E+180</v>
      </c>
      <c r="TIC53" s="708">
        <f t="shared" si="249"/>
        <v>1.7755028533151934E+180</v>
      </c>
      <c r="TID53" s="708">
        <f t="shared" si="249"/>
        <v>1.8287679389146492E+180</v>
      </c>
      <c r="TIE53" s="708">
        <f t="shared" si="249"/>
        <v>1.8836309770820887E+180</v>
      </c>
      <c r="TIF53" s="708">
        <f t="shared" si="249"/>
        <v>1.9401399063945515E+180</v>
      </c>
      <c r="TIG53" s="708">
        <f t="shared" si="249"/>
        <v>1.9983441035863881E+180</v>
      </c>
      <c r="TIH53" s="708">
        <f t="shared" si="249"/>
        <v>2.0582944266939797E+180</v>
      </c>
      <c r="TII53" s="708">
        <f t="shared" si="249"/>
        <v>2.1200432594947991E+180</v>
      </c>
      <c r="TIJ53" s="708">
        <f t="shared" si="249"/>
        <v>2.1836445572796433E+180</v>
      </c>
      <c r="TIK53" s="708">
        <f t="shared" si="249"/>
        <v>2.2491538939980327E+180</v>
      </c>
      <c r="TIL53" s="708">
        <f t="shared" ref="TIL53:TKW53" si="250">TIK53*$C$53</f>
        <v>2.316628510817974E+180</v>
      </c>
      <c r="TIM53" s="708">
        <f t="shared" si="250"/>
        <v>2.3861273661425135E+180</v>
      </c>
      <c r="TIN53" s="708">
        <f t="shared" si="250"/>
        <v>2.457711187126789E+180</v>
      </c>
      <c r="TIO53" s="708">
        <f t="shared" si="250"/>
        <v>2.5314425227405926E+180</v>
      </c>
      <c r="TIP53" s="708">
        <f t="shared" si="250"/>
        <v>2.6073857984228104E+180</v>
      </c>
      <c r="TIQ53" s="708">
        <f t="shared" si="250"/>
        <v>2.6856073723754946E+180</v>
      </c>
      <c r="TIR53" s="708">
        <f t="shared" si="250"/>
        <v>2.7661755935467595E+180</v>
      </c>
      <c r="TIS53" s="708">
        <f t="shared" si="250"/>
        <v>2.8491608613531626E+180</v>
      </c>
      <c r="TIT53" s="708">
        <f t="shared" si="250"/>
        <v>2.9346356871937573E+180</v>
      </c>
      <c r="TIU53" s="708">
        <f t="shared" si="250"/>
        <v>3.02267475780957E+180</v>
      </c>
      <c r="TIV53" s="708">
        <f t="shared" si="250"/>
        <v>3.1133550005438571E+180</v>
      </c>
      <c r="TIW53" s="708">
        <f t="shared" si="250"/>
        <v>3.2067556505601726E+180</v>
      </c>
      <c r="TIX53" s="708">
        <f t="shared" si="250"/>
        <v>3.3029583200769778E+180</v>
      </c>
      <c r="TIY53" s="708">
        <f t="shared" si="250"/>
        <v>3.4020470696792873E+180</v>
      </c>
      <c r="TIZ53" s="708">
        <f t="shared" si="250"/>
        <v>3.5041084817696659E+180</v>
      </c>
      <c r="TJA53" s="708">
        <f t="shared" si="250"/>
        <v>3.609231736222756E+180</v>
      </c>
      <c r="TJB53" s="708">
        <f t="shared" si="250"/>
        <v>3.7175086883094386E+180</v>
      </c>
      <c r="TJC53" s="708">
        <f t="shared" si="250"/>
        <v>3.8290339489587216E+180</v>
      </c>
      <c r="TJD53" s="708">
        <f t="shared" si="250"/>
        <v>3.9439049674274832E+180</v>
      </c>
      <c r="TJE53" s="708">
        <f t="shared" si="250"/>
        <v>4.062222116450308E+180</v>
      </c>
      <c r="TJF53" s="708">
        <f t="shared" si="250"/>
        <v>4.1840887799438172E+180</v>
      </c>
      <c r="TJG53" s="708">
        <f t="shared" si="250"/>
        <v>4.3096114433421316E+180</v>
      </c>
      <c r="TJH53" s="708">
        <f t="shared" si="250"/>
        <v>4.4388997866423956E+180</v>
      </c>
      <c r="TJI53" s="708">
        <f t="shared" si="250"/>
        <v>4.5720667802416674E+180</v>
      </c>
      <c r="TJJ53" s="708">
        <f t="shared" si="250"/>
        <v>4.7092287836489177E+180</v>
      </c>
      <c r="TJK53" s="708">
        <f t="shared" si="250"/>
        <v>4.850505647158385E+180</v>
      </c>
      <c r="TJL53" s="708">
        <f t="shared" si="250"/>
        <v>4.9960208165731368E+180</v>
      </c>
      <c r="TJM53" s="708">
        <f t="shared" si="250"/>
        <v>5.1459014410703311E+180</v>
      </c>
      <c r="TJN53" s="708">
        <f t="shared" si="250"/>
        <v>5.3002784843024412E+180</v>
      </c>
      <c r="TJO53" s="708">
        <f t="shared" si="250"/>
        <v>5.4592868388315148E+180</v>
      </c>
      <c r="TJP53" s="708">
        <f t="shared" si="250"/>
        <v>5.6230654439964602E+180</v>
      </c>
      <c r="TJQ53" s="708">
        <f t="shared" si="250"/>
        <v>5.7917574073163543E+180</v>
      </c>
      <c r="TJR53" s="708">
        <f t="shared" si="250"/>
        <v>5.9655101295358448E+180</v>
      </c>
      <c r="TJS53" s="708">
        <f t="shared" si="250"/>
        <v>6.14447543342192E+180</v>
      </c>
      <c r="TJT53" s="708">
        <f t="shared" si="250"/>
        <v>6.3288096964245776E+180</v>
      </c>
      <c r="TJU53" s="708">
        <f t="shared" si="250"/>
        <v>6.5186739873173151E+180</v>
      </c>
      <c r="TJV53" s="708">
        <f t="shared" si="250"/>
        <v>6.7142342069368351E+180</v>
      </c>
      <c r="TJW53" s="708">
        <f t="shared" si="250"/>
        <v>6.9156612331449399E+180</v>
      </c>
      <c r="TJX53" s="708">
        <f t="shared" si="250"/>
        <v>7.1231310701392884E+180</v>
      </c>
      <c r="TJY53" s="708">
        <f t="shared" si="250"/>
        <v>7.336825002243467E+180</v>
      </c>
      <c r="TJZ53" s="708">
        <f t="shared" si="250"/>
        <v>7.5569297523107708E+180</v>
      </c>
      <c r="TKA53" s="708">
        <f t="shared" si="250"/>
        <v>7.7836376448800946E+180</v>
      </c>
      <c r="TKB53" s="708">
        <f t="shared" si="250"/>
        <v>8.0171467742264975E+180</v>
      </c>
      <c r="TKC53" s="708">
        <f t="shared" si="250"/>
        <v>8.2576611774532922E+180</v>
      </c>
      <c r="TKD53" s="708">
        <f t="shared" si="250"/>
        <v>8.5053910127768906E+180</v>
      </c>
      <c r="TKE53" s="708">
        <f t="shared" si="250"/>
        <v>8.7605527431601975E+180</v>
      </c>
      <c r="TKF53" s="708">
        <f t="shared" si="250"/>
        <v>9.0233693254550038E+180</v>
      </c>
      <c r="TKG53" s="708">
        <f t="shared" si="250"/>
        <v>9.2940704052186538E+180</v>
      </c>
      <c r="TKH53" s="708">
        <f t="shared" si="250"/>
        <v>9.5728925173752144E+180</v>
      </c>
      <c r="TKI53" s="708">
        <f t="shared" si="250"/>
        <v>9.8600792928964714E+180</v>
      </c>
      <c r="TKJ53" s="708">
        <f t="shared" si="250"/>
        <v>1.0155881671683367E+181</v>
      </c>
      <c r="TKK53" s="708">
        <f t="shared" si="250"/>
        <v>1.0460558121833868E+181</v>
      </c>
      <c r="TKL53" s="708">
        <f t="shared" si="250"/>
        <v>1.0774374865488885E+181</v>
      </c>
      <c r="TKM53" s="708">
        <f t="shared" si="250"/>
        <v>1.1097606111453553E+181</v>
      </c>
      <c r="TKN53" s="708">
        <f t="shared" si="250"/>
        <v>1.143053429479716E+181</v>
      </c>
      <c r="TKO53" s="708">
        <f t="shared" si="250"/>
        <v>1.1773450323641076E+181</v>
      </c>
      <c r="TKP53" s="708">
        <f t="shared" si="250"/>
        <v>1.2126653833350309E+181</v>
      </c>
      <c r="TKQ53" s="708">
        <f t="shared" si="250"/>
        <v>1.2490453448350818E+181</v>
      </c>
      <c r="TKR53" s="708">
        <f t="shared" si="250"/>
        <v>1.2865167051801342E+181</v>
      </c>
      <c r="TKS53" s="708">
        <f t="shared" si="250"/>
        <v>1.3251122063355382E+181</v>
      </c>
      <c r="TKT53" s="708">
        <f t="shared" si="250"/>
        <v>1.3648655725256044E+181</v>
      </c>
      <c r="TKU53" s="708">
        <f t="shared" si="250"/>
        <v>1.4058115397013727E+181</v>
      </c>
      <c r="TKV53" s="708">
        <f t="shared" si="250"/>
        <v>1.4479858858924139E+181</v>
      </c>
      <c r="TKW53" s="708">
        <f t="shared" si="250"/>
        <v>1.4914254624691863E+181</v>
      </c>
      <c r="TKX53" s="708">
        <f t="shared" ref="TKX53:TNI53" si="251">TKW53*$C$53</f>
        <v>1.5361682263432619E+181</v>
      </c>
      <c r="TKY53" s="708">
        <f t="shared" si="251"/>
        <v>1.5822532731335598E+181</v>
      </c>
      <c r="TKZ53" s="708">
        <f t="shared" si="251"/>
        <v>1.6297208713275667E+181</v>
      </c>
      <c r="TLA53" s="708">
        <f t="shared" si="251"/>
        <v>1.6786124974673938E+181</v>
      </c>
      <c r="TLB53" s="708">
        <f t="shared" si="251"/>
        <v>1.7289708723914158E+181</v>
      </c>
      <c r="TLC53" s="708">
        <f t="shared" si="251"/>
        <v>1.7808399985631584E+181</v>
      </c>
      <c r="TLD53" s="708">
        <f t="shared" si="251"/>
        <v>1.8342651985200531E+181</v>
      </c>
      <c r="TLE53" s="708">
        <f t="shared" si="251"/>
        <v>1.8892931544756549E+181</v>
      </c>
      <c r="TLF53" s="708">
        <f t="shared" si="251"/>
        <v>1.9459719491099245E+181</v>
      </c>
      <c r="TLG53" s="708">
        <f t="shared" si="251"/>
        <v>2.0043511075832223E+181</v>
      </c>
      <c r="TLH53" s="708">
        <f t="shared" si="251"/>
        <v>2.0644816408107189E+181</v>
      </c>
      <c r="TLI53" s="708">
        <f t="shared" si="251"/>
        <v>2.1264160900350406E+181</v>
      </c>
      <c r="TLJ53" s="708">
        <f t="shared" si="251"/>
        <v>2.1902085727360921E+181</v>
      </c>
      <c r="TLK53" s="708">
        <f t="shared" si="251"/>
        <v>2.2559148299181747E+181</v>
      </c>
      <c r="TLL53" s="708">
        <f t="shared" si="251"/>
        <v>2.3235922748157202E+181</v>
      </c>
      <c r="TLM53" s="708">
        <f t="shared" si="251"/>
        <v>2.3933000430601917E+181</v>
      </c>
      <c r="TLN53" s="708">
        <f t="shared" si="251"/>
        <v>2.4650990443519973E+181</v>
      </c>
      <c r="TLO53" s="708">
        <f t="shared" si="251"/>
        <v>2.5390520156825574E+181</v>
      </c>
      <c r="TLP53" s="708">
        <f t="shared" si="251"/>
        <v>2.6152235761530344E+181</v>
      </c>
      <c r="TLQ53" s="708">
        <f t="shared" si="251"/>
        <v>2.6936802834376255E+181</v>
      </c>
      <c r="TLR53" s="708">
        <f t="shared" si="251"/>
        <v>2.7744906919407543E+181</v>
      </c>
      <c r="TLS53" s="708">
        <f t="shared" si="251"/>
        <v>2.8577254126989771E+181</v>
      </c>
      <c r="TLT53" s="708">
        <f t="shared" si="251"/>
        <v>2.9434571750799467E+181</v>
      </c>
      <c r="TLU53" s="708">
        <f t="shared" si="251"/>
        <v>3.0317608903323452E+181</v>
      </c>
      <c r="TLV53" s="708">
        <f t="shared" si="251"/>
        <v>3.1227137170423157E+181</v>
      </c>
      <c r="TLW53" s="708">
        <f t="shared" si="251"/>
        <v>3.2163951285535851E+181</v>
      </c>
      <c r="TLX53" s="708">
        <f t="shared" si="251"/>
        <v>3.3128869824101926E+181</v>
      </c>
      <c r="TLY53" s="708">
        <f t="shared" si="251"/>
        <v>3.4122735918824987E+181</v>
      </c>
      <c r="TLZ53" s="708">
        <f t="shared" si="251"/>
        <v>3.5146417996389736E+181</v>
      </c>
      <c r="TMA53" s="708">
        <f t="shared" si="251"/>
        <v>3.6200810536281432E+181</v>
      </c>
      <c r="TMB53" s="708">
        <f t="shared" si="251"/>
        <v>3.7286834852369879E+181</v>
      </c>
      <c r="TMC53" s="708">
        <f t="shared" si="251"/>
        <v>3.8405439897940975E+181</v>
      </c>
      <c r="TMD53" s="708">
        <f t="shared" si="251"/>
        <v>3.9557603094879203E+181</v>
      </c>
      <c r="TME53" s="708">
        <f t="shared" si="251"/>
        <v>4.0744331187725576E+181</v>
      </c>
      <c r="TMF53" s="708">
        <f t="shared" si="251"/>
        <v>4.1966661123357348E+181</v>
      </c>
      <c r="TMG53" s="708">
        <f t="shared" si="251"/>
        <v>4.3225660957058068E+181</v>
      </c>
      <c r="TMH53" s="708">
        <f t="shared" si="251"/>
        <v>4.4522430785769811E+181</v>
      </c>
      <c r="TMI53" s="708">
        <f t="shared" si="251"/>
        <v>4.5858103709342908E+181</v>
      </c>
      <c r="TMJ53" s="708">
        <f t="shared" si="251"/>
        <v>4.7233846820623199E+181</v>
      </c>
      <c r="TMK53" s="708">
        <f t="shared" si="251"/>
        <v>4.8650862225241899E+181</v>
      </c>
      <c r="TML53" s="708">
        <f t="shared" si="251"/>
        <v>5.0110388091999155E+181</v>
      </c>
      <c r="TMM53" s="708">
        <f t="shared" si="251"/>
        <v>5.1613699734759127E+181</v>
      </c>
      <c r="TMN53" s="708">
        <f t="shared" si="251"/>
        <v>5.3162110726801902E+181</v>
      </c>
      <c r="TMO53" s="708">
        <f t="shared" si="251"/>
        <v>5.475697404860596E+181</v>
      </c>
      <c r="TMP53" s="708">
        <f t="shared" si="251"/>
        <v>5.6399683270064141E+181</v>
      </c>
      <c r="TMQ53" s="708">
        <f t="shared" si="251"/>
        <v>5.8091673768166068E+181</v>
      </c>
      <c r="TMR53" s="708">
        <f t="shared" si="251"/>
        <v>5.9834423981211052E+181</v>
      </c>
      <c r="TMS53" s="708">
        <f t="shared" si="251"/>
        <v>6.1629456700647387E+181</v>
      </c>
      <c r="TMT53" s="708">
        <f t="shared" si="251"/>
        <v>6.3478340401666809E+181</v>
      </c>
      <c r="TMU53" s="708">
        <f t="shared" si="251"/>
        <v>6.5382690613716818E+181</v>
      </c>
      <c r="TMV53" s="708">
        <f t="shared" si="251"/>
        <v>6.7344171332128325E+181</v>
      </c>
      <c r="TMW53" s="708">
        <f t="shared" si="251"/>
        <v>6.9364496472092179E+181</v>
      </c>
      <c r="TMX53" s="708">
        <f t="shared" si="251"/>
        <v>7.144543136625495E+181</v>
      </c>
      <c r="TMY53" s="708">
        <f t="shared" si="251"/>
        <v>7.3588794307242606E+181</v>
      </c>
      <c r="TMZ53" s="708">
        <f t="shared" si="251"/>
        <v>7.5796458136459885E+181</v>
      </c>
      <c r="TNA53" s="708">
        <f t="shared" si="251"/>
        <v>7.8070351880553691E+181</v>
      </c>
      <c r="TNB53" s="708">
        <f t="shared" si="251"/>
        <v>8.0412462436970301E+181</v>
      </c>
      <c r="TNC53" s="708">
        <f t="shared" si="251"/>
        <v>8.2824836310079417E+181</v>
      </c>
      <c r="TND53" s="708">
        <f t="shared" si="251"/>
        <v>8.5309581399381802E+181</v>
      </c>
      <c r="TNE53" s="708">
        <f t="shared" si="251"/>
        <v>8.7868868841363262E+181</v>
      </c>
      <c r="TNF53" s="708">
        <f t="shared" si="251"/>
        <v>9.0504934906604161E+181</v>
      </c>
      <c r="TNG53" s="708">
        <f t="shared" si="251"/>
        <v>9.3220082953802285E+181</v>
      </c>
      <c r="TNH53" s="708">
        <f t="shared" si="251"/>
        <v>9.6016685442416361E+181</v>
      </c>
      <c r="TNI53" s="708">
        <f t="shared" si="251"/>
        <v>9.8897186005688861E+181</v>
      </c>
      <c r="TNJ53" s="708">
        <f t="shared" ref="TNJ53:TPU53" si="252">TNI53*$C$53</f>
        <v>1.0186410158585953E+182</v>
      </c>
      <c r="TNK53" s="708">
        <f t="shared" si="252"/>
        <v>1.0492002463343532E+182</v>
      </c>
      <c r="TNL53" s="708">
        <f t="shared" si="252"/>
        <v>1.0806762537243839E+182</v>
      </c>
      <c r="TNM53" s="708">
        <f t="shared" si="252"/>
        <v>1.1130965413361154E+182</v>
      </c>
      <c r="TNN53" s="708">
        <f t="shared" si="252"/>
        <v>1.1464894375761989E+182</v>
      </c>
      <c r="TNO53" s="708">
        <f t="shared" si="252"/>
        <v>1.1808841207034849E+182</v>
      </c>
      <c r="TNP53" s="708">
        <f t="shared" si="252"/>
        <v>1.2163106443245895E+182</v>
      </c>
      <c r="TNQ53" s="708">
        <f t="shared" si="252"/>
        <v>1.2527999636543272E+182</v>
      </c>
      <c r="TNR53" s="708">
        <f t="shared" si="252"/>
        <v>1.2903839625639571E+182</v>
      </c>
      <c r="TNS53" s="708">
        <f t="shared" si="252"/>
        <v>1.3290954814408759E+182</v>
      </c>
      <c r="TNT53" s="708">
        <f t="shared" si="252"/>
        <v>1.3689683458841023E+182</v>
      </c>
      <c r="TNU53" s="708">
        <f t="shared" si="252"/>
        <v>1.4100373962606253E+182</v>
      </c>
      <c r="TNV53" s="708">
        <f t="shared" si="252"/>
        <v>1.4523385181484442E+182</v>
      </c>
      <c r="TNW53" s="708">
        <f t="shared" si="252"/>
        <v>1.4959086736928974E+182</v>
      </c>
      <c r="TNX53" s="708">
        <f t="shared" si="252"/>
        <v>1.5407859339036844E+182</v>
      </c>
      <c r="TNY53" s="708">
        <f t="shared" si="252"/>
        <v>1.587009511920795E+182</v>
      </c>
      <c r="TNZ53" s="708">
        <f t="shared" si="252"/>
        <v>1.6346197972784188E+182</v>
      </c>
      <c r="TOA53" s="708">
        <f t="shared" si="252"/>
        <v>1.6836583911967715E+182</v>
      </c>
      <c r="TOB53" s="708">
        <f t="shared" si="252"/>
        <v>1.7341681429326748E+182</v>
      </c>
      <c r="TOC53" s="708">
        <f t="shared" si="252"/>
        <v>1.786193187220655E+182</v>
      </c>
      <c r="TOD53" s="708">
        <f t="shared" si="252"/>
        <v>1.8397789828372746E+182</v>
      </c>
      <c r="TOE53" s="708">
        <f t="shared" si="252"/>
        <v>1.894972352322393E+182</v>
      </c>
      <c r="TOF53" s="708">
        <f t="shared" si="252"/>
        <v>1.9518215228920649E+182</v>
      </c>
      <c r="TOG53" s="708">
        <f t="shared" si="252"/>
        <v>2.0103761685788269E+182</v>
      </c>
      <c r="TOH53" s="708">
        <f t="shared" si="252"/>
        <v>2.0706874536361916E+182</v>
      </c>
      <c r="TOI53" s="708">
        <f t="shared" si="252"/>
        <v>2.1328080772452774E+182</v>
      </c>
      <c r="TOJ53" s="708">
        <f t="shared" si="252"/>
        <v>2.1967923195626359E+182</v>
      </c>
      <c r="TOK53" s="708">
        <f t="shared" si="252"/>
        <v>2.262696089149515E+182</v>
      </c>
      <c r="TOL53" s="708">
        <f t="shared" si="252"/>
        <v>2.3305769718240004E+182</v>
      </c>
      <c r="TOM53" s="708">
        <f t="shared" si="252"/>
        <v>2.4004942809787204E+182</v>
      </c>
      <c r="TON53" s="708">
        <f t="shared" si="252"/>
        <v>2.4725091094080821E+182</v>
      </c>
      <c r="TOO53" s="708">
        <f t="shared" si="252"/>
        <v>2.5466843826903248E+182</v>
      </c>
      <c r="TOP53" s="708">
        <f t="shared" si="252"/>
        <v>2.6230849141710345E+182</v>
      </c>
      <c r="TOQ53" s="708">
        <f t="shared" si="252"/>
        <v>2.7017774615961654E+182</v>
      </c>
      <c r="TOR53" s="708">
        <f t="shared" si="252"/>
        <v>2.7828307854440503E+182</v>
      </c>
      <c r="TOS53" s="708">
        <f t="shared" si="252"/>
        <v>2.8663157090073722E+182</v>
      </c>
      <c r="TOT53" s="708">
        <f t="shared" si="252"/>
        <v>2.9523051802775932E+182</v>
      </c>
      <c r="TOU53" s="708">
        <f t="shared" si="252"/>
        <v>3.040874335685921E+182</v>
      </c>
      <c r="TOV53" s="708">
        <f t="shared" si="252"/>
        <v>3.1321005657564987E+182</v>
      </c>
      <c r="TOW53" s="708">
        <f t="shared" si="252"/>
        <v>3.2260635827291939E+182</v>
      </c>
      <c r="TOX53" s="708">
        <f t="shared" si="252"/>
        <v>3.3228454902110696E+182</v>
      </c>
      <c r="TOY53" s="708">
        <f t="shared" si="252"/>
        <v>3.4225308549174019E+182</v>
      </c>
      <c r="TOZ53" s="708">
        <f t="shared" si="252"/>
        <v>3.5252067805649244E+182</v>
      </c>
      <c r="TPA53" s="708">
        <f t="shared" si="252"/>
        <v>3.6309629839818721E+182</v>
      </c>
      <c r="TPB53" s="708">
        <f t="shared" si="252"/>
        <v>3.7398918735013281E+182</v>
      </c>
      <c r="TPC53" s="708">
        <f t="shared" si="252"/>
        <v>3.8520886297063683E+182</v>
      </c>
      <c r="TPD53" s="708">
        <f t="shared" si="252"/>
        <v>3.9676512885975593E+182</v>
      </c>
      <c r="TPE53" s="708">
        <f t="shared" si="252"/>
        <v>4.086680827255486E+182</v>
      </c>
      <c r="TPF53" s="708">
        <f t="shared" si="252"/>
        <v>4.2092812520731508E+182</v>
      </c>
      <c r="TPG53" s="708">
        <f t="shared" si="252"/>
        <v>4.3355596896353454E+182</v>
      </c>
      <c r="TPH53" s="708">
        <f t="shared" si="252"/>
        <v>4.4656264803244057E+182</v>
      </c>
      <c r="TPI53" s="708">
        <f t="shared" si="252"/>
        <v>4.5995952747341382E+182</v>
      </c>
      <c r="TPJ53" s="708">
        <f t="shared" si="252"/>
        <v>4.7375831329761627E+182</v>
      </c>
      <c r="TPK53" s="708">
        <f t="shared" si="252"/>
        <v>4.8797106269654479E+182</v>
      </c>
      <c r="TPL53" s="708">
        <f t="shared" si="252"/>
        <v>5.0261019457744112E+182</v>
      </c>
      <c r="TPM53" s="708">
        <f t="shared" si="252"/>
        <v>5.1768850041476438E+182</v>
      </c>
      <c r="TPN53" s="708">
        <f t="shared" si="252"/>
        <v>5.3321915542720729E+182</v>
      </c>
      <c r="TPO53" s="708">
        <f t="shared" si="252"/>
        <v>5.4921573009002353E+182</v>
      </c>
      <c r="TPP53" s="708">
        <f t="shared" si="252"/>
        <v>5.6569220199272429E+182</v>
      </c>
      <c r="TPQ53" s="708">
        <f t="shared" si="252"/>
        <v>5.8266296805250605E+182</v>
      </c>
      <c r="TPR53" s="708">
        <f t="shared" si="252"/>
        <v>6.001428570940812E+182</v>
      </c>
      <c r="TPS53" s="708">
        <f t="shared" si="252"/>
        <v>6.1814714280690364E+182</v>
      </c>
      <c r="TPT53" s="708">
        <f t="shared" si="252"/>
        <v>6.3669155709111081E+182</v>
      </c>
      <c r="TPU53" s="708">
        <f t="shared" si="252"/>
        <v>6.5579230380384413E+182</v>
      </c>
      <c r="TPV53" s="708">
        <f t="shared" ref="TPV53:TSG53" si="253">TPU53*$C$53</f>
        <v>6.7546607291795945E+182</v>
      </c>
      <c r="TPW53" s="708">
        <f t="shared" si="253"/>
        <v>6.9573005510549828E+182</v>
      </c>
      <c r="TPX53" s="708">
        <f t="shared" si="253"/>
        <v>7.1660195675866321E+182</v>
      </c>
      <c r="TPY53" s="708">
        <f t="shared" si="253"/>
        <v>7.3810001546142314E+182</v>
      </c>
      <c r="TPZ53" s="708">
        <f t="shared" si="253"/>
        <v>7.6024301592526588E+182</v>
      </c>
      <c r="TQA53" s="708">
        <f t="shared" si="253"/>
        <v>7.830503064030239E+182</v>
      </c>
      <c r="TQB53" s="708">
        <f t="shared" si="253"/>
        <v>8.0654181559511467E+182</v>
      </c>
      <c r="TQC53" s="708">
        <f t="shared" si="253"/>
        <v>8.3073807006296818E+182</v>
      </c>
      <c r="TQD53" s="708">
        <f t="shared" si="253"/>
        <v>8.5566021216485724E+182</v>
      </c>
      <c r="TQE53" s="708">
        <f t="shared" si="253"/>
        <v>8.8133001852980294E+182</v>
      </c>
      <c r="TQF53" s="708">
        <f t="shared" si="253"/>
        <v>9.0776991908569702E+182</v>
      </c>
      <c r="TQG53" s="708">
        <f t="shared" si="253"/>
        <v>9.3500301665826792E+182</v>
      </c>
      <c r="TQH53" s="708">
        <f t="shared" si="253"/>
        <v>9.6305310715801603E+182</v>
      </c>
      <c r="TQI53" s="708">
        <f t="shared" si="253"/>
        <v>9.9194470037275652E+182</v>
      </c>
      <c r="TQJ53" s="708">
        <f t="shared" si="253"/>
        <v>1.0217030413839392E+183</v>
      </c>
      <c r="TQK53" s="708">
        <f t="shared" si="253"/>
        <v>1.0523541326254574E+183</v>
      </c>
      <c r="TQL53" s="708">
        <f t="shared" si="253"/>
        <v>1.083924756604221E+183</v>
      </c>
      <c r="TQM53" s="708">
        <f t="shared" si="253"/>
        <v>1.1164424993023476E+183</v>
      </c>
      <c r="TQN53" s="708">
        <f t="shared" si="253"/>
        <v>1.149935774281418E+183</v>
      </c>
      <c r="TQO53" s="708">
        <f t="shared" si="253"/>
        <v>1.1844338475098606E+183</v>
      </c>
      <c r="TQP53" s="708">
        <f t="shared" si="253"/>
        <v>1.2199668629351564E+183</v>
      </c>
      <c r="TQQ53" s="708">
        <f t="shared" si="253"/>
        <v>1.2565658688232111E+183</v>
      </c>
      <c r="TQR53" s="708">
        <f t="shared" si="253"/>
        <v>1.2942628448879075E+183</v>
      </c>
      <c r="TQS53" s="708">
        <f t="shared" si="253"/>
        <v>1.3330907302345449E+183</v>
      </c>
      <c r="TQT53" s="708">
        <f t="shared" si="253"/>
        <v>1.3730834521415812E+183</v>
      </c>
      <c r="TQU53" s="708">
        <f t="shared" si="253"/>
        <v>1.4142759557058288E+183</v>
      </c>
      <c r="TQV53" s="708">
        <f t="shared" si="253"/>
        <v>1.4567042343770037E+183</v>
      </c>
      <c r="TQW53" s="708">
        <f t="shared" si="253"/>
        <v>1.5004053614083138E+183</v>
      </c>
      <c r="TQX53" s="708">
        <f t="shared" si="253"/>
        <v>1.5454175222505631E+183</v>
      </c>
      <c r="TQY53" s="708">
        <f t="shared" si="253"/>
        <v>1.5917800479180802E+183</v>
      </c>
      <c r="TQZ53" s="708">
        <f t="shared" si="253"/>
        <v>1.6395334493556227E+183</v>
      </c>
      <c r="TRA53" s="708">
        <f t="shared" si="253"/>
        <v>1.6887194528362915E+183</v>
      </c>
      <c r="TRB53" s="708">
        <f t="shared" si="253"/>
        <v>1.7393810364213804E+183</v>
      </c>
      <c r="TRC53" s="708">
        <f t="shared" si="253"/>
        <v>1.7915624675140218E+183</v>
      </c>
      <c r="TRD53" s="708">
        <f t="shared" si="253"/>
        <v>1.8453093415394425E+183</v>
      </c>
      <c r="TRE53" s="708">
        <f t="shared" si="253"/>
        <v>1.9006686217856258E+183</v>
      </c>
      <c r="TRF53" s="708">
        <f t="shared" si="253"/>
        <v>1.9576886804391947E+183</v>
      </c>
      <c r="TRG53" s="708">
        <f t="shared" si="253"/>
        <v>2.0164193408523705E+183</v>
      </c>
      <c r="TRH53" s="708">
        <f t="shared" si="253"/>
        <v>2.0769119210779416E+183</v>
      </c>
      <c r="TRI53" s="708">
        <f t="shared" si="253"/>
        <v>2.1392192787102797E+183</v>
      </c>
      <c r="TRJ53" s="708">
        <f t="shared" si="253"/>
        <v>2.2033958570715881E+183</v>
      </c>
      <c r="TRK53" s="708">
        <f t="shared" si="253"/>
        <v>2.2694977327837356E+183</v>
      </c>
      <c r="TRL53" s="708">
        <f t="shared" si="253"/>
        <v>2.3375826647672478E+183</v>
      </c>
      <c r="TRM53" s="708">
        <f t="shared" si="253"/>
        <v>2.4077101447102652E+183</v>
      </c>
      <c r="TRN53" s="708">
        <f t="shared" si="253"/>
        <v>2.4799414490515731E+183</v>
      </c>
      <c r="TRO53" s="708">
        <f t="shared" si="253"/>
        <v>2.5543396925231203E+183</v>
      </c>
      <c r="TRP53" s="708">
        <f t="shared" si="253"/>
        <v>2.630969883298814E+183</v>
      </c>
      <c r="TRQ53" s="708">
        <f t="shared" si="253"/>
        <v>2.7098989797977785E+183</v>
      </c>
      <c r="TRR53" s="708">
        <f t="shared" si="253"/>
        <v>2.7911959491917122E+183</v>
      </c>
      <c r="TRS53" s="708">
        <f t="shared" si="253"/>
        <v>2.8749318276674638E+183</v>
      </c>
      <c r="TRT53" s="708">
        <f t="shared" si="253"/>
        <v>2.9611797824974876E+183</v>
      </c>
      <c r="TRU53" s="708">
        <f t="shared" si="253"/>
        <v>3.0500151759724124E+183</v>
      </c>
      <c r="TRV53" s="708">
        <f t="shared" si="253"/>
        <v>3.1415156312515848E+183</v>
      </c>
      <c r="TRW53" s="708">
        <f t="shared" si="253"/>
        <v>3.2357611001891325E+183</v>
      </c>
      <c r="TRX53" s="708">
        <f t="shared" si="253"/>
        <v>3.3328339331948063E+183</v>
      </c>
      <c r="TRY53" s="708">
        <f t="shared" si="253"/>
        <v>3.4328189511906504E+183</v>
      </c>
      <c r="TRZ53" s="708">
        <f t="shared" si="253"/>
        <v>3.5358035197263698E+183</v>
      </c>
      <c r="TSA53" s="708">
        <f t="shared" si="253"/>
        <v>3.6418776253181609E+183</v>
      </c>
      <c r="TSB53" s="708">
        <f t="shared" si="253"/>
        <v>3.7511339540777058E+183</v>
      </c>
      <c r="TSC53" s="708">
        <f t="shared" si="253"/>
        <v>3.8636679727000373E+183</v>
      </c>
      <c r="TSD53" s="708">
        <f t="shared" si="253"/>
        <v>3.9795780118810384E+183</v>
      </c>
      <c r="TSE53" s="708">
        <f t="shared" si="253"/>
        <v>4.0989653522374696E+183</v>
      </c>
      <c r="TSF53" s="708">
        <f t="shared" si="253"/>
        <v>4.2219343128045938E+183</v>
      </c>
      <c r="TSG53" s="708">
        <f t="shared" si="253"/>
        <v>4.3485923421887321E+183</v>
      </c>
      <c r="TSH53" s="708">
        <f t="shared" ref="TSH53:TUS53" si="254">TSG53*$C$53</f>
        <v>4.4790501124543943E+183</v>
      </c>
      <c r="TSI53" s="708">
        <f t="shared" si="254"/>
        <v>4.6134216158280261E+183</v>
      </c>
      <c r="TSJ53" s="708">
        <f t="shared" si="254"/>
        <v>4.7518242643028669E+183</v>
      </c>
      <c r="TSK53" s="708">
        <f t="shared" si="254"/>
        <v>4.8943789922319532E+183</v>
      </c>
      <c r="TSL53" s="708">
        <f t="shared" si="254"/>
        <v>5.0412103619989115E+183</v>
      </c>
      <c r="TSM53" s="708">
        <f t="shared" si="254"/>
        <v>5.192446672858879E+183</v>
      </c>
      <c r="TSN53" s="708">
        <f t="shared" si="254"/>
        <v>5.3482200730446455E+183</v>
      </c>
      <c r="TSO53" s="708">
        <f t="shared" si="254"/>
        <v>5.5086666752359847E+183</v>
      </c>
      <c r="TSP53" s="708">
        <f t="shared" si="254"/>
        <v>5.6739266754930642E+183</v>
      </c>
      <c r="TSQ53" s="708">
        <f t="shared" si="254"/>
        <v>5.8441444757578558E+183</v>
      </c>
      <c r="TSR53" s="708">
        <f t="shared" si="254"/>
        <v>6.0194688100305917E+183</v>
      </c>
      <c r="TSS53" s="708">
        <f t="shared" si="254"/>
        <v>6.2000528743315097E+183</v>
      </c>
      <c r="TST53" s="708">
        <f t="shared" si="254"/>
        <v>6.3860544605614552E+183</v>
      </c>
      <c r="TSU53" s="708">
        <f t="shared" si="254"/>
        <v>6.5776360943782989E+183</v>
      </c>
      <c r="TSV53" s="708">
        <f t="shared" si="254"/>
        <v>6.774965177209648E+183</v>
      </c>
      <c r="TSW53" s="708">
        <f t="shared" si="254"/>
        <v>6.9782141325259372E+183</v>
      </c>
      <c r="TSX53" s="708">
        <f t="shared" si="254"/>
        <v>7.1875605565017154E+183</v>
      </c>
      <c r="TSY53" s="708">
        <f t="shared" si="254"/>
        <v>7.4031873731967672E+183</v>
      </c>
      <c r="TSZ53" s="708">
        <f t="shared" si="254"/>
        <v>7.6252829943926707E+183</v>
      </c>
      <c r="TTA53" s="708">
        <f t="shared" si="254"/>
        <v>7.8540414842244506E+183</v>
      </c>
      <c r="TTB53" s="708">
        <f t="shared" si="254"/>
        <v>8.0896627287511844E+183</v>
      </c>
      <c r="TTC53" s="708">
        <f t="shared" si="254"/>
        <v>8.3323526106137201E+183</v>
      </c>
      <c r="TTD53" s="708">
        <f t="shared" si="254"/>
        <v>8.5823231889321323E+183</v>
      </c>
      <c r="TTE53" s="708">
        <f t="shared" si="254"/>
        <v>8.839792884600097E+183</v>
      </c>
      <c r="TTF53" s="708">
        <f t="shared" si="254"/>
        <v>9.1049866711380993E+183</v>
      </c>
      <c r="TTG53" s="708">
        <f t="shared" si="254"/>
        <v>9.378136271272242E+183</v>
      </c>
      <c r="TTH53" s="708">
        <f t="shared" si="254"/>
        <v>9.6594803594104095E+183</v>
      </c>
      <c r="TTI53" s="708">
        <f t="shared" si="254"/>
        <v>9.9492647701927217E+183</v>
      </c>
      <c r="TTJ53" s="708">
        <f t="shared" si="254"/>
        <v>1.0247742713298503E+184</v>
      </c>
      <c r="TTK53" s="708">
        <f t="shared" si="254"/>
        <v>1.0555174994697458E+184</v>
      </c>
      <c r="TTL53" s="708">
        <f t="shared" si="254"/>
        <v>1.0871830244538382E+184</v>
      </c>
      <c r="TTM53" s="708">
        <f t="shared" si="254"/>
        <v>1.1197985151874534E+184</v>
      </c>
      <c r="TTN53" s="708">
        <f t="shared" si="254"/>
        <v>1.153392470643077E+184</v>
      </c>
      <c r="TTO53" s="708">
        <f t="shared" si="254"/>
        <v>1.1879942447623693E+184</v>
      </c>
      <c r="TTP53" s="708">
        <f t="shared" si="254"/>
        <v>1.2236340721052404E+184</v>
      </c>
      <c r="TTQ53" s="708">
        <f t="shared" si="254"/>
        <v>1.2603430942683975E+184</v>
      </c>
      <c r="TTR53" s="708">
        <f t="shared" si="254"/>
        <v>1.2981533870964494E+184</v>
      </c>
      <c r="TTS53" s="708">
        <f t="shared" si="254"/>
        <v>1.3370979887093429E+184</v>
      </c>
      <c r="TTT53" s="708">
        <f t="shared" si="254"/>
        <v>1.3772109283706233E+184</v>
      </c>
      <c r="TTU53" s="708">
        <f t="shared" si="254"/>
        <v>1.418527256221742E+184</v>
      </c>
      <c r="TTV53" s="708">
        <f t="shared" si="254"/>
        <v>1.4610830739083943E+184</v>
      </c>
      <c r="TTW53" s="708">
        <f t="shared" si="254"/>
        <v>1.5049155661256461E+184</v>
      </c>
      <c r="TTX53" s="708">
        <f t="shared" si="254"/>
        <v>1.5500630331094156E+184</v>
      </c>
      <c r="TTY53" s="708">
        <f t="shared" si="254"/>
        <v>1.5965649241026982E+184</v>
      </c>
      <c r="TTZ53" s="708">
        <f t="shared" si="254"/>
        <v>1.6444618718257791E+184</v>
      </c>
      <c r="TUA53" s="708">
        <f t="shared" si="254"/>
        <v>1.6937957279805525E+184</v>
      </c>
      <c r="TUB53" s="708">
        <f t="shared" si="254"/>
        <v>1.7446095998199691E+184</v>
      </c>
      <c r="TUC53" s="708">
        <f t="shared" si="254"/>
        <v>1.7969478878145684E+184</v>
      </c>
      <c r="TUD53" s="708">
        <f t="shared" si="254"/>
        <v>1.8508563244490056E+184</v>
      </c>
      <c r="TUE53" s="708">
        <f t="shared" si="254"/>
        <v>1.9063820141824757E+184</v>
      </c>
      <c r="TUF53" s="708">
        <f t="shared" si="254"/>
        <v>1.9635734746079502E+184</v>
      </c>
      <c r="TUG53" s="708">
        <f t="shared" si="254"/>
        <v>2.0224806788461888E+184</v>
      </c>
      <c r="TUH53" s="708">
        <f t="shared" si="254"/>
        <v>2.0831550992115746E+184</v>
      </c>
      <c r="TUI53" s="708">
        <f t="shared" si="254"/>
        <v>2.1456497521879219E+184</v>
      </c>
      <c r="TUJ53" s="708">
        <f t="shared" si="254"/>
        <v>2.2100192447535596E+184</v>
      </c>
      <c r="TUK53" s="708">
        <f t="shared" si="254"/>
        <v>2.2763198220961666E+184</v>
      </c>
      <c r="TUL53" s="708">
        <f t="shared" si="254"/>
        <v>2.3446094167590517E+184</v>
      </c>
      <c r="TUM53" s="708">
        <f t="shared" si="254"/>
        <v>2.4149476992618231E+184</v>
      </c>
      <c r="TUN53" s="708">
        <f t="shared" si="254"/>
        <v>2.487396130239678E+184</v>
      </c>
      <c r="TUO53" s="708">
        <f t="shared" si="254"/>
        <v>2.5620180141468684E+184</v>
      </c>
      <c r="TUP53" s="708">
        <f t="shared" si="254"/>
        <v>2.6388785545712745E+184</v>
      </c>
      <c r="TUQ53" s="708">
        <f t="shared" si="254"/>
        <v>2.718044911208413E+184</v>
      </c>
      <c r="TUR53" s="708">
        <f t="shared" si="254"/>
        <v>2.7995862585446655E+184</v>
      </c>
      <c r="TUS53" s="708">
        <f t="shared" si="254"/>
        <v>2.8835738463010055E+184</v>
      </c>
      <c r="TUT53" s="708">
        <f t="shared" ref="TUT53:TXE53" si="255">TUS53*$C$53</f>
        <v>2.9700810616900357E+184</v>
      </c>
      <c r="TUU53" s="708">
        <f t="shared" si="255"/>
        <v>3.059183493540737E+184</v>
      </c>
      <c r="TUV53" s="708">
        <f t="shared" si="255"/>
        <v>3.1509589983469593E+184</v>
      </c>
      <c r="TUW53" s="708">
        <f t="shared" si="255"/>
        <v>3.2454877682973681E+184</v>
      </c>
      <c r="TUX53" s="708">
        <f t="shared" si="255"/>
        <v>3.3428524013462892E+184</v>
      </c>
      <c r="TUY53" s="708">
        <f t="shared" si="255"/>
        <v>3.4431379733866777E+184</v>
      </c>
      <c r="TUZ53" s="708">
        <f t="shared" si="255"/>
        <v>3.5464321125882784E+184</v>
      </c>
      <c r="TVA53" s="708">
        <f t="shared" si="255"/>
        <v>3.6528250759659272E+184</v>
      </c>
      <c r="TVB53" s="708">
        <f t="shared" si="255"/>
        <v>3.7624098282449047E+184</v>
      </c>
      <c r="TVC53" s="708">
        <f t="shared" si="255"/>
        <v>3.875282123092252E+184</v>
      </c>
      <c r="TVD53" s="708">
        <f t="shared" si="255"/>
        <v>3.9915405867850195E+184</v>
      </c>
      <c r="TVE53" s="708">
        <f t="shared" si="255"/>
        <v>4.1112868043885704E+184</v>
      </c>
      <c r="TVF53" s="708">
        <f t="shared" si="255"/>
        <v>4.2346254085202279E+184</v>
      </c>
      <c r="TVG53" s="708">
        <f t="shared" si="255"/>
        <v>4.3616641707758345E+184</v>
      </c>
      <c r="TVH53" s="708">
        <f t="shared" si="255"/>
        <v>4.4925140958991095E+184</v>
      </c>
      <c r="TVI53" s="708">
        <f t="shared" si="255"/>
        <v>4.6272895187760828E+184</v>
      </c>
      <c r="TVJ53" s="708">
        <f t="shared" si="255"/>
        <v>4.7661082043393655E+184</v>
      </c>
      <c r="TVK53" s="708">
        <f t="shared" si="255"/>
        <v>4.909091450469547E+184</v>
      </c>
      <c r="TVL53" s="708">
        <f t="shared" si="255"/>
        <v>5.0563641939836332E+184</v>
      </c>
      <c r="TVM53" s="708">
        <f t="shared" si="255"/>
        <v>5.2080551198031423E+184</v>
      </c>
      <c r="TVN53" s="708">
        <f t="shared" si="255"/>
        <v>5.3642967733972363E+184</v>
      </c>
      <c r="TVO53" s="708">
        <f t="shared" si="255"/>
        <v>5.5252256765991535E+184</v>
      </c>
      <c r="TVP53" s="708">
        <f t="shared" si="255"/>
        <v>5.6909824468971283E+184</v>
      </c>
      <c r="TVQ53" s="708">
        <f t="shared" si="255"/>
        <v>5.8617119203040423E+184</v>
      </c>
      <c r="TVR53" s="708">
        <f t="shared" si="255"/>
        <v>6.037563277913164E+184</v>
      </c>
      <c r="TVS53" s="708">
        <f t="shared" si="255"/>
        <v>6.2186901762505591E+184</v>
      </c>
      <c r="TVT53" s="708">
        <f t="shared" si="255"/>
        <v>6.4052508815380761E+184</v>
      </c>
      <c r="TVU53" s="708">
        <f t="shared" si="255"/>
        <v>6.5974084079842188E+184</v>
      </c>
      <c r="TVV53" s="708">
        <f t="shared" si="255"/>
        <v>6.7953306602237452E+184</v>
      </c>
      <c r="TVW53" s="708">
        <f t="shared" si="255"/>
        <v>6.9991905800304578E+184</v>
      </c>
      <c r="TVX53" s="708">
        <f t="shared" si="255"/>
        <v>7.2091662974313722E+184</v>
      </c>
      <c r="TVY53" s="708">
        <f t="shared" si="255"/>
        <v>7.4254412863543131E+184</v>
      </c>
      <c r="TVZ53" s="708">
        <f t="shared" si="255"/>
        <v>7.648204524944942E+184</v>
      </c>
      <c r="TWA53" s="708">
        <f t="shared" si="255"/>
        <v>7.877650660693291E+184</v>
      </c>
      <c r="TWB53" s="708">
        <f t="shared" si="255"/>
        <v>8.1139801805140895E+184</v>
      </c>
      <c r="TWC53" s="708">
        <f t="shared" si="255"/>
        <v>8.357399585929512E+184</v>
      </c>
      <c r="TWD53" s="708">
        <f t="shared" si="255"/>
        <v>8.6081215735073973E+184</v>
      </c>
      <c r="TWE53" s="708">
        <f t="shared" si="255"/>
        <v>8.8663652207126196E+184</v>
      </c>
      <c r="TWF53" s="708">
        <f t="shared" si="255"/>
        <v>9.132356177333998E+184</v>
      </c>
      <c r="TWG53" s="708">
        <f t="shared" si="255"/>
        <v>9.4063268626540177E+184</v>
      </c>
      <c r="TWH53" s="708">
        <f t="shared" si="255"/>
        <v>9.6885166685336378E+184</v>
      </c>
      <c r="TWI53" s="708">
        <f t="shared" si="255"/>
        <v>9.979172168589647E+184</v>
      </c>
      <c r="TWJ53" s="708">
        <f t="shared" si="255"/>
        <v>1.0278547333647336E+185</v>
      </c>
      <c r="TWK53" s="708">
        <f t="shared" si="255"/>
        <v>1.0586903753656757E+185</v>
      </c>
      <c r="TWL53" s="708">
        <f t="shared" si="255"/>
        <v>1.090451086626646E+185</v>
      </c>
      <c r="TWM53" s="708">
        <f t="shared" si="255"/>
        <v>1.1231646192254453E+185</v>
      </c>
      <c r="TWN53" s="708">
        <f t="shared" si="255"/>
        <v>1.1568595578022087E+185</v>
      </c>
      <c r="TWO53" s="708">
        <f t="shared" si="255"/>
        <v>1.191565344536275E+185</v>
      </c>
      <c r="TWP53" s="708">
        <f t="shared" si="255"/>
        <v>1.2273123048723633E+185</v>
      </c>
      <c r="TWQ53" s="708">
        <f t="shared" si="255"/>
        <v>1.2641316740185343E+185</v>
      </c>
      <c r="TWR53" s="708">
        <f t="shared" si="255"/>
        <v>1.3020556242390904E+185</v>
      </c>
      <c r="TWS53" s="708">
        <f t="shared" si="255"/>
        <v>1.3411172929662632E+185</v>
      </c>
      <c r="TWT53" s="708">
        <f t="shared" si="255"/>
        <v>1.3813508117552513E+185</v>
      </c>
      <c r="TWU53" s="708">
        <f t="shared" si="255"/>
        <v>1.422791336107909E+185</v>
      </c>
      <c r="TWV53" s="708">
        <f t="shared" si="255"/>
        <v>1.4654750761911462E+185</v>
      </c>
      <c r="TWW53" s="708">
        <f t="shared" si="255"/>
        <v>1.5094393284768807E+185</v>
      </c>
      <c r="TWX53" s="708">
        <f t="shared" si="255"/>
        <v>1.5547225083311871E+185</v>
      </c>
      <c r="TWY53" s="708">
        <f t="shared" si="255"/>
        <v>1.6013641835811228E+185</v>
      </c>
      <c r="TWZ53" s="708">
        <f t="shared" si="255"/>
        <v>1.6494051090885566E+185</v>
      </c>
      <c r="TXA53" s="708">
        <f t="shared" si="255"/>
        <v>1.6988872623612134E+185</v>
      </c>
      <c r="TXB53" s="708">
        <f t="shared" si="255"/>
        <v>1.74985388023205E+185</v>
      </c>
      <c r="TXC53" s="708">
        <f t="shared" si="255"/>
        <v>1.8023494966390115E+185</v>
      </c>
      <c r="TXD53" s="708">
        <f t="shared" si="255"/>
        <v>1.8564199815381817E+185</v>
      </c>
      <c r="TXE53" s="708">
        <f t="shared" si="255"/>
        <v>1.9121125809843273E+185</v>
      </c>
      <c r="TXF53" s="708">
        <f t="shared" ref="TXF53:TZQ53" si="256">TXE53*$C$53</f>
        <v>1.969475958413857E+185</v>
      </c>
      <c r="TXG53" s="708">
        <f t="shared" si="256"/>
        <v>2.0285602371662729E+185</v>
      </c>
      <c r="TXH53" s="708">
        <f t="shared" si="256"/>
        <v>2.0894170442812611E+185</v>
      </c>
      <c r="TXI53" s="708">
        <f t="shared" si="256"/>
        <v>2.1520995556096988E+185</v>
      </c>
      <c r="TXJ53" s="708">
        <f t="shared" si="256"/>
        <v>2.2166625422779897E+185</v>
      </c>
      <c r="TXK53" s="708">
        <f t="shared" si="256"/>
        <v>2.2831624185463294E+185</v>
      </c>
      <c r="TXL53" s="708">
        <f t="shared" si="256"/>
        <v>2.3516572911027192E+185</v>
      </c>
      <c r="TXM53" s="708">
        <f t="shared" si="256"/>
        <v>2.4222070098358009E+185</v>
      </c>
      <c r="TXN53" s="708">
        <f t="shared" si="256"/>
        <v>2.4948732201308749E+185</v>
      </c>
      <c r="TXO53" s="708">
        <f t="shared" si="256"/>
        <v>2.5697194167348011E+185</v>
      </c>
      <c r="TXP53" s="708">
        <f t="shared" si="256"/>
        <v>2.6468109992368453E+185</v>
      </c>
      <c r="TXQ53" s="708">
        <f t="shared" si="256"/>
        <v>2.7262153292139504E+185</v>
      </c>
      <c r="TXR53" s="708">
        <f t="shared" si="256"/>
        <v>2.8080017890903688E+185</v>
      </c>
      <c r="TXS53" s="708">
        <f t="shared" si="256"/>
        <v>2.8922418427630801E+185</v>
      </c>
      <c r="TXT53" s="708">
        <f t="shared" si="256"/>
        <v>2.9790090980459729E+185</v>
      </c>
      <c r="TXU53" s="708">
        <f t="shared" si="256"/>
        <v>3.0683793709873519E+185</v>
      </c>
      <c r="TXV53" s="708">
        <f t="shared" si="256"/>
        <v>3.1604307521169726E+185</v>
      </c>
      <c r="TXW53" s="708">
        <f t="shared" si="256"/>
        <v>3.2552436746804817E+185</v>
      </c>
      <c r="TXX53" s="708">
        <f t="shared" si="256"/>
        <v>3.3529009849208964E+185</v>
      </c>
      <c r="TXY53" s="708">
        <f t="shared" si="256"/>
        <v>3.4534880144685231E+185</v>
      </c>
      <c r="TXZ53" s="708">
        <f t="shared" si="256"/>
        <v>3.557092654902579E+185</v>
      </c>
      <c r="TYA53" s="708">
        <f t="shared" si="256"/>
        <v>3.6638054345496564E+185</v>
      </c>
      <c r="TYB53" s="708">
        <f t="shared" si="256"/>
        <v>3.7737195975861463E+185</v>
      </c>
      <c r="TYC53" s="708">
        <f t="shared" si="256"/>
        <v>3.8869311855137306E+185</v>
      </c>
      <c r="TYD53" s="708">
        <f t="shared" si="256"/>
        <v>4.0035391210791428E+185</v>
      </c>
      <c r="TYE53" s="708">
        <f t="shared" si="256"/>
        <v>4.1236452947115172E+185</v>
      </c>
      <c r="TYF53" s="708">
        <f t="shared" si="256"/>
        <v>4.2473546535528629E+185</v>
      </c>
      <c r="TYG53" s="708">
        <f t="shared" si="256"/>
        <v>4.3747752931594491E+185</v>
      </c>
      <c r="TYH53" s="708">
        <f t="shared" si="256"/>
        <v>4.5060185519542327E+185</v>
      </c>
      <c r="TYI53" s="708">
        <f t="shared" si="256"/>
        <v>4.64119910851286E+185</v>
      </c>
      <c r="TYJ53" s="708">
        <f t="shared" si="256"/>
        <v>4.7804350817682458E+185</v>
      </c>
      <c r="TYK53" s="708">
        <f t="shared" si="256"/>
        <v>4.9238481342212933E+185</v>
      </c>
      <c r="TYL53" s="708">
        <f t="shared" si="256"/>
        <v>5.0715635782479324E+185</v>
      </c>
      <c r="TYM53" s="708">
        <f t="shared" si="256"/>
        <v>5.2237104855953704E+185</v>
      </c>
      <c r="TYN53" s="708">
        <f t="shared" si="256"/>
        <v>5.3804218001632316E+185</v>
      </c>
      <c r="TYO53" s="708">
        <f t="shared" si="256"/>
        <v>5.5418344541681284E+185</v>
      </c>
      <c r="TYP53" s="708">
        <f t="shared" si="256"/>
        <v>5.7080894877931723E+185</v>
      </c>
      <c r="TYQ53" s="708">
        <f t="shared" si="256"/>
        <v>5.8793321724269674E+185</v>
      </c>
      <c r="TYR53" s="708">
        <f t="shared" si="256"/>
        <v>6.0557121375997769E+185</v>
      </c>
      <c r="TYS53" s="708">
        <f t="shared" si="256"/>
        <v>6.2373835017277703E+185</v>
      </c>
      <c r="TYT53" s="708">
        <f t="shared" si="256"/>
        <v>6.424505006779603E+185</v>
      </c>
      <c r="TYU53" s="708">
        <f t="shared" si="256"/>
        <v>6.6172401569829919E+185</v>
      </c>
      <c r="TYV53" s="708">
        <f t="shared" si="256"/>
        <v>6.8157573616924812E+185</v>
      </c>
      <c r="TYW53" s="708">
        <f t="shared" si="256"/>
        <v>7.0202300825432557E+185</v>
      </c>
      <c r="TYX53" s="708">
        <f t="shared" si="256"/>
        <v>7.2308369850195531E+185</v>
      </c>
      <c r="TYY53" s="708">
        <f t="shared" si="256"/>
        <v>7.4477620945701404E+185</v>
      </c>
      <c r="TYZ53" s="708">
        <f t="shared" si="256"/>
        <v>7.6711949574072452E+185</v>
      </c>
      <c r="TZA53" s="708">
        <f t="shared" si="256"/>
        <v>7.9013308061294625E+185</v>
      </c>
      <c r="TZB53" s="708">
        <f t="shared" si="256"/>
        <v>8.1383707303133472E+185</v>
      </c>
      <c r="TZC53" s="708">
        <f t="shared" si="256"/>
        <v>8.3825218522227482E+185</v>
      </c>
      <c r="TZD53" s="708">
        <f t="shared" si="256"/>
        <v>8.6339975077894306E+185</v>
      </c>
      <c r="TZE53" s="708">
        <f t="shared" si="256"/>
        <v>8.8930174330231141E+185</v>
      </c>
      <c r="TZF53" s="708">
        <f t="shared" si="256"/>
        <v>9.1598079560138075E+185</v>
      </c>
      <c r="TZG53" s="708">
        <f t="shared" si="256"/>
        <v>9.4346021946942221E+185</v>
      </c>
      <c r="TZH53" s="708">
        <f t="shared" si="256"/>
        <v>9.7176402605350493E+185</v>
      </c>
      <c r="TZI53" s="708">
        <f t="shared" si="256"/>
        <v>1.0009169468351101E+186</v>
      </c>
      <c r="TZJ53" s="708">
        <f t="shared" si="256"/>
        <v>1.0309444552401634E+186</v>
      </c>
      <c r="TZK53" s="708">
        <f t="shared" si="256"/>
        <v>1.0618727888973683E+186</v>
      </c>
      <c r="TZL53" s="708">
        <f t="shared" si="256"/>
        <v>1.0937289725642893E+186</v>
      </c>
      <c r="TZM53" s="708">
        <f t="shared" si="256"/>
        <v>1.1265408417412179E+186</v>
      </c>
      <c r="TZN53" s="708">
        <f t="shared" si="256"/>
        <v>1.1603370669934544E+186</v>
      </c>
      <c r="TZO53" s="708">
        <f t="shared" si="256"/>
        <v>1.1951471790032579E+186</v>
      </c>
      <c r="TZP53" s="708">
        <f t="shared" si="256"/>
        <v>1.2310015943733556E+186</v>
      </c>
      <c r="TZQ53" s="708">
        <f t="shared" si="256"/>
        <v>1.2679316422045564E+186</v>
      </c>
      <c r="TZR53" s="708">
        <f t="shared" ref="TZR53:UCC53" si="257">TZQ53*$C$53</f>
        <v>1.305969591470693E+186</v>
      </c>
      <c r="TZS53" s="708">
        <f t="shared" si="257"/>
        <v>1.3451486792148138E+186</v>
      </c>
      <c r="TZT53" s="708">
        <f t="shared" si="257"/>
        <v>1.3855031395912583E+186</v>
      </c>
      <c r="TZU53" s="708">
        <f t="shared" si="257"/>
        <v>1.427068233778996E+186</v>
      </c>
      <c r="TZV53" s="708">
        <f t="shared" si="257"/>
        <v>1.4698802807923659E+186</v>
      </c>
      <c r="TZW53" s="708">
        <f t="shared" si="257"/>
        <v>1.5139766892161369E+186</v>
      </c>
      <c r="TZX53" s="708">
        <f t="shared" si="257"/>
        <v>1.5593959898926211E+186</v>
      </c>
      <c r="TZY53" s="708">
        <f t="shared" si="257"/>
        <v>1.6061778695893997E+186</v>
      </c>
      <c r="TZZ53" s="708">
        <f t="shared" si="257"/>
        <v>1.6543632056770817E+186</v>
      </c>
      <c r="UAA53" s="708">
        <f t="shared" si="257"/>
        <v>1.7039941018473942E+186</v>
      </c>
      <c r="UAB53" s="708">
        <f t="shared" si="257"/>
        <v>1.755113924902816E+186</v>
      </c>
      <c r="UAC53" s="708">
        <f t="shared" si="257"/>
        <v>1.8077673426499006E+186</v>
      </c>
      <c r="UAD53" s="708">
        <f t="shared" si="257"/>
        <v>1.8620003629293976E+186</v>
      </c>
      <c r="UAE53" s="708">
        <f t="shared" si="257"/>
        <v>1.9178603738172796E+186</v>
      </c>
      <c r="UAF53" s="708">
        <f t="shared" si="257"/>
        <v>1.975396185031798E+186</v>
      </c>
      <c r="UAG53" s="708">
        <f t="shared" si="257"/>
        <v>2.0346580705827521E+186</v>
      </c>
      <c r="UAH53" s="708">
        <f t="shared" si="257"/>
        <v>2.0956978127002347E+186</v>
      </c>
      <c r="UAI53" s="708">
        <f t="shared" si="257"/>
        <v>2.1585687470812417E+186</v>
      </c>
      <c r="UAJ53" s="708">
        <f t="shared" si="257"/>
        <v>2.2233258094936788E+186</v>
      </c>
      <c r="UAK53" s="708">
        <f t="shared" si="257"/>
        <v>2.2900255837784891E+186</v>
      </c>
      <c r="UAL53" s="708">
        <f t="shared" si="257"/>
        <v>2.3587263512918441E+186</v>
      </c>
      <c r="UAM53" s="708">
        <f t="shared" si="257"/>
        <v>2.4294881418305993E+186</v>
      </c>
      <c r="UAN53" s="708">
        <f t="shared" si="257"/>
        <v>2.5023727860855175E+186</v>
      </c>
      <c r="UAO53" s="708">
        <f t="shared" si="257"/>
        <v>2.5774439696680833E+186</v>
      </c>
      <c r="UAP53" s="708">
        <f t="shared" si="257"/>
        <v>2.6547672887581257E+186</v>
      </c>
      <c r="UAQ53" s="708">
        <f t="shared" si="257"/>
        <v>2.7344103074208697E+186</v>
      </c>
      <c r="UAR53" s="708">
        <f t="shared" si="257"/>
        <v>2.816442616643496E+186</v>
      </c>
      <c r="UAS53" s="708">
        <f t="shared" si="257"/>
        <v>2.900935895142801E+186</v>
      </c>
      <c r="UAT53" s="708">
        <f t="shared" si="257"/>
        <v>2.987963971997085E+186</v>
      </c>
      <c r="UAU53" s="708">
        <f t="shared" si="257"/>
        <v>3.0776028911569975E+186</v>
      </c>
      <c r="UAV53" s="708">
        <f t="shared" si="257"/>
        <v>3.1699309778917077E+186</v>
      </c>
      <c r="UAW53" s="708">
        <f t="shared" si="257"/>
        <v>3.2650289072284588E+186</v>
      </c>
      <c r="UAX53" s="708">
        <f t="shared" si="257"/>
        <v>3.3629797744453129E+186</v>
      </c>
      <c r="UAY53" s="708">
        <f t="shared" si="257"/>
        <v>3.4638691676786724E+186</v>
      </c>
      <c r="UAZ53" s="708">
        <f t="shared" si="257"/>
        <v>3.5677852427090328E+186</v>
      </c>
      <c r="UBA53" s="708">
        <f t="shared" si="257"/>
        <v>3.674818799990304E+186</v>
      </c>
      <c r="UBB53" s="708">
        <f t="shared" si="257"/>
        <v>3.7850633639900132E+186</v>
      </c>
      <c r="UBC53" s="708">
        <f t="shared" si="257"/>
        <v>3.8986152649097135E+186</v>
      </c>
      <c r="UBD53" s="708">
        <f t="shared" si="257"/>
        <v>4.0155737228570052E+186</v>
      </c>
      <c r="UBE53" s="708">
        <f t="shared" si="257"/>
        <v>4.1360409345427154E+186</v>
      </c>
      <c r="UBF53" s="708">
        <f t="shared" si="257"/>
        <v>4.2601221625789969E+186</v>
      </c>
      <c r="UBG53" s="708">
        <f t="shared" si="257"/>
        <v>4.3879258274563669E+186</v>
      </c>
      <c r="UBH53" s="708">
        <f t="shared" si="257"/>
        <v>4.519563602280058E+186</v>
      </c>
      <c r="UBI53" s="708">
        <f t="shared" si="257"/>
        <v>4.6551505103484596E+186</v>
      </c>
      <c r="UBJ53" s="708">
        <f t="shared" si="257"/>
        <v>4.7948050256589132E+186</v>
      </c>
      <c r="UBK53" s="708">
        <f t="shared" si="257"/>
        <v>4.9386491764286808E+186</v>
      </c>
      <c r="UBL53" s="708">
        <f t="shared" si="257"/>
        <v>5.0868086517215418E+186</v>
      </c>
      <c r="UBM53" s="708">
        <f t="shared" si="257"/>
        <v>5.2394129112731883E+186</v>
      </c>
      <c r="UBN53" s="708">
        <f t="shared" si="257"/>
        <v>5.3965952986113838E+186</v>
      </c>
      <c r="UBO53" s="708">
        <f t="shared" si="257"/>
        <v>5.5584931575697257E+186</v>
      </c>
      <c r="UBP53" s="708">
        <f t="shared" si="257"/>
        <v>5.7252479522968179E+186</v>
      </c>
      <c r="UBQ53" s="708">
        <f t="shared" si="257"/>
        <v>5.8970053908657226E+186</v>
      </c>
      <c r="UBR53" s="708">
        <f t="shared" si="257"/>
        <v>6.0739155525916941E+186</v>
      </c>
      <c r="UBS53" s="708">
        <f t="shared" si="257"/>
        <v>6.256133019169445E+186</v>
      </c>
      <c r="UBT53" s="708">
        <f t="shared" si="257"/>
        <v>6.4438170097445281E+186</v>
      </c>
      <c r="UBU53" s="708">
        <f t="shared" si="257"/>
        <v>6.6371315200368643E+186</v>
      </c>
      <c r="UBV53" s="708">
        <f t="shared" si="257"/>
        <v>6.8362454656379706E+186</v>
      </c>
      <c r="UBW53" s="708">
        <f t="shared" si="257"/>
        <v>7.0413328296071098E+186</v>
      </c>
      <c r="UBX53" s="708">
        <f t="shared" si="257"/>
        <v>7.2525728144953236E+186</v>
      </c>
      <c r="UBY53" s="708">
        <f t="shared" si="257"/>
        <v>7.4701499989301836E+186</v>
      </c>
      <c r="UBZ53" s="708">
        <f t="shared" si="257"/>
        <v>7.694254498898089E+186</v>
      </c>
      <c r="UCA53" s="708">
        <f t="shared" si="257"/>
        <v>7.925082133865032E+186</v>
      </c>
      <c r="UCB53" s="708">
        <f t="shared" si="257"/>
        <v>8.162834597880983E+186</v>
      </c>
      <c r="UCC53" s="708">
        <f t="shared" si="257"/>
        <v>8.4077196358174129E+186</v>
      </c>
      <c r="UCD53" s="708">
        <f t="shared" ref="UCD53:UEO53" si="258">UCC53*$C$53</f>
        <v>8.6599512248919356E+186</v>
      </c>
      <c r="UCE53" s="708">
        <f t="shared" si="258"/>
        <v>8.9197497616386943E+186</v>
      </c>
      <c r="UCF53" s="708">
        <f t="shared" si="258"/>
        <v>9.1873422544878552E+186</v>
      </c>
      <c r="UCG53" s="708">
        <f t="shared" si="258"/>
        <v>9.4629625221224909E+186</v>
      </c>
      <c r="UCH53" s="708">
        <f t="shared" si="258"/>
        <v>9.7468513977861657E+186</v>
      </c>
      <c r="UCI53" s="708">
        <f t="shared" si="258"/>
        <v>1.003925693971975E+187</v>
      </c>
      <c r="UCJ53" s="708">
        <f t="shared" si="258"/>
        <v>1.0340434647911343E+187</v>
      </c>
      <c r="UCK53" s="708">
        <f t="shared" si="258"/>
        <v>1.0650647687348683E+187</v>
      </c>
      <c r="UCL53" s="708">
        <f t="shared" si="258"/>
        <v>1.0970167117969145E+187</v>
      </c>
      <c r="UCM53" s="708">
        <f t="shared" si="258"/>
        <v>1.1299272131508219E+187</v>
      </c>
      <c r="UCN53" s="708">
        <f t="shared" si="258"/>
        <v>1.1638250295453466E+187</v>
      </c>
      <c r="UCO53" s="708">
        <f t="shared" si="258"/>
        <v>1.1987397804317071E+187</v>
      </c>
      <c r="UCP53" s="708">
        <f t="shared" si="258"/>
        <v>1.2347019738446582E+187</v>
      </c>
      <c r="UCQ53" s="708">
        <f t="shared" si="258"/>
        <v>1.271743033059998E+187</v>
      </c>
      <c r="UCR53" s="708">
        <f t="shared" si="258"/>
        <v>1.3098953240517979E+187</v>
      </c>
      <c r="UCS53" s="708">
        <f t="shared" si="258"/>
        <v>1.3491921837733518E+187</v>
      </c>
      <c r="UCT53" s="708">
        <f t="shared" si="258"/>
        <v>1.3896679492865525E+187</v>
      </c>
      <c r="UCU53" s="708">
        <f t="shared" si="258"/>
        <v>1.4313579877651491E+187</v>
      </c>
      <c r="UCV53" s="708">
        <f t="shared" si="258"/>
        <v>1.4742987273981036E+187</v>
      </c>
      <c r="UCW53" s="708">
        <f t="shared" si="258"/>
        <v>1.5185276892200468E+187</v>
      </c>
      <c r="UCX53" s="708">
        <f t="shared" si="258"/>
        <v>1.5640835198966482E+187</v>
      </c>
      <c r="UCY53" s="708">
        <f t="shared" si="258"/>
        <v>1.6110060254935477E+187</v>
      </c>
      <c r="UCZ53" s="708">
        <f t="shared" si="258"/>
        <v>1.6593362062583542E+187</v>
      </c>
      <c r="UDA53" s="708">
        <f t="shared" si="258"/>
        <v>1.7091162924461048E+187</v>
      </c>
      <c r="UDB53" s="708">
        <f t="shared" si="258"/>
        <v>1.760389781219488E+187</v>
      </c>
      <c r="UDC53" s="708">
        <f t="shared" si="258"/>
        <v>1.8132014746560726E+187</v>
      </c>
      <c r="UDD53" s="708">
        <f t="shared" si="258"/>
        <v>1.8675975188957547E+187</v>
      </c>
      <c r="UDE53" s="708">
        <f t="shared" si="258"/>
        <v>1.9236254444626273E+187</v>
      </c>
      <c r="UDF53" s="708">
        <f t="shared" si="258"/>
        <v>1.9813342077965062E+187</v>
      </c>
      <c r="UDG53" s="708">
        <f t="shared" si="258"/>
        <v>2.0407742340304015E+187</v>
      </c>
      <c r="UDH53" s="708">
        <f t="shared" si="258"/>
        <v>2.1019974610513136E+187</v>
      </c>
      <c r="UDI53" s="708">
        <f t="shared" si="258"/>
        <v>2.1650573848828532E+187</v>
      </c>
      <c r="UDJ53" s="708">
        <f t="shared" si="258"/>
        <v>2.2300091064293389E+187</v>
      </c>
      <c r="UDK53" s="708">
        <f t="shared" si="258"/>
        <v>2.296909379622219E+187</v>
      </c>
      <c r="UDL53" s="708">
        <f t="shared" si="258"/>
        <v>2.3658166610108856E+187</v>
      </c>
      <c r="UDM53" s="708">
        <f t="shared" si="258"/>
        <v>2.4367911608412121E+187</v>
      </c>
      <c r="UDN53" s="708">
        <f t="shared" si="258"/>
        <v>2.5098948956664485E+187</v>
      </c>
      <c r="UDO53" s="708">
        <f t="shared" si="258"/>
        <v>2.5851917425364419E+187</v>
      </c>
      <c r="UDP53" s="708">
        <f t="shared" si="258"/>
        <v>2.6627474948125353E+187</v>
      </c>
      <c r="UDQ53" s="708">
        <f t="shared" si="258"/>
        <v>2.7426299196569115E+187</v>
      </c>
      <c r="UDR53" s="708">
        <f t="shared" si="258"/>
        <v>2.824908817246619E+187</v>
      </c>
      <c r="UDS53" s="708">
        <f t="shared" si="258"/>
        <v>2.9096560817640178E+187</v>
      </c>
      <c r="UDT53" s="708">
        <f t="shared" si="258"/>
        <v>2.9969457642169383E+187</v>
      </c>
      <c r="UDU53" s="708">
        <f t="shared" si="258"/>
        <v>3.0868541371434464E+187</v>
      </c>
      <c r="UDV53" s="708">
        <f t="shared" si="258"/>
        <v>3.1794597612577497E+187</v>
      </c>
      <c r="UDW53" s="708">
        <f t="shared" si="258"/>
        <v>3.2748435540954823E+187</v>
      </c>
      <c r="UDX53" s="708">
        <f t="shared" si="258"/>
        <v>3.3730888607183469E+187</v>
      </c>
      <c r="UDY53" s="708">
        <f t="shared" si="258"/>
        <v>3.4742815265398976E+187</v>
      </c>
      <c r="UDZ53" s="708">
        <f t="shared" si="258"/>
        <v>3.5785099723360948E+187</v>
      </c>
      <c r="UEA53" s="708">
        <f t="shared" si="258"/>
        <v>3.6858652715061779E+187</v>
      </c>
      <c r="UEB53" s="708">
        <f t="shared" si="258"/>
        <v>3.7964412296513636E+187</v>
      </c>
      <c r="UEC53" s="708">
        <f t="shared" si="258"/>
        <v>3.9103344665409047E+187</v>
      </c>
      <c r="UED53" s="708">
        <f t="shared" si="258"/>
        <v>4.0276445005371317E+187</v>
      </c>
      <c r="UEE53" s="708">
        <f t="shared" si="258"/>
        <v>4.1484738355532458E+187</v>
      </c>
      <c r="UEF53" s="708">
        <f t="shared" si="258"/>
        <v>4.2729280506198435E+187</v>
      </c>
      <c r="UEG53" s="708">
        <f t="shared" si="258"/>
        <v>4.4011158921384392E+187</v>
      </c>
      <c r="UEH53" s="708">
        <f t="shared" si="258"/>
        <v>4.5331493689025921E+187</v>
      </c>
      <c r="UEI53" s="708">
        <f t="shared" si="258"/>
        <v>4.6691438499696698E+187</v>
      </c>
      <c r="UEJ53" s="708">
        <f t="shared" si="258"/>
        <v>4.8092181654687599E+187</v>
      </c>
      <c r="UEK53" s="708">
        <f t="shared" si="258"/>
        <v>4.9534947104328227E+187</v>
      </c>
      <c r="UEL53" s="708">
        <f t="shared" si="258"/>
        <v>5.1020995517458073E+187</v>
      </c>
      <c r="UEM53" s="708">
        <f t="shared" si="258"/>
        <v>5.2551625382981817E+187</v>
      </c>
      <c r="UEN53" s="708">
        <f t="shared" si="258"/>
        <v>5.4128174144471273E+187</v>
      </c>
      <c r="UEO53" s="708">
        <f t="shared" si="258"/>
        <v>5.5752019368805416E+187</v>
      </c>
      <c r="UEP53" s="708">
        <f t="shared" ref="UEP53:UHA53" si="259">UEO53*$C$53</f>
        <v>5.7424579949869577E+187</v>
      </c>
      <c r="UEQ53" s="708">
        <f t="shared" si="259"/>
        <v>5.9147317348365668E+187</v>
      </c>
      <c r="UER53" s="708">
        <f t="shared" si="259"/>
        <v>6.0921736868816638E+187</v>
      </c>
      <c r="UES53" s="708">
        <f t="shared" si="259"/>
        <v>6.2749388974881136E+187</v>
      </c>
      <c r="UET53" s="708">
        <f t="shared" si="259"/>
        <v>6.4631870644127568E+187</v>
      </c>
      <c r="UEU53" s="708">
        <f t="shared" si="259"/>
        <v>6.65708267634514E+187</v>
      </c>
      <c r="UEV53" s="708">
        <f t="shared" si="259"/>
        <v>6.856795156635494E+187</v>
      </c>
      <c r="UEW53" s="708">
        <f t="shared" si="259"/>
        <v>7.0624990113345597E+187</v>
      </c>
      <c r="UEX53" s="708">
        <f t="shared" si="259"/>
        <v>7.2743739816745969E+187</v>
      </c>
      <c r="UEY53" s="708">
        <f t="shared" si="259"/>
        <v>7.4926052011248345E+187</v>
      </c>
      <c r="UEZ53" s="708">
        <f t="shared" si="259"/>
        <v>7.71738335715858E+187</v>
      </c>
      <c r="UFA53" s="708">
        <f t="shared" si="259"/>
        <v>7.9489048578733379E+187</v>
      </c>
      <c r="UFB53" s="708">
        <f t="shared" si="259"/>
        <v>8.1873720036095375E+187</v>
      </c>
      <c r="UFC53" s="708">
        <f t="shared" si="259"/>
        <v>8.4329931637178239E+187</v>
      </c>
      <c r="UFD53" s="708">
        <f t="shared" si="259"/>
        <v>8.6859829586293593E+187</v>
      </c>
      <c r="UFE53" s="708">
        <f t="shared" si="259"/>
        <v>8.9465624473882396E+187</v>
      </c>
      <c r="UFF53" s="708">
        <f t="shared" si="259"/>
        <v>9.2149593208098867E+187</v>
      </c>
      <c r="UFG53" s="708">
        <f t="shared" si="259"/>
        <v>9.4914081004341837E+187</v>
      </c>
      <c r="UFH53" s="708">
        <f t="shared" si="259"/>
        <v>9.7761503434472093E+187</v>
      </c>
      <c r="UFI53" s="708">
        <f t="shared" si="259"/>
        <v>1.0069434853750626E+188</v>
      </c>
      <c r="UFJ53" s="708">
        <f t="shared" si="259"/>
        <v>1.0371517899363144E+188</v>
      </c>
      <c r="UFK53" s="708">
        <f t="shared" si="259"/>
        <v>1.0682663436344039E+188</v>
      </c>
      <c r="UFL53" s="708">
        <f t="shared" si="259"/>
        <v>1.1003143339434361E+188</v>
      </c>
      <c r="UFM53" s="708">
        <f t="shared" si="259"/>
        <v>1.1333237639617392E+188</v>
      </c>
      <c r="UFN53" s="708">
        <f t="shared" si="259"/>
        <v>1.1673234768805913E+188</v>
      </c>
      <c r="UFO53" s="708">
        <f t="shared" si="259"/>
        <v>1.2023431811870091E+188</v>
      </c>
      <c r="UFP53" s="708">
        <f t="shared" si="259"/>
        <v>1.2384134766226195E+188</v>
      </c>
      <c r="UFQ53" s="708">
        <f t="shared" si="259"/>
        <v>1.2755658809212982E+188</v>
      </c>
      <c r="UFR53" s="708">
        <f t="shared" si="259"/>
        <v>1.3138328573489372E+188</v>
      </c>
      <c r="UFS53" s="708">
        <f t="shared" si="259"/>
        <v>1.3532478430694053E+188</v>
      </c>
      <c r="UFT53" s="708">
        <f t="shared" si="259"/>
        <v>1.3938452783614875E+188</v>
      </c>
      <c r="UFU53" s="708">
        <f t="shared" si="259"/>
        <v>1.4356606367123322E+188</v>
      </c>
      <c r="UFV53" s="708">
        <f t="shared" si="259"/>
        <v>1.4787304558137022E+188</v>
      </c>
      <c r="UFW53" s="708">
        <f t="shared" si="259"/>
        <v>1.5230923694881132E+188</v>
      </c>
      <c r="UFX53" s="708">
        <f t="shared" si="259"/>
        <v>1.5687851405727567E+188</v>
      </c>
      <c r="UFY53" s="708">
        <f t="shared" si="259"/>
        <v>1.6158486947899394E+188</v>
      </c>
      <c r="UFZ53" s="708">
        <f t="shared" si="259"/>
        <v>1.6643241556336377E+188</v>
      </c>
      <c r="UGA53" s="708">
        <f t="shared" si="259"/>
        <v>1.7142538803026469E+188</v>
      </c>
      <c r="UGB53" s="708">
        <f t="shared" si="259"/>
        <v>1.7656814967117264E+188</v>
      </c>
      <c r="UGC53" s="708">
        <f t="shared" si="259"/>
        <v>1.8186519416130783E+188</v>
      </c>
      <c r="UGD53" s="708">
        <f t="shared" si="259"/>
        <v>1.8732114998614708E+188</v>
      </c>
      <c r="UGE53" s="708">
        <f t="shared" si="259"/>
        <v>1.9294078448573149E+188</v>
      </c>
      <c r="UGF53" s="708">
        <f t="shared" si="259"/>
        <v>1.9872900802030344E+188</v>
      </c>
      <c r="UGG53" s="708">
        <f t="shared" si="259"/>
        <v>2.0469087826091256E+188</v>
      </c>
      <c r="UGH53" s="708">
        <f t="shared" si="259"/>
        <v>2.1083160460873995E+188</v>
      </c>
      <c r="UGI53" s="708">
        <f t="shared" si="259"/>
        <v>2.1715655274700215E+188</v>
      </c>
      <c r="UGJ53" s="708">
        <f t="shared" si="259"/>
        <v>2.2367124932941222E+188</v>
      </c>
      <c r="UGK53" s="708">
        <f t="shared" si="259"/>
        <v>2.3038138680929458E+188</v>
      </c>
      <c r="UGL53" s="708">
        <f t="shared" si="259"/>
        <v>2.3729282841357342E+188</v>
      </c>
      <c r="UGM53" s="708">
        <f t="shared" si="259"/>
        <v>2.4441161326598062E+188</v>
      </c>
      <c r="UGN53" s="708">
        <f t="shared" si="259"/>
        <v>2.5174396166396004E+188</v>
      </c>
      <c r="UGO53" s="708">
        <f t="shared" si="259"/>
        <v>2.5929628051387886E+188</v>
      </c>
      <c r="UGP53" s="708">
        <f t="shared" si="259"/>
        <v>2.6707516892929523E+188</v>
      </c>
      <c r="UGQ53" s="708">
        <f t="shared" si="259"/>
        <v>2.7508742399717409E+188</v>
      </c>
      <c r="UGR53" s="708">
        <f t="shared" si="259"/>
        <v>2.8334004671708935E+188</v>
      </c>
      <c r="UGS53" s="708">
        <f t="shared" si="259"/>
        <v>2.9184024811860202E+188</v>
      </c>
      <c r="UGT53" s="708">
        <f t="shared" si="259"/>
        <v>3.0059545556216006E+188</v>
      </c>
      <c r="UGU53" s="708">
        <f t="shared" si="259"/>
        <v>3.0961331922902489E+188</v>
      </c>
      <c r="UGV53" s="708">
        <f t="shared" si="259"/>
        <v>3.1890171880589562E+188</v>
      </c>
      <c r="UGW53" s="708">
        <f t="shared" si="259"/>
        <v>3.284687703700725E+188</v>
      </c>
      <c r="UGX53" s="708">
        <f t="shared" si="259"/>
        <v>3.3832283348117468E+188</v>
      </c>
      <c r="UGY53" s="708">
        <f t="shared" si="259"/>
        <v>3.4847251848560993E+188</v>
      </c>
      <c r="UGZ53" s="708">
        <f t="shared" si="259"/>
        <v>3.5892669404017822E+188</v>
      </c>
      <c r="UHA53" s="708">
        <f t="shared" si="259"/>
        <v>3.6969449486138358E+188</v>
      </c>
      <c r="UHB53" s="708">
        <f t="shared" ref="UHB53:UJM53" si="260">UHA53*$C$53</f>
        <v>3.8078532970722512E+188</v>
      </c>
      <c r="UHC53" s="708">
        <f t="shared" si="260"/>
        <v>3.9220888959844188E+188</v>
      </c>
      <c r="UHD53" s="708">
        <f t="shared" si="260"/>
        <v>4.0397515628639515E+188</v>
      </c>
      <c r="UHE53" s="708">
        <f t="shared" si="260"/>
        <v>4.1609441097498702E+188</v>
      </c>
      <c r="UHF53" s="708">
        <f t="shared" si="260"/>
        <v>4.2857724330423666E+188</v>
      </c>
      <c r="UHG53" s="708">
        <f t="shared" si="260"/>
        <v>4.4143456060336378E+188</v>
      </c>
      <c r="UHH53" s="708">
        <f t="shared" si="260"/>
        <v>4.5467759742146468E+188</v>
      </c>
      <c r="UHI53" s="708">
        <f t="shared" si="260"/>
        <v>4.6831792534410866E+188</v>
      </c>
      <c r="UHJ53" s="708">
        <f t="shared" si="260"/>
        <v>4.8236746310443193E+188</v>
      </c>
      <c r="UHK53" s="708">
        <f t="shared" si="260"/>
        <v>4.9683848699756488E+188</v>
      </c>
      <c r="UHL53" s="708">
        <f t="shared" si="260"/>
        <v>5.1174364160749186E+188</v>
      </c>
      <c r="UHM53" s="708">
        <f t="shared" si="260"/>
        <v>5.2709595085571662E+188</v>
      </c>
      <c r="UHN53" s="708">
        <f t="shared" si="260"/>
        <v>5.4290882938138811E+188</v>
      </c>
      <c r="UHO53" s="708">
        <f t="shared" si="260"/>
        <v>5.5919609426282971E+188</v>
      </c>
      <c r="UHP53" s="708">
        <f t="shared" si="260"/>
        <v>5.759719770907146E+188</v>
      </c>
      <c r="UHQ53" s="708">
        <f t="shared" si="260"/>
        <v>5.93251136403436E+188</v>
      </c>
      <c r="UHR53" s="708">
        <f t="shared" si="260"/>
        <v>6.1104867049553912E+188</v>
      </c>
      <c r="UHS53" s="708">
        <f t="shared" si="260"/>
        <v>6.2938013061040525E+188</v>
      </c>
      <c r="UHT53" s="708">
        <f t="shared" si="260"/>
        <v>6.4826153452871743E+188</v>
      </c>
      <c r="UHU53" s="708">
        <f t="shared" si="260"/>
        <v>6.6770938056457897E+188</v>
      </c>
      <c r="UHV53" s="708">
        <f t="shared" si="260"/>
        <v>6.8774066198151635E+188</v>
      </c>
      <c r="UHW53" s="708">
        <f t="shared" si="260"/>
        <v>7.0837288184096186E+188</v>
      </c>
      <c r="UHX53" s="708">
        <f t="shared" si="260"/>
        <v>7.2962406829619068E+188</v>
      </c>
      <c r="UHY53" s="708">
        <f t="shared" si="260"/>
        <v>7.515127903450764E+188</v>
      </c>
      <c r="UHZ53" s="708">
        <f t="shared" si="260"/>
        <v>7.7405817405542871E+188</v>
      </c>
      <c r="UIA53" s="708">
        <f t="shared" si="260"/>
        <v>7.9727991927709157E+188</v>
      </c>
      <c r="UIB53" s="708">
        <f t="shared" si="260"/>
        <v>8.2119831685540433E+188</v>
      </c>
      <c r="UIC53" s="708">
        <f t="shared" si="260"/>
        <v>8.458342663610665E+188</v>
      </c>
      <c r="UID53" s="708">
        <f t="shared" si="260"/>
        <v>8.7120929435189856E+188</v>
      </c>
      <c r="UIE53" s="708">
        <f t="shared" si="260"/>
        <v>8.9734557318245552E+188</v>
      </c>
      <c r="UIF53" s="708">
        <f t="shared" si="260"/>
        <v>9.2426594037792922E+188</v>
      </c>
      <c r="UIG53" s="708">
        <f t="shared" si="260"/>
        <v>9.5199391858926712E+188</v>
      </c>
      <c r="UIH53" s="708">
        <f t="shared" si="260"/>
        <v>9.8055373614694518E+188</v>
      </c>
      <c r="UII53" s="708">
        <f t="shared" si="260"/>
        <v>1.0099703482313535E+189</v>
      </c>
      <c r="UIJ53" s="708">
        <f t="shared" si="260"/>
        <v>1.0402694586782942E+189</v>
      </c>
      <c r="UIK53" s="708">
        <f t="shared" si="260"/>
        <v>1.071477542438643E+189</v>
      </c>
      <c r="UIL53" s="708">
        <f t="shared" si="260"/>
        <v>1.1036218687118023E+189</v>
      </c>
      <c r="UIM53" s="708">
        <f t="shared" si="260"/>
        <v>1.1367305247731565E+189</v>
      </c>
      <c r="UIN53" s="708">
        <f t="shared" si="260"/>
        <v>1.1708324405163513E+189</v>
      </c>
      <c r="UIO53" s="708">
        <f t="shared" si="260"/>
        <v>1.2059574137318418E+189</v>
      </c>
      <c r="UIP53" s="708">
        <f t="shared" si="260"/>
        <v>1.242136136143797E+189</v>
      </c>
      <c r="UIQ53" s="708">
        <f t="shared" si="260"/>
        <v>1.2794002202281109E+189</v>
      </c>
      <c r="UIR53" s="708">
        <f t="shared" si="260"/>
        <v>1.3177822268349541E+189</v>
      </c>
      <c r="UIS53" s="708">
        <f t="shared" si="260"/>
        <v>1.3573156936400029E+189</v>
      </c>
      <c r="UIT53" s="708">
        <f t="shared" si="260"/>
        <v>1.3980351644492029E+189</v>
      </c>
      <c r="UIU53" s="708">
        <f t="shared" si="260"/>
        <v>1.439976219382679E+189</v>
      </c>
      <c r="UIV53" s="708">
        <f t="shared" si="260"/>
        <v>1.4831755059641595E+189</v>
      </c>
      <c r="UIW53" s="708">
        <f t="shared" si="260"/>
        <v>1.5276707711430842E+189</v>
      </c>
      <c r="UIX53" s="708">
        <f t="shared" si="260"/>
        <v>1.5735008942773769E+189</v>
      </c>
      <c r="UIY53" s="708">
        <f t="shared" si="260"/>
        <v>1.6207059211056982E+189</v>
      </c>
      <c r="UIZ53" s="708">
        <f t="shared" si="260"/>
        <v>1.6693270987388692E+189</v>
      </c>
      <c r="UJA53" s="708">
        <f t="shared" si="260"/>
        <v>1.7194069117010355E+189</v>
      </c>
      <c r="UJB53" s="708">
        <f t="shared" si="260"/>
        <v>1.7709891190520666E+189</v>
      </c>
      <c r="UJC53" s="708">
        <f t="shared" si="260"/>
        <v>1.8241187926236286E+189</v>
      </c>
      <c r="UJD53" s="708">
        <f t="shared" si="260"/>
        <v>1.8788423564023376E+189</v>
      </c>
      <c r="UJE53" s="708">
        <f t="shared" si="260"/>
        <v>1.9352076270944078E+189</v>
      </c>
      <c r="UJF53" s="708">
        <f t="shared" si="260"/>
        <v>1.99326385590724E+189</v>
      </c>
      <c r="UJG53" s="708">
        <f t="shared" si="260"/>
        <v>2.0530617715844573E+189</v>
      </c>
      <c r="UJH53" s="708">
        <f t="shared" si="260"/>
        <v>2.114653624731991E+189</v>
      </c>
      <c r="UJI53" s="708">
        <f t="shared" si="260"/>
        <v>2.1780932334739507E+189</v>
      </c>
      <c r="UJJ53" s="708">
        <f t="shared" si="260"/>
        <v>2.2434360304781691E+189</v>
      </c>
      <c r="UJK53" s="708">
        <f t="shared" si="260"/>
        <v>2.3107391113925141E+189</v>
      </c>
      <c r="UJL53" s="708">
        <f t="shared" si="260"/>
        <v>2.3800612847342896E+189</v>
      </c>
      <c r="UJM53" s="708">
        <f t="shared" si="260"/>
        <v>2.4514631232763183E+189</v>
      </c>
      <c r="UJN53" s="708">
        <f t="shared" ref="UJN53:ULY53" si="261">UJM53*$C$53</f>
        <v>2.525007016974608E+189</v>
      </c>
      <c r="UJO53" s="708">
        <f t="shared" si="261"/>
        <v>2.6007572274838462E+189</v>
      </c>
      <c r="UJP53" s="708">
        <f t="shared" si="261"/>
        <v>2.6787799443083616E+189</v>
      </c>
      <c r="UJQ53" s="708">
        <f t="shared" si="261"/>
        <v>2.7591433426376123E+189</v>
      </c>
      <c r="UJR53" s="708">
        <f t="shared" si="261"/>
        <v>2.8419176429167408E+189</v>
      </c>
      <c r="UJS53" s="708">
        <f t="shared" si="261"/>
        <v>2.9271751722042431E+189</v>
      </c>
      <c r="UJT53" s="708">
        <f t="shared" si="261"/>
        <v>3.0149904273703705E+189</v>
      </c>
      <c r="UJU53" s="708">
        <f t="shared" si="261"/>
        <v>3.1054401401914818E+189</v>
      </c>
      <c r="UJV53" s="708">
        <f t="shared" si="261"/>
        <v>3.1986033443972262E+189</v>
      </c>
      <c r="UJW53" s="708">
        <f t="shared" si="261"/>
        <v>3.2945614447291432E+189</v>
      </c>
      <c r="UJX53" s="708">
        <f t="shared" si="261"/>
        <v>3.3933982880710173E+189</v>
      </c>
      <c r="UJY53" s="708">
        <f t="shared" si="261"/>
        <v>3.495200236713148E+189</v>
      </c>
      <c r="UJZ53" s="708">
        <f t="shared" si="261"/>
        <v>3.6000562438145427E+189</v>
      </c>
      <c r="UKA53" s="708">
        <f t="shared" si="261"/>
        <v>3.7080579311289789E+189</v>
      </c>
      <c r="UKB53" s="708">
        <f t="shared" si="261"/>
        <v>3.8192996690628483E+189</v>
      </c>
      <c r="UKC53" s="708">
        <f t="shared" si="261"/>
        <v>3.9338786591347338E+189</v>
      </c>
      <c r="UKD53" s="708">
        <f t="shared" si="261"/>
        <v>4.051895018908776E+189</v>
      </c>
      <c r="UKE53" s="708">
        <f t="shared" si="261"/>
        <v>4.1734518694760394E+189</v>
      </c>
      <c r="UKF53" s="708">
        <f t="shared" si="261"/>
        <v>4.2986554255603205E+189</v>
      </c>
      <c r="UKG53" s="708">
        <f t="shared" si="261"/>
        <v>4.4276150883271302E+189</v>
      </c>
      <c r="UKH53" s="708">
        <f t="shared" si="261"/>
        <v>4.5604435409769447E+189</v>
      </c>
      <c r="UKI53" s="708">
        <f t="shared" si="261"/>
        <v>4.6972568472062529E+189</v>
      </c>
      <c r="UKJ53" s="708">
        <f t="shared" si="261"/>
        <v>4.8381745526224405E+189</v>
      </c>
      <c r="UKK53" s="708">
        <f t="shared" si="261"/>
        <v>4.983319789201114E+189</v>
      </c>
      <c r="UKL53" s="708">
        <f t="shared" si="261"/>
        <v>5.1328193828771477E+189</v>
      </c>
      <c r="UKM53" s="708">
        <f t="shared" si="261"/>
        <v>5.2868039643634625E+189</v>
      </c>
      <c r="UKN53" s="708">
        <f t="shared" si="261"/>
        <v>5.4454080832943661E+189</v>
      </c>
      <c r="UKO53" s="708">
        <f t="shared" si="261"/>
        <v>5.6087703257931972E+189</v>
      </c>
      <c r="UKP53" s="708">
        <f t="shared" si="261"/>
        <v>5.7770334355669929E+189</v>
      </c>
      <c r="UKQ53" s="708">
        <f t="shared" si="261"/>
        <v>5.950344438634003E+189</v>
      </c>
      <c r="UKR53" s="708">
        <f t="shared" si="261"/>
        <v>6.1288547717930235E+189</v>
      </c>
      <c r="UKS53" s="708">
        <f t="shared" si="261"/>
        <v>6.3127204149468141E+189</v>
      </c>
      <c r="UKT53" s="708">
        <f t="shared" si="261"/>
        <v>6.5021020273952189E+189</v>
      </c>
      <c r="UKU53" s="708">
        <f t="shared" si="261"/>
        <v>6.6971650882170761E+189</v>
      </c>
      <c r="UKV53" s="708">
        <f t="shared" si="261"/>
        <v>6.8980800408635884E+189</v>
      </c>
      <c r="UKW53" s="708">
        <f t="shared" si="261"/>
        <v>7.1050224420894964E+189</v>
      </c>
      <c r="UKX53" s="708">
        <f t="shared" si="261"/>
        <v>7.3181731153521811E+189</v>
      </c>
      <c r="UKY53" s="708">
        <f t="shared" si="261"/>
        <v>7.5377183088127467E+189</v>
      </c>
      <c r="UKZ53" s="708">
        <f t="shared" si="261"/>
        <v>7.7638498580771291E+189</v>
      </c>
      <c r="ULA53" s="708">
        <f t="shared" si="261"/>
        <v>7.9967653538194432E+189</v>
      </c>
      <c r="ULB53" s="708">
        <f t="shared" si="261"/>
        <v>8.2366683144340269E+189</v>
      </c>
      <c r="ULC53" s="708">
        <f t="shared" si="261"/>
        <v>8.4837683638670482E+189</v>
      </c>
      <c r="ULD53" s="708">
        <f t="shared" si="261"/>
        <v>8.7382814147830602E+189</v>
      </c>
      <c r="ULE53" s="708">
        <f t="shared" si="261"/>
        <v>9.0004298572265517E+189</v>
      </c>
      <c r="ULF53" s="708">
        <f t="shared" si="261"/>
        <v>9.2704427529433484E+189</v>
      </c>
      <c r="ULG53" s="708">
        <f t="shared" si="261"/>
        <v>9.5485560355316491E+189</v>
      </c>
      <c r="ULH53" s="708">
        <f t="shared" si="261"/>
        <v>9.8350127165975991E+189</v>
      </c>
      <c r="ULI53" s="708">
        <f t="shared" si="261"/>
        <v>1.0130063098095527E+190</v>
      </c>
      <c r="ULJ53" s="708">
        <f t="shared" si="261"/>
        <v>1.0433964991038393E+190</v>
      </c>
      <c r="ULK53" s="708">
        <f t="shared" si="261"/>
        <v>1.0746983940769545E+190</v>
      </c>
      <c r="ULL53" s="708">
        <f t="shared" si="261"/>
        <v>1.1069393458992631E+190</v>
      </c>
      <c r="ULM53" s="708">
        <f t="shared" si="261"/>
        <v>1.1401475262762411E+190</v>
      </c>
      <c r="ULN53" s="708">
        <f t="shared" si="261"/>
        <v>1.1743519520645284E+190</v>
      </c>
      <c r="ULO53" s="708">
        <f t="shared" si="261"/>
        <v>1.2095825106264644E+190</v>
      </c>
      <c r="ULP53" s="708">
        <f t="shared" si="261"/>
        <v>1.2458699859452583E+190</v>
      </c>
      <c r="ULQ53" s="708">
        <f t="shared" si="261"/>
        <v>1.2832460855236162E+190</v>
      </c>
      <c r="ULR53" s="708">
        <f t="shared" si="261"/>
        <v>1.3217434680893248E+190</v>
      </c>
      <c r="ULS53" s="708">
        <f t="shared" si="261"/>
        <v>1.3613957721320045E+190</v>
      </c>
      <c r="ULT53" s="708">
        <f t="shared" si="261"/>
        <v>1.4022376452959646E+190</v>
      </c>
      <c r="ULU53" s="708">
        <f t="shared" si="261"/>
        <v>1.4443047746548435E+190</v>
      </c>
      <c r="ULV53" s="708">
        <f t="shared" si="261"/>
        <v>1.4876339178944889E+190</v>
      </c>
      <c r="ULW53" s="708">
        <f t="shared" si="261"/>
        <v>1.5322629354313236E+190</v>
      </c>
      <c r="ULX53" s="708">
        <f t="shared" si="261"/>
        <v>1.5782308234942633E+190</v>
      </c>
      <c r="ULY53" s="708">
        <f t="shared" si="261"/>
        <v>1.6255777481990914E+190</v>
      </c>
      <c r="ULZ53" s="708">
        <f t="shared" ref="ULZ53:UOK53" si="262">ULY53*$C$53</f>
        <v>1.6743450806450641E+190</v>
      </c>
      <c r="UMA53" s="708">
        <f t="shared" si="262"/>
        <v>1.724575433064416E+190</v>
      </c>
      <c r="UMB53" s="708">
        <f t="shared" si="262"/>
        <v>1.7763126960563485E+190</v>
      </c>
      <c r="UMC53" s="708">
        <f t="shared" si="262"/>
        <v>1.8296020769380392E+190</v>
      </c>
      <c r="UMD53" s="708">
        <f t="shared" si="262"/>
        <v>1.8844901392461803E+190</v>
      </c>
      <c r="UME53" s="708">
        <f t="shared" si="262"/>
        <v>1.9410248434235656E+190</v>
      </c>
      <c r="UMF53" s="708">
        <f t="shared" si="262"/>
        <v>1.9992555887262727E+190</v>
      </c>
      <c r="UMG53" s="708">
        <f t="shared" si="262"/>
        <v>2.0592332563880609E+190</v>
      </c>
      <c r="UMH53" s="708">
        <f t="shared" si="262"/>
        <v>2.1210102540797026E+190</v>
      </c>
      <c r="UMI53" s="708">
        <f t="shared" si="262"/>
        <v>2.1846405617020937E+190</v>
      </c>
      <c r="UMJ53" s="708">
        <f t="shared" si="262"/>
        <v>2.2501797785531565E+190</v>
      </c>
      <c r="UMK53" s="708">
        <f t="shared" si="262"/>
        <v>2.3176851719097513E+190</v>
      </c>
      <c r="UML53" s="708">
        <f t="shared" si="262"/>
        <v>2.3872157270670439E+190</v>
      </c>
      <c r="UMM53" s="708">
        <f t="shared" si="262"/>
        <v>2.4588321988790555E+190</v>
      </c>
      <c r="UMN53" s="708">
        <f t="shared" si="262"/>
        <v>2.5325971648454272E+190</v>
      </c>
      <c r="UMO53" s="708">
        <f t="shared" si="262"/>
        <v>2.6085750797907903E+190</v>
      </c>
      <c r="UMP53" s="708">
        <f t="shared" si="262"/>
        <v>2.6868323321845139E+190</v>
      </c>
      <c r="UMQ53" s="708">
        <f t="shared" si="262"/>
        <v>2.7674373021500494E+190</v>
      </c>
      <c r="UMR53" s="708">
        <f t="shared" si="262"/>
        <v>2.8504604212145509E+190</v>
      </c>
      <c r="UMS53" s="708">
        <f t="shared" si="262"/>
        <v>2.9359742338509874E+190</v>
      </c>
      <c r="UMT53" s="708">
        <f t="shared" si="262"/>
        <v>3.024053460866517E+190</v>
      </c>
      <c r="UMU53" s="708">
        <f t="shared" si="262"/>
        <v>3.1147750646925128E+190</v>
      </c>
      <c r="UMV53" s="708">
        <f t="shared" si="262"/>
        <v>3.2082183166332885E+190</v>
      </c>
      <c r="UMW53" s="708">
        <f t="shared" si="262"/>
        <v>3.3044648661322872E+190</v>
      </c>
      <c r="UMX53" s="708">
        <f t="shared" si="262"/>
        <v>3.4035988121162559E+190</v>
      </c>
      <c r="UMY53" s="708">
        <f t="shared" si="262"/>
        <v>3.5057067764797435E+190</v>
      </c>
      <c r="UMZ53" s="708">
        <f t="shared" si="262"/>
        <v>3.6108779797741356E+190</v>
      </c>
      <c r="UNA53" s="708">
        <f t="shared" si="262"/>
        <v>3.7192043191673595E+190</v>
      </c>
      <c r="UNB53" s="708">
        <f t="shared" si="262"/>
        <v>3.8307804487423804E+190</v>
      </c>
      <c r="UNC53" s="708">
        <f t="shared" si="262"/>
        <v>3.9457038622046522E+190</v>
      </c>
      <c r="UND53" s="708">
        <f t="shared" si="262"/>
        <v>4.0640749780707921E+190</v>
      </c>
      <c r="UNE53" s="708">
        <f t="shared" si="262"/>
        <v>4.1859972274129157E+190</v>
      </c>
      <c r="UNF53" s="708">
        <f t="shared" si="262"/>
        <v>4.3115771442353036E+190</v>
      </c>
      <c r="UNG53" s="708">
        <f t="shared" si="262"/>
        <v>4.4409244585623629E+190</v>
      </c>
      <c r="UNH53" s="708">
        <f t="shared" si="262"/>
        <v>4.5741521923192343E+190</v>
      </c>
      <c r="UNI53" s="708">
        <f t="shared" si="262"/>
        <v>4.7113767580888114E+190</v>
      </c>
      <c r="UNJ53" s="708">
        <f t="shared" si="262"/>
        <v>4.8527180608314755E+190</v>
      </c>
      <c r="UNK53" s="708">
        <f t="shared" si="262"/>
        <v>4.99829960265642E+190</v>
      </c>
      <c r="UNL53" s="708">
        <f t="shared" si="262"/>
        <v>5.1482485907361123E+190</v>
      </c>
      <c r="UNM53" s="708">
        <f t="shared" si="262"/>
        <v>5.3026960484581962E+190</v>
      </c>
      <c r="UNN53" s="708">
        <f t="shared" si="262"/>
        <v>5.461776929911942E+190</v>
      </c>
      <c r="UNO53" s="708">
        <f t="shared" si="262"/>
        <v>5.6256302378093004E+190</v>
      </c>
      <c r="UNP53" s="708">
        <f t="shared" si="262"/>
        <v>5.7943991449435792E+190</v>
      </c>
      <c r="UNQ53" s="708">
        <f t="shared" si="262"/>
        <v>5.9682311192918865E+190</v>
      </c>
      <c r="UNR53" s="708">
        <f t="shared" si="262"/>
        <v>6.1472780528706432E+190</v>
      </c>
      <c r="UNS53" s="708">
        <f t="shared" si="262"/>
        <v>6.3316963944567624E+190</v>
      </c>
      <c r="UNT53" s="708">
        <f t="shared" si="262"/>
        <v>6.5216472862904654E+190</v>
      </c>
      <c r="UNU53" s="708">
        <f t="shared" si="262"/>
        <v>6.7172967048791798E+190</v>
      </c>
      <c r="UNV53" s="708">
        <f t="shared" si="262"/>
        <v>6.9188156060255553E+190</v>
      </c>
      <c r="UNW53" s="708">
        <f t="shared" si="262"/>
        <v>7.1263800742063224E+190</v>
      </c>
      <c r="UNX53" s="708">
        <f t="shared" si="262"/>
        <v>7.3401714764325118E+190</v>
      </c>
      <c r="UNY53" s="708">
        <f t="shared" si="262"/>
        <v>7.5603766207254878E+190</v>
      </c>
      <c r="UNZ53" s="708">
        <f t="shared" si="262"/>
        <v>7.7871879193472534E+190</v>
      </c>
      <c r="UOA53" s="708">
        <f t="shared" si="262"/>
        <v>8.0208035569276718E+190</v>
      </c>
      <c r="UOB53" s="708">
        <f t="shared" si="262"/>
        <v>8.2614276636355019E+190</v>
      </c>
      <c r="UOC53" s="708">
        <f t="shared" si="262"/>
        <v>8.5092704935445674E+190</v>
      </c>
      <c r="UOD53" s="708">
        <f t="shared" si="262"/>
        <v>8.7645486083509046E+190</v>
      </c>
      <c r="UOE53" s="708">
        <f t="shared" si="262"/>
        <v>9.0274850666014322E+190</v>
      </c>
      <c r="UOF53" s="708">
        <f t="shared" si="262"/>
        <v>9.2983096185994752E+190</v>
      </c>
      <c r="UOG53" s="708">
        <f t="shared" si="262"/>
        <v>9.5772589071574596E+190</v>
      </c>
      <c r="UOH53" s="708">
        <f t="shared" si="262"/>
        <v>9.8645766743721837E+190</v>
      </c>
      <c r="UOI53" s="708">
        <f t="shared" si="262"/>
        <v>1.016051397460335E+191</v>
      </c>
      <c r="UOJ53" s="708">
        <f t="shared" si="262"/>
        <v>1.0465329393841451E+191</v>
      </c>
      <c r="UOK53" s="708">
        <f t="shared" si="262"/>
        <v>1.0779289275656695E+191</v>
      </c>
      <c r="UOL53" s="708">
        <f t="shared" ref="UOL53:UQW53" si="263">UOK53*$C$53</f>
        <v>1.1102667953926396E+191</v>
      </c>
      <c r="UOM53" s="708">
        <f t="shared" si="263"/>
        <v>1.1435747992544188E+191</v>
      </c>
      <c r="UON53" s="708">
        <f t="shared" si="263"/>
        <v>1.1778820432320514E+191</v>
      </c>
      <c r="UOO53" s="708">
        <f t="shared" si="263"/>
        <v>1.213218504529013E+191</v>
      </c>
      <c r="UOP53" s="708">
        <f t="shared" si="263"/>
        <v>1.2496150596648834E+191</v>
      </c>
      <c r="UOQ53" s="708">
        <f t="shared" si="263"/>
        <v>1.2871035114548299E+191</v>
      </c>
      <c r="UOR53" s="708">
        <f t="shared" si="263"/>
        <v>1.3257166167984748E+191</v>
      </c>
      <c r="UOS53" s="708">
        <f t="shared" si="263"/>
        <v>1.3654881153024291E+191</v>
      </c>
      <c r="UOT53" s="708">
        <f t="shared" si="263"/>
        <v>1.406452758761502E+191</v>
      </c>
      <c r="UOU53" s="708">
        <f t="shared" si="263"/>
        <v>1.4486463415243472E+191</v>
      </c>
      <c r="UOV53" s="708">
        <f t="shared" si="263"/>
        <v>1.4921057317700778E+191</v>
      </c>
      <c r="UOW53" s="708">
        <f t="shared" si="263"/>
        <v>1.5368689037231803E+191</v>
      </c>
      <c r="UOX53" s="708">
        <f t="shared" si="263"/>
        <v>1.5829749708348757E+191</v>
      </c>
      <c r="UOY53" s="708">
        <f t="shared" si="263"/>
        <v>1.6304642199599221E+191</v>
      </c>
      <c r="UOZ53" s="708">
        <f t="shared" si="263"/>
        <v>1.6793781465587199E+191</v>
      </c>
      <c r="UPA53" s="708">
        <f t="shared" si="263"/>
        <v>1.7297594909554814E+191</v>
      </c>
      <c r="UPB53" s="708">
        <f t="shared" si="263"/>
        <v>1.781652275684146E+191</v>
      </c>
      <c r="UPC53" s="708">
        <f t="shared" si="263"/>
        <v>1.8351018439546704E+191</v>
      </c>
      <c r="UPD53" s="708">
        <f t="shared" si="263"/>
        <v>1.8901548992733104E+191</v>
      </c>
      <c r="UPE53" s="708">
        <f t="shared" si="263"/>
        <v>1.9468595462515098E+191</v>
      </c>
      <c r="UPF53" s="708">
        <f t="shared" si="263"/>
        <v>2.0052653326390551E+191</v>
      </c>
      <c r="UPG53" s="708">
        <f t="shared" si="263"/>
        <v>2.0654232926182266E+191</v>
      </c>
      <c r="UPH53" s="708">
        <f t="shared" si="263"/>
        <v>2.1273859913967735E+191</v>
      </c>
      <c r="UPI53" s="708">
        <f t="shared" si="263"/>
        <v>2.1912075711386768E+191</v>
      </c>
      <c r="UPJ53" s="708">
        <f t="shared" si="263"/>
        <v>2.2569437982728372E+191</v>
      </c>
      <c r="UPK53" s="708">
        <f t="shared" si="263"/>
        <v>2.3246521122210225E+191</v>
      </c>
      <c r="UPL53" s="708">
        <f t="shared" si="263"/>
        <v>2.3943916755876532E+191</v>
      </c>
      <c r="UPM53" s="708">
        <f t="shared" si="263"/>
        <v>2.466223425855283E+191</v>
      </c>
      <c r="UPN53" s="708">
        <f t="shared" si="263"/>
        <v>2.5402101286309414E+191</v>
      </c>
      <c r="UPO53" s="708">
        <f t="shared" si="263"/>
        <v>2.6164164324898698E+191</v>
      </c>
      <c r="UPP53" s="708">
        <f t="shared" si="263"/>
        <v>2.6949089254645661E+191</v>
      </c>
      <c r="UPQ53" s="708">
        <f t="shared" si="263"/>
        <v>2.7757561932285031E+191</v>
      </c>
      <c r="UPR53" s="708">
        <f t="shared" si="263"/>
        <v>2.8590288790253583E+191</v>
      </c>
      <c r="UPS53" s="708">
        <f t="shared" si="263"/>
        <v>2.9447997453961192E+191</v>
      </c>
      <c r="UPT53" s="708">
        <f t="shared" si="263"/>
        <v>3.0331437377580032E+191</v>
      </c>
      <c r="UPU53" s="708">
        <f t="shared" si="263"/>
        <v>3.1241380498907431E+191</v>
      </c>
      <c r="UPV53" s="708">
        <f t="shared" si="263"/>
        <v>3.2178621913874653E+191</v>
      </c>
      <c r="UPW53" s="708">
        <f t="shared" si="263"/>
        <v>3.3143980571290895E+191</v>
      </c>
      <c r="UPX53" s="708">
        <f t="shared" si="263"/>
        <v>3.4138299988429626E+191</v>
      </c>
      <c r="UPY53" s="708">
        <f t="shared" si="263"/>
        <v>3.5162448988082515E+191</v>
      </c>
      <c r="UPZ53" s="708">
        <f t="shared" si="263"/>
        <v>3.6217322457724992E+191</v>
      </c>
      <c r="UQA53" s="708">
        <f t="shared" si="263"/>
        <v>3.7303842131456744E+191</v>
      </c>
      <c r="UQB53" s="708">
        <f t="shared" si="263"/>
        <v>3.8422957395400446E+191</v>
      </c>
      <c r="UQC53" s="708">
        <f t="shared" si="263"/>
        <v>3.9575646117262461E+191</v>
      </c>
      <c r="UQD53" s="708">
        <f t="shared" si="263"/>
        <v>4.0762915500780333E+191</v>
      </c>
      <c r="UQE53" s="708">
        <f t="shared" si="263"/>
        <v>4.1985802965803743E+191</v>
      </c>
      <c r="UQF53" s="708">
        <f t="shared" si="263"/>
        <v>4.3245377054777858E+191</v>
      </c>
      <c r="UQG53" s="708">
        <f t="shared" si="263"/>
        <v>4.4542738366421197E+191</v>
      </c>
      <c r="UQH53" s="708">
        <f t="shared" si="263"/>
        <v>4.5879020517413835E+191</v>
      </c>
      <c r="UQI53" s="708">
        <f t="shared" si="263"/>
        <v>4.7255391132936251E+191</v>
      </c>
      <c r="UQJ53" s="708">
        <f t="shared" si="263"/>
        <v>4.8673052866924342E+191</v>
      </c>
      <c r="UQK53" s="708">
        <f t="shared" si="263"/>
        <v>5.0133244452932074E+191</v>
      </c>
      <c r="UQL53" s="708">
        <f t="shared" si="263"/>
        <v>5.1637241786520039E+191</v>
      </c>
      <c r="UQM53" s="708">
        <f t="shared" si="263"/>
        <v>5.3186359040115639E+191</v>
      </c>
      <c r="UQN53" s="708">
        <f t="shared" si="263"/>
        <v>5.4781949811319107E+191</v>
      </c>
      <c r="UQO53" s="708">
        <f t="shared" si="263"/>
        <v>5.6425408305658683E+191</v>
      </c>
      <c r="UQP53" s="708">
        <f t="shared" si="263"/>
        <v>5.8118170554828448E+191</v>
      </c>
      <c r="UQQ53" s="708">
        <f t="shared" si="263"/>
        <v>5.9861715671473308E+191</v>
      </c>
      <c r="UQR53" s="708">
        <f t="shared" si="263"/>
        <v>6.1657567141617515E+191</v>
      </c>
      <c r="UQS53" s="708">
        <f t="shared" si="263"/>
        <v>6.3507294155866041E+191</v>
      </c>
      <c r="UQT53" s="708">
        <f t="shared" si="263"/>
        <v>6.5412512980542024E+191</v>
      </c>
      <c r="UQU53" s="708">
        <f t="shared" si="263"/>
        <v>6.7374888369958285E+191</v>
      </c>
      <c r="UQV53" s="708">
        <f t="shared" si="263"/>
        <v>6.9396135021057034E+191</v>
      </c>
      <c r="UQW53" s="708">
        <f t="shared" si="263"/>
        <v>7.1478019071688746E+191</v>
      </c>
      <c r="UQX53" s="708">
        <f t="shared" ref="UQX53:UTI53" si="264">UQW53*$C$53</f>
        <v>7.3622359643839414E+191</v>
      </c>
      <c r="UQY53" s="708">
        <f t="shared" si="264"/>
        <v>7.5831030433154597E+191</v>
      </c>
      <c r="UQZ53" s="708">
        <f t="shared" si="264"/>
        <v>7.8105961346149241E+191</v>
      </c>
      <c r="URA53" s="708">
        <f t="shared" si="264"/>
        <v>8.0449140186533724E+191</v>
      </c>
      <c r="URB53" s="708">
        <f t="shared" si="264"/>
        <v>8.2862614392129743E+191</v>
      </c>
      <c r="URC53" s="708">
        <f t="shared" si="264"/>
        <v>8.5348492823893631E+191</v>
      </c>
      <c r="URD53" s="708">
        <f t="shared" si="264"/>
        <v>8.7908947608610445E+191</v>
      </c>
      <c r="URE53" s="708">
        <f t="shared" si="264"/>
        <v>9.0546216036868762E+191</v>
      </c>
      <c r="URF53" s="708">
        <f t="shared" si="264"/>
        <v>9.3262602517974833E+191</v>
      </c>
      <c r="URG53" s="708">
        <f t="shared" si="264"/>
        <v>9.6060480593514084E+191</v>
      </c>
      <c r="URH53" s="708">
        <f t="shared" si="264"/>
        <v>9.8942295011319505E+191</v>
      </c>
      <c r="URI53" s="708">
        <f t="shared" si="264"/>
        <v>1.0191056386165909E+192</v>
      </c>
      <c r="URJ53" s="708">
        <f t="shared" si="264"/>
        <v>1.0496788077750887E+192</v>
      </c>
      <c r="URK53" s="708">
        <f t="shared" si="264"/>
        <v>1.0811691720083413E+192</v>
      </c>
      <c r="URL53" s="708">
        <f t="shared" si="264"/>
        <v>1.1136042471685915E+192</v>
      </c>
      <c r="URM53" s="708">
        <f t="shared" si="264"/>
        <v>1.1470123745836493E+192</v>
      </c>
      <c r="URN53" s="708">
        <f t="shared" si="264"/>
        <v>1.1814227458211589E+192</v>
      </c>
      <c r="URO53" s="708">
        <f t="shared" si="264"/>
        <v>1.2168654281957937E+192</v>
      </c>
      <c r="URP53" s="708">
        <f t="shared" si="264"/>
        <v>1.2533713910416676E+192</v>
      </c>
      <c r="URQ53" s="708">
        <f t="shared" si="264"/>
        <v>1.2909725327729176E+192</v>
      </c>
      <c r="URR53" s="708">
        <f t="shared" si="264"/>
        <v>1.3297017087561051E+192</v>
      </c>
      <c r="URS53" s="708">
        <f t="shared" si="264"/>
        <v>1.3695927600187883E+192</v>
      </c>
      <c r="URT53" s="708">
        <f t="shared" si="264"/>
        <v>1.4106805428193521E+192</v>
      </c>
      <c r="URU53" s="708">
        <f t="shared" si="264"/>
        <v>1.4530009591039328E+192</v>
      </c>
      <c r="URV53" s="708">
        <f t="shared" si="264"/>
        <v>1.4965909878770508E+192</v>
      </c>
      <c r="URW53" s="708">
        <f t="shared" si="264"/>
        <v>1.5414887175133624E+192</v>
      </c>
      <c r="URX53" s="708">
        <f t="shared" si="264"/>
        <v>1.5877333790387632E+192</v>
      </c>
      <c r="URY53" s="708">
        <f t="shared" si="264"/>
        <v>1.6353653804099262E+192</v>
      </c>
      <c r="URZ53" s="708">
        <f t="shared" si="264"/>
        <v>1.6844263418222239E+192</v>
      </c>
      <c r="USA53" s="708">
        <f t="shared" si="264"/>
        <v>1.7349591320768907E+192</v>
      </c>
      <c r="USB53" s="708">
        <f t="shared" si="264"/>
        <v>1.7870079060391974E+192</v>
      </c>
      <c r="USC53" s="708">
        <f t="shared" si="264"/>
        <v>1.8406181432203734E+192</v>
      </c>
      <c r="USD53" s="708">
        <f t="shared" si="264"/>
        <v>1.8958366875169847E+192</v>
      </c>
      <c r="USE53" s="708">
        <f t="shared" si="264"/>
        <v>1.9527117881424943E+192</v>
      </c>
      <c r="USF53" s="708">
        <f t="shared" si="264"/>
        <v>2.0112931417867693E+192</v>
      </c>
      <c r="USG53" s="708">
        <f t="shared" si="264"/>
        <v>2.0716319360403725E+192</v>
      </c>
      <c r="USH53" s="708">
        <f t="shared" si="264"/>
        <v>2.1337808941215838E+192</v>
      </c>
      <c r="USI53" s="708">
        <f t="shared" si="264"/>
        <v>2.1977943209452315E+192</v>
      </c>
      <c r="USJ53" s="708">
        <f t="shared" si="264"/>
        <v>2.2637281505735884E+192</v>
      </c>
      <c r="USK53" s="708">
        <f t="shared" si="264"/>
        <v>2.3316399950907964E+192</v>
      </c>
      <c r="USL53" s="708">
        <f t="shared" si="264"/>
        <v>2.4015891949435203E+192</v>
      </c>
      <c r="USM53" s="708">
        <f t="shared" si="264"/>
        <v>2.4736368707918262E+192</v>
      </c>
      <c r="USN53" s="708">
        <f t="shared" si="264"/>
        <v>2.5478459769155811E+192</v>
      </c>
      <c r="USO53" s="708">
        <f t="shared" si="264"/>
        <v>2.6242813562230487E+192</v>
      </c>
      <c r="USP53" s="708">
        <f t="shared" si="264"/>
        <v>2.7030097969097403E+192</v>
      </c>
      <c r="USQ53" s="708">
        <f t="shared" si="264"/>
        <v>2.7841000908170326E+192</v>
      </c>
      <c r="USR53" s="708">
        <f t="shared" si="264"/>
        <v>2.8676230935415437E+192</v>
      </c>
      <c r="USS53" s="708">
        <f t="shared" si="264"/>
        <v>2.9536517863477899E+192</v>
      </c>
      <c r="UST53" s="708">
        <f t="shared" si="264"/>
        <v>3.0422613399382235E+192</v>
      </c>
      <c r="USU53" s="708">
        <f t="shared" si="264"/>
        <v>3.1335291801363704E+192</v>
      </c>
      <c r="USV53" s="708">
        <f t="shared" si="264"/>
        <v>3.2275350555404617E+192</v>
      </c>
      <c r="USW53" s="708">
        <f t="shared" si="264"/>
        <v>3.3243611072066759E+192</v>
      </c>
      <c r="USX53" s="708">
        <f t="shared" si="264"/>
        <v>3.4240919404228763E+192</v>
      </c>
      <c r="USY53" s="708">
        <f t="shared" si="264"/>
        <v>3.5268146986355627E+192</v>
      </c>
      <c r="USZ53" s="708">
        <f t="shared" si="264"/>
        <v>3.6326191395946296E+192</v>
      </c>
      <c r="UTA53" s="708">
        <f t="shared" si="264"/>
        <v>3.7415977137824687E+192</v>
      </c>
      <c r="UTB53" s="708">
        <f t="shared" si="264"/>
        <v>3.853845645195943E+192</v>
      </c>
      <c r="UTC53" s="708">
        <f t="shared" si="264"/>
        <v>3.9694610145518213E+192</v>
      </c>
      <c r="UTD53" s="708">
        <f t="shared" si="264"/>
        <v>4.0885448449883761E+192</v>
      </c>
      <c r="UTE53" s="708">
        <f t="shared" si="264"/>
        <v>4.2112011903380273E+192</v>
      </c>
      <c r="UTF53" s="708">
        <f t="shared" si="264"/>
        <v>4.3375372260481681E+192</v>
      </c>
      <c r="UTG53" s="708">
        <f t="shared" si="264"/>
        <v>4.4676633428296134E+192</v>
      </c>
      <c r="UTH53" s="708">
        <f t="shared" si="264"/>
        <v>4.6016932431145024E+192</v>
      </c>
      <c r="UTI53" s="708">
        <f t="shared" si="264"/>
        <v>4.7397440404079371E+192</v>
      </c>
      <c r="UTJ53" s="708">
        <f t="shared" ref="UTJ53:UVU53" si="265">UTI53*$C$53</f>
        <v>4.8819363616201752E+192</v>
      </c>
      <c r="UTK53" s="708">
        <f t="shared" si="265"/>
        <v>5.0283944524687803E+192</v>
      </c>
      <c r="UTL53" s="708">
        <f t="shared" si="265"/>
        <v>5.1792462860428435E+192</v>
      </c>
      <c r="UTM53" s="708">
        <f t="shared" si="265"/>
        <v>5.3346236746241284E+192</v>
      </c>
      <c r="UTN53" s="708">
        <f t="shared" si="265"/>
        <v>5.4946623848628528E+192</v>
      </c>
      <c r="UTO53" s="708">
        <f t="shared" si="265"/>
        <v>5.6595022564087388E+192</v>
      </c>
      <c r="UTP53" s="708">
        <f t="shared" si="265"/>
        <v>5.8292873241010013E+192</v>
      </c>
      <c r="UTQ53" s="708">
        <f t="shared" si="265"/>
        <v>6.004165943824032E+192</v>
      </c>
      <c r="UTR53" s="708">
        <f t="shared" si="265"/>
        <v>6.1842909221387531E+192</v>
      </c>
      <c r="UTS53" s="708">
        <f t="shared" si="265"/>
        <v>6.3698196498029161E+192</v>
      </c>
      <c r="UTT53" s="708">
        <f t="shared" si="265"/>
        <v>6.560914239297004E+192</v>
      </c>
      <c r="UTU53" s="708">
        <f t="shared" si="265"/>
        <v>6.7577416664759142E+192</v>
      </c>
      <c r="UTV53" s="708">
        <f t="shared" si="265"/>
        <v>6.9604739164701915E+192</v>
      </c>
      <c r="UTW53" s="708">
        <f t="shared" si="265"/>
        <v>7.1692881339642978E+192</v>
      </c>
      <c r="UTX53" s="708">
        <f t="shared" si="265"/>
        <v>7.3843667779832265E+192</v>
      </c>
      <c r="UTY53" s="708">
        <f t="shared" si="265"/>
        <v>7.6058977813227239E+192</v>
      </c>
      <c r="UTZ53" s="708">
        <f t="shared" si="265"/>
        <v>7.834074714762406E+192</v>
      </c>
      <c r="UUA53" s="708">
        <f t="shared" si="265"/>
        <v>8.0690969562052784E+192</v>
      </c>
      <c r="UUB53" s="708">
        <f t="shared" si="265"/>
        <v>8.3111698648914373E+192</v>
      </c>
      <c r="UUC53" s="708">
        <f t="shared" si="265"/>
        <v>8.5605049608381803E+192</v>
      </c>
      <c r="UUD53" s="708">
        <f t="shared" si="265"/>
        <v>8.8173201096633256E+192</v>
      </c>
      <c r="UUE53" s="708">
        <f t="shared" si="265"/>
        <v>9.0818397129532253E+192</v>
      </c>
      <c r="UUF53" s="708">
        <f t="shared" si="265"/>
        <v>9.3542949043418232E+192</v>
      </c>
      <c r="UUG53" s="708">
        <f t="shared" si="265"/>
        <v>9.6349237514720783E+192</v>
      </c>
      <c r="UUH53" s="708">
        <f t="shared" si="265"/>
        <v>9.9239714640162405E+192</v>
      </c>
      <c r="UUI53" s="708">
        <f t="shared" si="265"/>
        <v>1.0221690607936727E+193</v>
      </c>
      <c r="UUJ53" s="708">
        <f t="shared" si="265"/>
        <v>1.0528341326174829E+193</v>
      </c>
      <c r="UUK53" s="708">
        <f t="shared" si="265"/>
        <v>1.0844191565960074E+193</v>
      </c>
      <c r="UUL53" s="708">
        <f t="shared" si="265"/>
        <v>1.1169517312938877E+193</v>
      </c>
      <c r="UUM53" s="708">
        <f t="shared" si="265"/>
        <v>1.1504602832327044E+193</v>
      </c>
      <c r="UUN53" s="708">
        <f t="shared" si="265"/>
        <v>1.1849740917296855E+193</v>
      </c>
      <c r="UUO53" s="708">
        <f t="shared" si="265"/>
        <v>1.220523314481576E+193</v>
      </c>
      <c r="UUP53" s="708">
        <f t="shared" si="265"/>
        <v>1.2571390139160233E+193</v>
      </c>
      <c r="UUQ53" s="708">
        <f t="shared" si="265"/>
        <v>1.2948531843335041E+193</v>
      </c>
      <c r="UUR53" s="708">
        <f t="shared" si="265"/>
        <v>1.3336987798635092E+193</v>
      </c>
      <c r="UUS53" s="708">
        <f t="shared" si="265"/>
        <v>1.3737097432594146E+193</v>
      </c>
      <c r="UUT53" s="708">
        <f t="shared" si="265"/>
        <v>1.414921035557197E+193</v>
      </c>
      <c r="UUU53" s="708">
        <f t="shared" si="265"/>
        <v>1.4573686666239131E+193</v>
      </c>
      <c r="UUV53" s="708">
        <f t="shared" si="265"/>
        <v>1.5010897266226305E+193</v>
      </c>
      <c r="UUW53" s="708">
        <f t="shared" si="265"/>
        <v>1.5461224184213095E+193</v>
      </c>
      <c r="UUX53" s="708">
        <f t="shared" si="265"/>
        <v>1.5925060909739488E+193</v>
      </c>
      <c r="UUY53" s="708">
        <f t="shared" si="265"/>
        <v>1.6402812737031673E+193</v>
      </c>
      <c r="UUZ53" s="708">
        <f t="shared" si="265"/>
        <v>1.6894897119142624E+193</v>
      </c>
      <c r="UVA53" s="708">
        <f t="shared" si="265"/>
        <v>1.7401744032716904E+193</v>
      </c>
      <c r="UVB53" s="708">
        <f t="shared" si="265"/>
        <v>1.7923796353698411E+193</v>
      </c>
      <c r="UVC53" s="708">
        <f t="shared" si="265"/>
        <v>1.8461510244309363E+193</v>
      </c>
      <c r="UVD53" s="708">
        <f t="shared" si="265"/>
        <v>1.9015355551638644E+193</v>
      </c>
      <c r="UVE53" s="708">
        <f t="shared" si="265"/>
        <v>1.9585816218187803E+193</v>
      </c>
      <c r="UVF53" s="708">
        <f t="shared" si="265"/>
        <v>2.0173390704733438E+193</v>
      </c>
      <c r="UVG53" s="708">
        <f t="shared" si="265"/>
        <v>2.0778592425875442E+193</v>
      </c>
      <c r="UVH53" s="708">
        <f t="shared" si="265"/>
        <v>2.1401950198651704E+193</v>
      </c>
      <c r="UVI53" s="708">
        <f t="shared" si="265"/>
        <v>2.2044008704611257E+193</v>
      </c>
      <c r="UVJ53" s="708">
        <f t="shared" si="265"/>
        <v>2.2705328965749594E+193</v>
      </c>
      <c r="UVK53" s="708">
        <f t="shared" si="265"/>
        <v>2.3386488834722082E+193</v>
      </c>
      <c r="UVL53" s="708">
        <f t="shared" si="265"/>
        <v>2.4088083499763746E+193</v>
      </c>
      <c r="UVM53" s="708">
        <f t="shared" si="265"/>
        <v>2.4810726004756658E+193</v>
      </c>
      <c r="UVN53" s="708">
        <f t="shared" si="265"/>
        <v>2.5555047784899359E+193</v>
      </c>
      <c r="UVO53" s="708">
        <f t="shared" si="265"/>
        <v>2.632169921844634E+193</v>
      </c>
      <c r="UVP53" s="708">
        <f t="shared" si="265"/>
        <v>2.711135019499973E+193</v>
      </c>
      <c r="UVQ53" s="708">
        <f t="shared" si="265"/>
        <v>2.7924690700849722E+193</v>
      </c>
      <c r="UVR53" s="708">
        <f t="shared" si="265"/>
        <v>2.8762431421875215E+193</v>
      </c>
      <c r="UVS53" s="708">
        <f t="shared" si="265"/>
        <v>2.9625304364531474E+193</v>
      </c>
      <c r="UVT53" s="708">
        <f t="shared" si="265"/>
        <v>3.051406349546742E+193</v>
      </c>
      <c r="UVU53" s="708">
        <f t="shared" si="265"/>
        <v>3.1429485400331442E+193</v>
      </c>
      <c r="UVV53" s="708">
        <f t="shared" ref="UVV53:UYG53" si="266">UVU53*$C$53</f>
        <v>3.2372369962341384E+193</v>
      </c>
      <c r="UVW53" s="708">
        <f t="shared" si="266"/>
        <v>3.3343541061211625E+193</v>
      </c>
      <c r="UVX53" s="708">
        <f t="shared" si="266"/>
        <v>3.4343847293047976E+193</v>
      </c>
      <c r="UVY53" s="708">
        <f t="shared" si="266"/>
        <v>3.5374162711839415E+193</v>
      </c>
      <c r="UVZ53" s="708">
        <f t="shared" si="266"/>
        <v>3.6435387593194598E+193</v>
      </c>
      <c r="UWA53" s="708">
        <f t="shared" si="266"/>
        <v>3.7528449220990436E+193</v>
      </c>
      <c r="UWB53" s="708">
        <f t="shared" si="266"/>
        <v>3.8654302697620151E+193</v>
      </c>
      <c r="UWC53" s="708">
        <f t="shared" si="266"/>
        <v>3.9813931778548754E+193</v>
      </c>
      <c r="UWD53" s="708">
        <f t="shared" si="266"/>
        <v>4.100834973190522E+193</v>
      </c>
      <c r="UWE53" s="708">
        <f t="shared" si="266"/>
        <v>4.223860022386238E+193</v>
      </c>
      <c r="UWF53" s="708">
        <f t="shared" si="266"/>
        <v>4.3505758230578251E+193</v>
      </c>
      <c r="UWG53" s="708">
        <f t="shared" si="266"/>
        <v>4.4810930977495597E+193</v>
      </c>
      <c r="UWH53" s="708">
        <f t="shared" si="266"/>
        <v>4.615525890682047E+193</v>
      </c>
      <c r="UWI53" s="708">
        <f t="shared" si="266"/>
        <v>4.7539916674025086E+193</v>
      </c>
      <c r="UWJ53" s="708">
        <f t="shared" si="266"/>
        <v>4.896611417424584E+193</v>
      </c>
      <c r="UWK53" s="708">
        <f t="shared" si="266"/>
        <v>5.0435097599473213E+193</v>
      </c>
      <c r="UWL53" s="708">
        <f t="shared" si="266"/>
        <v>5.1948150527457415E+193</v>
      </c>
      <c r="UWM53" s="708">
        <f t="shared" si="266"/>
        <v>5.3506595043281139E+193</v>
      </c>
      <c r="UWN53" s="708">
        <f t="shared" si="266"/>
        <v>5.5111792894579577E+193</v>
      </c>
      <c r="UWO53" s="708">
        <f t="shared" si="266"/>
        <v>5.6765146681416964E+193</v>
      </c>
      <c r="UWP53" s="708">
        <f t="shared" si="266"/>
        <v>5.8468101081859476E+193</v>
      </c>
      <c r="UWQ53" s="708">
        <f t="shared" si="266"/>
        <v>6.0222144114315265E+193</v>
      </c>
      <c r="UWR53" s="708">
        <f t="shared" si="266"/>
        <v>6.2028808437744723E+193</v>
      </c>
      <c r="UWS53" s="708">
        <f t="shared" si="266"/>
        <v>6.3889672690877066E+193</v>
      </c>
      <c r="UWT53" s="708">
        <f t="shared" si="266"/>
        <v>6.580636287160338E+193</v>
      </c>
      <c r="UWU53" s="708">
        <f t="shared" si="266"/>
        <v>6.7780553757751483E+193</v>
      </c>
      <c r="UWV53" s="708">
        <f t="shared" si="266"/>
        <v>6.9813970370484026E+193</v>
      </c>
      <c r="UWW53" s="708">
        <f t="shared" si="266"/>
        <v>7.190838948159855E+193</v>
      </c>
      <c r="UWX53" s="708">
        <f t="shared" si="266"/>
        <v>7.4065641166046508E+193</v>
      </c>
      <c r="UWY53" s="708">
        <f t="shared" si="266"/>
        <v>7.6287610401027911E+193</v>
      </c>
      <c r="UWZ53" s="708">
        <f t="shared" si="266"/>
        <v>7.857623871305875E+193</v>
      </c>
      <c r="UXA53" s="708">
        <f t="shared" si="266"/>
        <v>8.0933525874450513E+193</v>
      </c>
      <c r="UXB53" s="708">
        <f t="shared" si="266"/>
        <v>8.3361531650684025E+193</v>
      </c>
      <c r="UXC53" s="708">
        <f t="shared" si="266"/>
        <v>8.5862377600204551E+193</v>
      </c>
      <c r="UXD53" s="708">
        <f t="shared" si="266"/>
        <v>8.8438248928210689E+193</v>
      </c>
      <c r="UXE53" s="708">
        <f t="shared" si="266"/>
        <v>9.1091396396057014E+193</v>
      </c>
      <c r="UXF53" s="708">
        <f t="shared" si="266"/>
        <v>9.3824138287938723E+193</v>
      </c>
      <c r="UXG53" s="708">
        <f t="shared" si="266"/>
        <v>9.6638862436576894E+193</v>
      </c>
      <c r="UXH53" s="708">
        <f t="shared" si="266"/>
        <v>9.95380283096742E+193</v>
      </c>
      <c r="UXI53" s="708">
        <f t="shared" si="266"/>
        <v>1.0252416915896443E+194</v>
      </c>
      <c r="UXJ53" s="708">
        <f t="shared" si="266"/>
        <v>1.0559989423373336E+194</v>
      </c>
      <c r="UXK53" s="708">
        <f t="shared" si="266"/>
        <v>1.0876789106074537E+194</v>
      </c>
      <c r="UXL53" s="708">
        <f t="shared" si="266"/>
        <v>1.1203092779256773E+194</v>
      </c>
      <c r="UXM53" s="708">
        <f t="shared" si="266"/>
        <v>1.1539185562634477E+194</v>
      </c>
      <c r="UXN53" s="708">
        <f t="shared" si="266"/>
        <v>1.1885361129513512E+194</v>
      </c>
      <c r="UXO53" s="708">
        <f t="shared" si="266"/>
        <v>1.2241921963398918E+194</v>
      </c>
      <c r="UXP53" s="708">
        <f t="shared" si="266"/>
        <v>1.2609179622300886E+194</v>
      </c>
      <c r="UXQ53" s="708">
        <f t="shared" si="266"/>
        <v>1.2987455010969914E+194</v>
      </c>
      <c r="UXR53" s="708">
        <f t="shared" si="266"/>
        <v>1.3377078661299011E+194</v>
      </c>
      <c r="UXS53" s="708">
        <f t="shared" si="266"/>
        <v>1.3778391021137983E+194</v>
      </c>
      <c r="UXT53" s="708">
        <f t="shared" si="266"/>
        <v>1.4191742751772123E+194</v>
      </c>
      <c r="UXU53" s="708">
        <f t="shared" si="266"/>
        <v>1.4617495034325287E+194</v>
      </c>
      <c r="UXV53" s="708">
        <f t="shared" si="266"/>
        <v>1.5056019885355045E+194</v>
      </c>
      <c r="UXW53" s="708">
        <f t="shared" si="266"/>
        <v>1.5507700481915698E+194</v>
      </c>
      <c r="UXX53" s="708">
        <f t="shared" si="266"/>
        <v>1.5972931496373168E+194</v>
      </c>
      <c r="UXY53" s="708">
        <f t="shared" si="266"/>
        <v>1.6452119441264363E+194</v>
      </c>
      <c r="UXZ53" s="708">
        <f t="shared" si="266"/>
        <v>1.6945683024502295E+194</v>
      </c>
      <c r="UYA53" s="708">
        <f t="shared" si="266"/>
        <v>1.7454053515237365E+194</v>
      </c>
      <c r="UYB53" s="708">
        <f t="shared" si="266"/>
        <v>1.7977675120694486E+194</v>
      </c>
      <c r="UYC53" s="708">
        <f t="shared" si="266"/>
        <v>1.8517005374315321E+194</v>
      </c>
      <c r="UYD53" s="708">
        <f t="shared" si="266"/>
        <v>1.9072515535544782E+194</v>
      </c>
      <c r="UYE53" s="708">
        <f t="shared" si="266"/>
        <v>1.9644691001611125E+194</v>
      </c>
      <c r="UYF53" s="708">
        <f t="shared" si="266"/>
        <v>2.023403173165946E+194</v>
      </c>
      <c r="UYG53" s="708">
        <f t="shared" si="266"/>
        <v>2.0841052683609243E+194</v>
      </c>
      <c r="UYH53" s="708">
        <f t="shared" ref="UYH53:VAS53" si="267">UYG53*$C$53</f>
        <v>2.146628426411752E+194</v>
      </c>
      <c r="UYI53" s="708">
        <f t="shared" si="267"/>
        <v>2.2110272792041045E+194</v>
      </c>
      <c r="UYJ53" s="708">
        <f t="shared" si="267"/>
        <v>2.2773580975802277E+194</v>
      </c>
      <c r="UYK53" s="708">
        <f t="shared" si="267"/>
        <v>2.3456788405076346E+194</v>
      </c>
      <c r="UYL53" s="708">
        <f t="shared" si="267"/>
        <v>2.4160492057228638E+194</v>
      </c>
      <c r="UYM53" s="708">
        <f t="shared" si="267"/>
        <v>2.4885306818945498E+194</v>
      </c>
      <c r="UYN53" s="708">
        <f t="shared" si="267"/>
        <v>2.5631866023513863E+194</v>
      </c>
      <c r="UYO53" s="708">
        <f t="shared" si="267"/>
        <v>2.640082200421928E+194</v>
      </c>
      <c r="UYP53" s="708">
        <f t="shared" si="267"/>
        <v>2.7192846664345861E+194</v>
      </c>
      <c r="UYQ53" s="708">
        <f t="shared" si="267"/>
        <v>2.8008632064276238E+194</v>
      </c>
      <c r="UYR53" s="708">
        <f t="shared" si="267"/>
        <v>2.8848891026204527E+194</v>
      </c>
      <c r="UYS53" s="708">
        <f t="shared" si="267"/>
        <v>2.9714357756990665E+194</v>
      </c>
      <c r="UYT53" s="708">
        <f t="shared" si="267"/>
        <v>3.0605788489700385E+194</v>
      </c>
      <c r="UYU53" s="708">
        <f t="shared" si="267"/>
        <v>3.1523962144391397E+194</v>
      </c>
      <c r="UYV53" s="708">
        <f t="shared" si="267"/>
        <v>3.2469681008723141E+194</v>
      </c>
      <c r="UYW53" s="708">
        <f t="shared" si="267"/>
        <v>3.3443771438984839E+194</v>
      </c>
      <c r="UYX53" s="708">
        <f t="shared" si="267"/>
        <v>3.4447084582154387E+194</v>
      </c>
      <c r="UYY53" s="708">
        <f t="shared" si="267"/>
        <v>3.5480497119619018E+194</v>
      </c>
      <c r="UYZ53" s="708">
        <f t="shared" si="267"/>
        <v>3.6544912033207592E+194</v>
      </c>
      <c r="UZA53" s="708">
        <f t="shared" si="267"/>
        <v>3.7641259394203822E+194</v>
      </c>
      <c r="UZB53" s="708">
        <f t="shared" si="267"/>
        <v>3.8770497176029936E+194</v>
      </c>
      <c r="UZC53" s="708">
        <f t="shared" si="267"/>
        <v>3.9933612091310832E+194</v>
      </c>
      <c r="UZD53" s="708">
        <f t="shared" si="267"/>
        <v>4.1131620454050161E+194</v>
      </c>
      <c r="UZE53" s="708">
        <f t="shared" si="267"/>
        <v>4.2365569067671665E+194</v>
      </c>
      <c r="UZF53" s="708">
        <f t="shared" si="267"/>
        <v>4.3636536139701816E+194</v>
      </c>
      <c r="UZG53" s="708">
        <f t="shared" si="267"/>
        <v>4.4945632223892871E+194</v>
      </c>
      <c r="UZH53" s="708">
        <f t="shared" si="267"/>
        <v>4.6294001190609657E+194</v>
      </c>
      <c r="UZI53" s="708">
        <f t="shared" si="267"/>
        <v>4.7682821226327948E+194</v>
      </c>
      <c r="UZJ53" s="708">
        <f t="shared" si="267"/>
        <v>4.9113305863117785E+194</v>
      </c>
      <c r="UZK53" s="708">
        <f t="shared" si="267"/>
        <v>5.0586705039011319E+194</v>
      </c>
      <c r="UZL53" s="708">
        <f t="shared" si="267"/>
        <v>5.2104306190181659E+194</v>
      </c>
      <c r="UZM53" s="708">
        <f t="shared" si="267"/>
        <v>5.3667435375887108E+194</v>
      </c>
      <c r="UZN53" s="708">
        <f t="shared" si="267"/>
        <v>5.527745843716372E+194</v>
      </c>
      <c r="UZO53" s="708">
        <f t="shared" si="267"/>
        <v>5.693578219027863E+194</v>
      </c>
      <c r="UZP53" s="708">
        <f t="shared" si="267"/>
        <v>5.8643855655986995E+194</v>
      </c>
      <c r="UZQ53" s="708">
        <f t="shared" si="267"/>
        <v>6.040317132566661E+194</v>
      </c>
      <c r="UZR53" s="708">
        <f t="shared" si="267"/>
        <v>6.2215266465436616E+194</v>
      </c>
      <c r="UZS53" s="708">
        <f t="shared" si="267"/>
        <v>6.4081724459399715E+194</v>
      </c>
      <c r="UZT53" s="708">
        <f t="shared" si="267"/>
        <v>6.6004176193181713E+194</v>
      </c>
      <c r="UZU53" s="708">
        <f t="shared" si="267"/>
        <v>6.7984301478977171E+194</v>
      </c>
      <c r="UZV53" s="708">
        <f t="shared" si="267"/>
        <v>7.0023830523346483E+194</v>
      </c>
      <c r="UZW53" s="708">
        <f t="shared" si="267"/>
        <v>7.2124545439046878E+194</v>
      </c>
      <c r="UZX53" s="708">
        <f t="shared" si="267"/>
        <v>7.4288281802218288E+194</v>
      </c>
      <c r="UZY53" s="708">
        <f t="shared" si="267"/>
        <v>7.6516930256284838E+194</v>
      </c>
      <c r="UZZ53" s="708">
        <f t="shared" si="267"/>
        <v>7.881243816397338E+194</v>
      </c>
      <c r="VAA53" s="708">
        <f t="shared" si="267"/>
        <v>8.1176811308892581E+194</v>
      </c>
      <c r="VAB53" s="708">
        <f t="shared" si="267"/>
        <v>8.3612115648159367E+194</v>
      </c>
      <c r="VAC53" s="708">
        <f t="shared" si="267"/>
        <v>8.6120479117604151E+194</v>
      </c>
      <c r="VAD53" s="708">
        <f t="shared" si="267"/>
        <v>8.870409349113228E+194</v>
      </c>
      <c r="VAE53" s="708">
        <f t="shared" si="267"/>
        <v>9.1365216295866246E+194</v>
      </c>
      <c r="VAF53" s="708">
        <f t="shared" si="267"/>
        <v>9.4106172784742238E+194</v>
      </c>
      <c r="VAG53" s="708">
        <f t="shared" si="267"/>
        <v>9.6929357968284511E+194</v>
      </c>
      <c r="VAH53" s="708">
        <f t="shared" si="267"/>
        <v>9.9837238707333048E+194</v>
      </c>
      <c r="VAI53" s="708">
        <f t="shared" si="267"/>
        <v>1.0283235586855304E+195</v>
      </c>
      <c r="VAJ53" s="708">
        <f t="shared" si="267"/>
        <v>1.0591732654460964E+195</v>
      </c>
      <c r="VAK53" s="708">
        <f t="shared" si="267"/>
        <v>1.0909484634094792E+195</v>
      </c>
      <c r="VAL53" s="708">
        <f t="shared" si="267"/>
        <v>1.1236769173117636E+195</v>
      </c>
      <c r="VAM53" s="708">
        <f t="shared" si="267"/>
        <v>1.1573872248311165E+195</v>
      </c>
      <c r="VAN53" s="708">
        <f t="shared" si="267"/>
        <v>1.1921088415760501E+195</v>
      </c>
      <c r="VAO53" s="708">
        <f t="shared" si="267"/>
        <v>1.2278721068233316E+195</v>
      </c>
      <c r="VAP53" s="708">
        <f t="shared" si="267"/>
        <v>1.2647082700280315E+195</v>
      </c>
      <c r="VAQ53" s="708">
        <f t="shared" si="267"/>
        <v>1.3026495181288725E+195</v>
      </c>
      <c r="VAR53" s="708">
        <f t="shared" si="267"/>
        <v>1.3417290036727388E+195</v>
      </c>
      <c r="VAS53" s="708">
        <f t="shared" si="267"/>
        <v>1.3819808737829211E+195</v>
      </c>
      <c r="VAT53" s="708">
        <f t="shared" ref="VAT53:VDE53" si="268">VAS53*$C$53</f>
        <v>1.4234402999964088E+195</v>
      </c>
      <c r="VAU53" s="708">
        <f t="shared" si="268"/>
        <v>1.4661435089963011E+195</v>
      </c>
      <c r="VAV53" s="708">
        <f t="shared" si="268"/>
        <v>1.5101278142661901E+195</v>
      </c>
      <c r="VAW53" s="708">
        <f t="shared" si="268"/>
        <v>1.5554316486941759E+195</v>
      </c>
      <c r="VAX53" s="708">
        <f t="shared" si="268"/>
        <v>1.6020945981550013E+195</v>
      </c>
      <c r="VAY53" s="708">
        <f t="shared" si="268"/>
        <v>1.6501574360996514E+195</v>
      </c>
      <c r="VAZ53" s="708">
        <f t="shared" si="268"/>
        <v>1.699662159182641E+195</v>
      </c>
      <c r="VBA53" s="708">
        <f t="shared" si="268"/>
        <v>1.7506520239581203E+195</v>
      </c>
      <c r="VBB53" s="708">
        <f t="shared" si="268"/>
        <v>1.803171584676864E+195</v>
      </c>
      <c r="VBC53" s="708">
        <f t="shared" si="268"/>
        <v>1.8572667322171701E+195</v>
      </c>
      <c r="VBD53" s="708">
        <f t="shared" si="268"/>
        <v>1.9129847341836851E+195</v>
      </c>
      <c r="VBE53" s="708">
        <f t="shared" si="268"/>
        <v>1.9703742762091958E+195</v>
      </c>
      <c r="VBF53" s="708">
        <f t="shared" si="268"/>
        <v>2.0294855044954719E+195</v>
      </c>
      <c r="VBG53" s="708">
        <f t="shared" si="268"/>
        <v>2.0903700696303362E+195</v>
      </c>
      <c r="VBH53" s="708">
        <f t="shared" si="268"/>
        <v>2.1530811717192463E+195</v>
      </c>
      <c r="VBI53" s="708">
        <f t="shared" si="268"/>
        <v>2.2176736068708237E+195</v>
      </c>
      <c r="VBJ53" s="708">
        <f t="shared" si="268"/>
        <v>2.2842038150769486E+195</v>
      </c>
      <c r="VBK53" s="708">
        <f t="shared" si="268"/>
        <v>2.352729929529257E+195</v>
      </c>
      <c r="VBL53" s="708">
        <f t="shared" si="268"/>
        <v>2.4233118274151347E+195</v>
      </c>
      <c r="VBM53" s="708">
        <f t="shared" si="268"/>
        <v>2.4960111822375887E+195</v>
      </c>
      <c r="VBN53" s="708">
        <f t="shared" si="268"/>
        <v>2.5708915177047162E+195</v>
      </c>
      <c r="VBO53" s="708">
        <f t="shared" si="268"/>
        <v>2.648018263235858E+195</v>
      </c>
      <c r="VBP53" s="708">
        <f t="shared" si="268"/>
        <v>2.7274588111329338E+195</v>
      </c>
      <c r="VBQ53" s="708">
        <f t="shared" si="268"/>
        <v>2.809282575466922E+195</v>
      </c>
      <c r="VBR53" s="708">
        <f t="shared" si="268"/>
        <v>2.8935610527309296E+195</v>
      </c>
      <c r="VBS53" s="708">
        <f t="shared" si="268"/>
        <v>2.9803678843128576E+195</v>
      </c>
      <c r="VBT53" s="708">
        <f t="shared" si="268"/>
        <v>3.0697789208422433E+195</v>
      </c>
      <c r="VBU53" s="708">
        <f t="shared" si="268"/>
        <v>3.1618722884675109E+195</v>
      </c>
      <c r="VBV53" s="708">
        <f t="shared" si="268"/>
        <v>3.2567284571215361E+195</v>
      </c>
      <c r="VBW53" s="708">
        <f t="shared" si="268"/>
        <v>3.3544303108351825E+195</v>
      </c>
      <c r="VBX53" s="708">
        <f t="shared" si="268"/>
        <v>3.4550632201602381E+195</v>
      </c>
      <c r="VBY53" s="708">
        <f t="shared" si="268"/>
        <v>3.5587151167650453E+195</v>
      </c>
      <c r="VBZ53" s="708">
        <f t="shared" si="268"/>
        <v>3.6654765702679965E+195</v>
      </c>
      <c r="VCA53" s="708">
        <f t="shared" si="268"/>
        <v>3.7754408673760365E+195</v>
      </c>
      <c r="VCB53" s="708">
        <f t="shared" si="268"/>
        <v>3.8887040933973178E+195</v>
      </c>
      <c r="VCC53" s="708">
        <f t="shared" si="268"/>
        <v>4.0053652161992377E+195</v>
      </c>
      <c r="VCD53" s="708">
        <f t="shared" si="268"/>
        <v>4.125526172685215E+195</v>
      </c>
      <c r="VCE53" s="708">
        <f t="shared" si="268"/>
        <v>4.2492919578657719E+195</v>
      </c>
      <c r="VCF53" s="708">
        <f t="shared" si="268"/>
        <v>4.3767707166017452E+195</v>
      </c>
      <c r="VCG53" s="708">
        <f t="shared" si="268"/>
        <v>4.5080738380997975E+195</v>
      </c>
      <c r="VCH53" s="708">
        <f t="shared" si="268"/>
        <v>4.6433160532427918E+195</v>
      </c>
      <c r="VCI53" s="708">
        <f t="shared" si="268"/>
        <v>4.7826155348400754E+195</v>
      </c>
      <c r="VCJ53" s="708">
        <f t="shared" si="268"/>
        <v>4.9260940008852776E+195</v>
      </c>
      <c r="VCK53" s="708">
        <f t="shared" si="268"/>
        <v>5.0738768209118361E+195</v>
      </c>
      <c r="VCL53" s="708">
        <f t="shared" si="268"/>
        <v>5.2260931255391911E+195</v>
      </c>
      <c r="VCM53" s="708">
        <f t="shared" si="268"/>
        <v>5.3828759193053666E+195</v>
      </c>
      <c r="VCN53" s="708">
        <f t="shared" si="268"/>
        <v>5.5443621968845282E+195</v>
      </c>
      <c r="VCO53" s="708">
        <f t="shared" si="268"/>
        <v>5.7106930627910642E+195</v>
      </c>
      <c r="VCP53" s="708">
        <f t="shared" si="268"/>
        <v>5.8820138546747961E+195</v>
      </c>
      <c r="VCQ53" s="708">
        <f t="shared" si="268"/>
        <v>6.0584742703150398E+195</v>
      </c>
      <c r="VCR53" s="708">
        <f t="shared" si="268"/>
        <v>6.240228498424491E+195</v>
      </c>
      <c r="VCS53" s="708">
        <f t="shared" si="268"/>
        <v>6.4274353533772259E+195</v>
      </c>
      <c r="VCT53" s="708">
        <f t="shared" si="268"/>
        <v>6.6202584139785424E+195</v>
      </c>
      <c r="VCU53" s="708">
        <f t="shared" si="268"/>
        <v>6.8188661663978989E+195</v>
      </c>
      <c r="VCV53" s="708">
        <f t="shared" si="268"/>
        <v>7.0234321513898359E+195</v>
      </c>
      <c r="VCW53" s="708">
        <f t="shared" si="268"/>
        <v>7.2341351159315311E+195</v>
      </c>
      <c r="VCX53" s="708">
        <f t="shared" si="268"/>
        <v>7.4511591694094771E+195</v>
      </c>
      <c r="VCY53" s="708">
        <f t="shared" si="268"/>
        <v>7.6746939444917615E+195</v>
      </c>
      <c r="VCZ53" s="708">
        <f t="shared" si="268"/>
        <v>7.9049347628265143E+195</v>
      </c>
      <c r="VDA53" s="708">
        <f t="shared" si="268"/>
        <v>8.14208280571131E+195</v>
      </c>
      <c r="VDB53" s="708">
        <f t="shared" si="268"/>
        <v>8.3863452898826496E+195</v>
      </c>
      <c r="VDC53" s="708">
        <f t="shared" si="268"/>
        <v>8.6379356485791297E+195</v>
      </c>
      <c r="VDD53" s="708">
        <f t="shared" si="268"/>
        <v>8.8970737180365041E+195</v>
      </c>
      <c r="VDE53" s="708">
        <f t="shared" si="268"/>
        <v>9.1639859295775998E+195</v>
      </c>
      <c r="VDF53" s="708">
        <f t="shared" ref="VDF53:VFQ53" si="269">VDE53*$C$53</f>
        <v>9.4389055074649283E+195</v>
      </c>
      <c r="VDG53" s="708">
        <f t="shared" si="269"/>
        <v>9.7220726726888772E+195</v>
      </c>
      <c r="VDH53" s="708">
        <f t="shared" si="269"/>
        <v>1.0013734852869544E+196</v>
      </c>
      <c r="VDI53" s="708">
        <f t="shared" si="269"/>
        <v>1.0314146898455631E+196</v>
      </c>
      <c r="VDJ53" s="708">
        <f t="shared" si="269"/>
        <v>1.06235713054093E+196</v>
      </c>
      <c r="VDK53" s="708">
        <f t="shared" si="269"/>
        <v>1.0942278444571578E+196</v>
      </c>
      <c r="VDL53" s="708">
        <f t="shared" si="269"/>
        <v>1.1270546797908726E+196</v>
      </c>
      <c r="VDM53" s="708">
        <f t="shared" si="269"/>
        <v>1.1608663201845989E+196</v>
      </c>
      <c r="VDN53" s="708">
        <f t="shared" si="269"/>
        <v>1.1956923097901368E+196</v>
      </c>
      <c r="VDO53" s="708">
        <f t="shared" si="269"/>
        <v>1.2315630790838409E+196</v>
      </c>
      <c r="VDP53" s="708">
        <f t="shared" si="269"/>
        <v>1.2685099714563563E+196</v>
      </c>
      <c r="VDQ53" s="708">
        <f t="shared" si="269"/>
        <v>1.306565270600047E+196</v>
      </c>
      <c r="VDR53" s="708">
        <f t="shared" si="269"/>
        <v>1.3457622287180484E+196</v>
      </c>
      <c r="VDS53" s="708">
        <f t="shared" si="269"/>
        <v>1.38613509557959E+196</v>
      </c>
      <c r="VDT53" s="708">
        <f t="shared" si="269"/>
        <v>1.4277191484469779E+196</v>
      </c>
      <c r="VDU53" s="708">
        <f t="shared" si="269"/>
        <v>1.4705507229003873E+196</v>
      </c>
      <c r="VDV53" s="708">
        <f t="shared" si="269"/>
        <v>1.5146672445873989E+196</v>
      </c>
      <c r="VDW53" s="708">
        <f t="shared" si="269"/>
        <v>1.5601072619250208E+196</v>
      </c>
      <c r="VDX53" s="708">
        <f t="shared" si="269"/>
        <v>1.6069104797827715E+196</v>
      </c>
      <c r="VDY53" s="708">
        <f t="shared" si="269"/>
        <v>1.6551177941762548E+196</v>
      </c>
      <c r="VDZ53" s="708">
        <f t="shared" si="269"/>
        <v>1.7047713280015425E+196</v>
      </c>
      <c r="VEA53" s="708">
        <f t="shared" si="269"/>
        <v>1.7559144678415889E+196</v>
      </c>
      <c r="VEB53" s="708">
        <f t="shared" si="269"/>
        <v>1.8085919018768365E+196</v>
      </c>
      <c r="VEC53" s="708">
        <f t="shared" si="269"/>
        <v>1.8628496589331417E+196</v>
      </c>
      <c r="VED53" s="708">
        <f t="shared" si="269"/>
        <v>1.918735148701136E+196</v>
      </c>
      <c r="VEE53" s="708">
        <f t="shared" si="269"/>
        <v>1.97629720316217E+196</v>
      </c>
      <c r="VEF53" s="708">
        <f t="shared" si="269"/>
        <v>2.0355861192570353E+196</v>
      </c>
      <c r="VEG53" s="708">
        <f t="shared" si="269"/>
        <v>2.0966537028347466E+196</v>
      </c>
      <c r="VEH53" s="708">
        <f t="shared" si="269"/>
        <v>2.1595533139197889E+196</v>
      </c>
      <c r="VEI53" s="708">
        <f t="shared" si="269"/>
        <v>2.2243399133373826E+196</v>
      </c>
      <c r="VEJ53" s="708">
        <f t="shared" si="269"/>
        <v>2.2910701107375042E+196</v>
      </c>
      <c r="VEK53" s="708">
        <f t="shared" si="269"/>
        <v>2.3598022140596293E+196</v>
      </c>
      <c r="VEL53" s="708">
        <f t="shared" si="269"/>
        <v>2.4305962804814181E+196</v>
      </c>
      <c r="VEM53" s="708">
        <f t="shared" si="269"/>
        <v>2.5035141688958608E+196</v>
      </c>
      <c r="VEN53" s="708">
        <f t="shared" si="269"/>
        <v>2.5786195939627366E+196</v>
      </c>
      <c r="VEO53" s="708">
        <f t="shared" si="269"/>
        <v>2.6559781817816187E+196</v>
      </c>
      <c r="VEP53" s="708">
        <f t="shared" si="269"/>
        <v>2.7356575272350673E+196</v>
      </c>
      <c r="VEQ53" s="708">
        <f t="shared" si="269"/>
        <v>2.8177272530521195E+196</v>
      </c>
      <c r="VER53" s="708">
        <f t="shared" si="269"/>
        <v>2.9022590706436833E+196</v>
      </c>
      <c r="VES53" s="708">
        <f t="shared" si="269"/>
        <v>2.989326842762994E+196</v>
      </c>
      <c r="VET53" s="708">
        <f t="shared" si="269"/>
        <v>3.0790066480458839E+196</v>
      </c>
      <c r="VEU53" s="708">
        <f t="shared" si="269"/>
        <v>3.1713768474872606E+196</v>
      </c>
      <c r="VEV53" s="708">
        <f t="shared" si="269"/>
        <v>3.2665181529118783E+196</v>
      </c>
      <c r="VEW53" s="708">
        <f t="shared" si="269"/>
        <v>3.3645136974992349E+196</v>
      </c>
      <c r="VEX53" s="708">
        <f t="shared" si="269"/>
        <v>3.465449108424212E+196</v>
      </c>
      <c r="VEY53" s="708">
        <f t="shared" si="269"/>
        <v>3.5694125816769385E+196</v>
      </c>
      <c r="VEZ53" s="708">
        <f t="shared" si="269"/>
        <v>3.6764949591272468E+196</v>
      </c>
      <c r="VFA53" s="708">
        <f t="shared" si="269"/>
        <v>3.7867898079010646E+196</v>
      </c>
      <c r="VFB53" s="708">
        <f t="shared" si="269"/>
        <v>3.9003935021380968E+196</v>
      </c>
      <c r="VFC53" s="708">
        <f t="shared" si="269"/>
        <v>4.0174053072022396E+196</v>
      </c>
      <c r="VFD53" s="708">
        <f t="shared" si="269"/>
        <v>4.1379274664183072E+196</v>
      </c>
      <c r="VFE53" s="708">
        <f t="shared" si="269"/>
        <v>4.2620652904108565E+196</v>
      </c>
      <c r="VFF53" s="708">
        <f t="shared" si="269"/>
        <v>4.389927249123182E+196</v>
      </c>
      <c r="VFG53" s="708">
        <f t="shared" si="269"/>
        <v>4.5216250665968773E+196</v>
      </c>
      <c r="VFH53" s="708">
        <f t="shared" si="269"/>
        <v>4.6572738185947841E+196</v>
      </c>
      <c r="VFI53" s="708">
        <f t="shared" si="269"/>
        <v>4.7969920331526275E+196</v>
      </c>
      <c r="VFJ53" s="708">
        <f t="shared" si="269"/>
        <v>4.9409017941472065E+196</v>
      </c>
      <c r="VFK53" s="708">
        <f t="shared" si="269"/>
        <v>5.0891288479716231E+196</v>
      </c>
      <c r="VFL53" s="708">
        <f t="shared" si="269"/>
        <v>5.2418027134107722E+196</v>
      </c>
      <c r="VFM53" s="708">
        <f t="shared" si="269"/>
        <v>5.3990567948130951E+196</v>
      </c>
      <c r="VFN53" s="708">
        <f t="shared" si="269"/>
        <v>5.5610284986574881E+196</v>
      </c>
      <c r="VFO53" s="708">
        <f t="shared" si="269"/>
        <v>5.7278593536172126E+196</v>
      </c>
      <c r="VFP53" s="708">
        <f t="shared" si="269"/>
        <v>5.8996951342257287E+196</v>
      </c>
      <c r="VFQ53" s="708">
        <f t="shared" si="269"/>
        <v>6.0766859882525005E+196</v>
      </c>
      <c r="VFR53" s="708">
        <f t="shared" ref="VFR53:VIC53" si="270">VFQ53*$C$53</f>
        <v>6.2589865679000757E+196</v>
      </c>
      <c r="VFS53" s="708">
        <f t="shared" si="270"/>
        <v>6.4467561649370782E+196</v>
      </c>
      <c r="VFT53" s="708">
        <f t="shared" si="270"/>
        <v>6.6401588498851903E+196</v>
      </c>
      <c r="VFU53" s="708">
        <f t="shared" si="270"/>
        <v>6.8393636153817464E+196</v>
      </c>
      <c r="VFV53" s="708">
        <f t="shared" si="270"/>
        <v>7.0445445238431985E+196</v>
      </c>
      <c r="VFW53" s="708">
        <f t="shared" si="270"/>
        <v>7.2558808595584945E+196</v>
      </c>
      <c r="VFX53" s="708">
        <f t="shared" si="270"/>
        <v>7.4735572853452493E+196</v>
      </c>
      <c r="VFY53" s="708">
        <f t="shared" si="270"/>
        <v>7.6977640039056064E+196</v>
      </c>
      <c r="VFZ53" s="708">
        <f t="shared" si="270"/>
        <v>7.9286969240227741E+196</v>
      </c>
      <c r="VGA53" s="708">
        <f t="shared" si="270"/>
        <v>8.166557831743458E+196</v>
      </c>
      <c r="VGB53" s="708">
        <f t="shared" si="270"/>
        <v>8.4115545666957622E+196</v>
      </c>
      <c r="VGC53" s="708">
        <f t="shared" si="270"/>
        <v>8.6639012036966358E+196</v>
      </c>
      <c r="VGD53" s="708">
        <f t="shared" si="270"/>
        <v>8.9238182398075352E+196</v>
      </c>
      <c r="VGE53" s="708">
        <f t="shared" si="270"/>
        <v>9.1915327870017608E+196</v>
      </c>
      <c r="VGF53" s="708">
        <f t="shared" si="270"/>
        <v>9.4672787706118134E+196</v>
      </c>
      <c r="VGG53" s="708">
        <f t="shared" si="270"/>
        <v>9.7512971337301684E+196</v>
      </c>
      <c r="VGH53" s="708">
        <f t="shared" si="270"/>
        <v>1.0043836047742074E+197</v>
      </c>
      <c r="VGI53" s="708">
        <f t="shared" si="270"/>
        <v>1.0345151129174337E+197</v>
      </c>
      <c r="VGJ53" s="708">
        <f t="shared" si="270"/>
        <v>1.0655505663049568E+197</v>
      </c>
      <c r="VGK53" s="708">
        <f t="shared" si="270"/>
        <v>1.0975170832941055E+197</v>
      </c>
      <c r="VGL53" s="708">
        <f t="shared" si="270"/>
        <v>1.1304425957929287E+197</v>
      </c>
      <c r="VGM53" s="708">
        <f t="shared" si="270"/>
        <v>1.1643558736667166E+197</v>
      </c>
      <c r="VGN53" s="708">
        <f t="shared" si="270"/>
        <v>1.1992865498767182E+197</v>
      </c>
      <c r="VGO53" s="708">
        <f t="shared" si="270"/>
        <v>1.2352651463730197E+197</v>
      </c>
      <c r="VGP53" s="708">
        <f t="shared" si="270"/>
        <v>1.2723231007642102E+197</v>
      </c>
      <c r="VGQ53" s="708">
        <f t="shared" si="270"/>
        <v>1.3104927937871366E+197</v>
      </c>
      <c r="VGR53" s="708">
        <f t="shared" si="270"/>
        <v>1.3498075776007507E+197</v>
      </c>
      <c r="VGS53" s="708">
        <f t="shared" si="270"/>
        <v>1.3903018049287733E+197</v>
      </c>
      <c r="VGT53" s="708">
        <f t="shared" si="270"/>
        <v>1.4320108590766366E+197</v>
      </c>
      <c r="VGU53" s="708">
        <f t="shared" si="270"/>
        <v>1.4749711848489358E+197</v>
      </c>
      <c r="VGV53" s="708">
        <f t="shared" si="270"/>
        <v>1.519220320394404E+197</v>
      </c>
      <c r="VGW53" s="708">
        <f t="shared" si="270"/>
        <v>1.5647969300062362E+197</v>
      </c>
      <c r="VGX53" s="708">
        <f t="shared" si="270"/>
        <v>1.6117408379064232E+197</v>
      </c>
      <c r="VGY53" s="708">
        <f t="shared" si="270"/>
        <v>1.660093063043616E+197</v>
      </c>
      <c r="VGZ53" s="708">
        <f t="shared" si="270"/>
        <v>1.7098958549349247E+197</v>
      </c>
      <c r="VHA53" s="708">
        <f t="shared" si="270"/>
        <v>1.7611927305829723E+197</v>
      </c>
      <c r="VHB53" s="708">
        <f t="shared" si="270"/>
        <v>1.8140285125004615E+197</v>
      </c>
      <c r="VHC53" s="708">
        <f t="shared" si="270"/>
        <v>1.8684493678754752E+197</v>
      </c>
      <c r="VHD53" s="708">
        <f t="shared" si="270"/>
        <v>1.9245028489117394E+197</v>
      </c>
      <c r="VHE53" s="708">
        <f t="shared" si="270"/>
        <v>1.9822379343790916E+197</v>
      </c>
      <c r="VHF53" s="708">
        <f t="shared" si="270"/>
        <v>2.0417050724104645E+197</v>
      </c>
      <c r="VHG53" s="708">
        <f t="shared" si="270"/>
        <v>2.1029562245827785E+197</v>
      </c>
      <c r="VHH53" s="708">
        <f t="shared" si="270"/>
        <v>2.166044911320262E+197</v>
      </c>
      <c r="VHI53" s="708">
        <f t="shared" si="270"/>
        <v>2.2310262586598698E+197</v>
      </c>
      <c r="VHJ53" s="708">
        <f t="shared" si="270"/>
        <v>2.2979570464196659E+197</v>
      </c>
      <c r="VHK53" s="708">
        <f t="shared" si="270"/>
        <v>2.3668957578122561E+197</v>
      </c>
      <c r="VHL53" s="708">
        <f t="shared" si="270"/>
        <v>2.4379026305466236E+197</v>
      </c>
      <c r="VHM53" s="708">
        <f t="shared" si="270"/>
        <v>2.5110397094630223E+197</v>
      </c>
      <c r="VHN53" s="708">
        <f t="shared" si="270"/>
        <v>2.5863709007469131E+197</v>
      </c>
      <c r="VHO53" s="708">
        <f t="shared" si="270"/>
        <v>2.6639620277693205E+197</v>
      </c>
      <c r="VHP53" s="708">
        <f t="shared" si="270"/>
        <v>2.7438808886024E+197</v>
      </c>
      <c r="VHQ53" s="708">
        <f t="shared" si="270"/>
        <v>2.8261973152604722E+197</v>
      </c>
      <c r="VHR53" s="708">
        <f t="shared" si="270"/>
        <v>2.9109832347182866E+197</v>
      </c>
      <c r="VHS53" s="708">
        <f t="shared" si="270"/>
        <v>2.998312731759835E+197</v>
      </c>
      <c r="VHT53" s="708">
        <f t="shared" si="270"/>
        <v>3.0882621137126302E+197</v>
      </c>
      <c r="VHU53" s="708">
        <f t="shared" si="270"/>
        <v>3.1809099771240092E+197</v>
      </c>
      <c r="VHV53" s="708">
        <f t="shared" si="270"/>
        <v>3.2763372764377292E+197</v>
      </c>
      <c r="VHW53" s="708">
        <f t="shared" si="270"/>
        <v>3.3746273947308612E+197</v>
      </c>
      <c r="VHX53" s="708">
        <f t="shared" si="270"/>
        <v>3.4758662165727871E+197</v>
      </c>
      <c r="VHY53" s="708">
        <f t="shared" si="270"/>
        <v>3.5801422030699708E+197</v>
      </c>
      <c r="VHZ53" s="708">
        <f t="shared" si="270"/>
        <v>3.6875464691620698E+197</v>
      </c>
      <c r="VIA53" s="708">
        <f t="shared" si="270"/>
        <v>3.798172863236932E+197</v>
      </c>
      <c r="VIB53" s="708">
        <f t="shared" si="270"/>
        <v>3.9121180491340401E+197</v>
      </c>
      <c r="VIC53" s="708">
        <f t="shared" si="270"/>
        <v>4.0294815906080615E+197</v>
      </c>
      <c r="VID53" s="708">
        <f t="shared" ref="VID53:VKO53" si="271">VIC53*$C$53</f>
        <v>4.1503660383263035E+197</v>
      </c>
      <c r="VIE53" s="708">
        <f t="shared" si="271"/>
        <v>4.2748770194760928E+197</v>
      </c>
      <c r="VIF53" s="708">
        <f t="shared" si="271"/>
        <v>4.4031233300603757E+197</v>
      </c>
      <c r="VIG53" s="708">
        <f t="shared" si="271"/>
        <v>4.5352170299621868E+197</v>
      </c>
      <c r="VIH53" s="708">
        <f t="shared" si="271"/>
        <v>4.6712735408610524E+197</v>
      </c>
      <c r="VII53" s="708">
        <f t="shared" si="271"/>
        <v>4.8114117470868842E+197</v>
      </c>
      <c r="VIJ53" s="708">
        <f t="shared" si="271"/>
        <v>4.955754099499491E+197</v>
      </c>
      <c r="VIK53" s="708">
        <f t="shared" si="271"/>
        <v>5.1044267224844761E+197</v>
      </c>
      <c r="VIL53" s="708">
        <f t="shared" si="271"/>
        <v>5.2575595241590103E+197</v>
      </c>
      <c r="VIM53" s="708">
        <f t="shared" si="271"/>
        <v>5.4152863098837807E+197</v>
      </c>
      <c r="VIN53" s="708">
        <f t="shared" si="271"/>
        <v>5.5777448991802945E+197</v>
      </c>
      <c r="VIO53" s="708">
        <f t="shared" si="271"/>
        <v>5.7450772461557034E+197</v>
      </c>
      <c r="VIP53" s="708">
        <f t="shared" si="271"/>
        <v>5.9174295635403748E+197</v>
      </c>
      <c r="VIQ53" s="708">
        <f t="shared" si="271"/>
        <v>6.094952450446586E+197</v>
      </c>
      <c r="VIR53" s="708">
        <f t="shared" si="271"/>
        <v>6.2778010239599832E+197</v>
      </c>
      <c r="VIS53" s="708">
        <f t="shared" si="271"/>
        <v>6.4661350546787824E+197</v>
      </c>
      <c r="VIT53" s="708">
        <f t="shared" si="271"/>
        <v>6.6601191063191467E+197</v>
      </c>
      <c r="VIU53" s="708">
        <f t="shared" si="271"/>
        <v>6.8599226795087209E+197</v>
      </c>
      <c r="VIV53" s="708">
        <f t="shared" si="271"/>
        <v>7.0657203598939831E+197</v>
      </c>
      <c r="VIW53" s="708">
        <f t="shared" si="271"/>
        <v>7.2776919706908031E+197</v>
      </c>
      <c r="VIX53" s="708">
        <f t="shared" si="271"/>
        <v>7.4960227298115272E+197</v>
      </c>
      <c r="VIY53" s="708">
        <f t="shared" si="271"/>
        <v>7.7209034117058727E+197</v>
      </c>
      <c r="VIZ53" s="708">
        <f t="shared" si="271"/>
        <v>7.9525305140570495E+197</v>
      </c>
      <c r="VJA53" s="708">
        <f t="shared" si="271"/>
        <v>8.191106429478761E+197</v>
      </c>
      <c r="VJB53" s="708">
        <f t="shared" si="271"/>
        <v>8.4368396223631235E+197</v>
      </c>
      <c r="VJC53" s="708">
        <f t="shared" si="271"/>
        <v>8.6899448110340178E+197</v>
      </c>
      <c r="VJD53" s="708">
        <f t="shared" si="271"/>
        <v>8.9506431553650384E+197</v>
      </c>
      <c r="VJE53" s="708">
        <f t="shared" si="271"/>
        <v>9.2191624500259898E+197</v>
      </c>
      <c r="VJF53" s="708">
        <f t="shared" si="271"/>
        <v>9.4957373235267696E+197</v>
      </c>
      <c r="VJG53" s="708">
        <f t="shared" si="271"/>
        <v>9.780609443232573E+197</v>
      </c>
      <c r="VJH53" s="708">
        <f t="shared" si="271"/>
        <v>1.0074027726529551E+198</v>
      </c>
      <c r="VJI53" s="708">
        <f t="shared" si="271"/>
        <v>1.0376248558325438E+198</v>
      </c>
      <c r="VJJ53" s="708">
        <f t="shared" si="271"/>
        <v>1.0687536015075202E+198</v>
      </c>
      <c r="VJK53" s="708">
        <f t="shared" si="271"/>
        <v>1.1008162095527458E+198</v>
      </c>
      <c r="VJL53" s="708">
        <f t="shared" si="271"/>
        <v>1.1338406958393283E+198</v>
      </c>
      <c r="VJM53" s="708">
        <f t="shared" si="271"/>
        <v>1.1678559167145082E+198</v>
      </c>
      <c r="VJN53" s="708">
        <f t="shared" si="271"/>
        <v>1.2028915942159435E+198</v>
      </c>
      <c r="VJO53" s="708">
        <f t="shared" si="271"/>
        <v>1.2389783420424218E+198</v>
      </c>
      <c r="VJP53" s="708">
        <f t="shared" si="271"/>
        <v>1.2761476923036946E+198</v>
      </c>
      <c r="VJQ53" s="708">
        <f t="shared" si="271"/>
        <v>1.3144321230728053E+198</v>
      </c>
      <c r="VJR53" s="708">
        <f t="shared" si="271"/>
        <v>1.3538650867649896E+198</v>
      </c>
      <c r="VJS53" s="708">
        <f t="shared" si="271"/>
        <v>1.3944810393679393E+198</v>
      </c>
      <c r="VJT53" s="708">
        <f t="shared" si="271"/>
        <v>1.4363154705489775E+198</v>
      </c>
      <c r="VJU53" s="708">
        <f t="shared" si="271"/>
        <v>1.4794049346654467E+198</v>
      </c>
      <c r="VJV53" s="708">
        <f t="shared" si="271"/>
        <v>1.5237870827054102E+198</v>
      </c>
      <c r="VJW53" s="708">
        <f t="shared" si="271"/>
        <v>1.5695006951865724E+198</v>
      </c>
      <c r="VJX53" s="708">
        <f t="shared" si="271"/>
        <v>1.6165857160421697E+198</v>
      </c>
      <c r="VJY53" s="708">
        <f t="shared" si="271"/>
        <v>1.6650832875234349E+198</v>
      </c>
      <c r="VJZ53" s="708">
        <f t="shared" si="271"/>
        <v>1.715035786149138E+198</v>
      </c>
      <c r="VKA53" s="708">
        <f t="shared" si="271"/>
        <v>1.7664868597336122E+198</v>
      </c>
      <c r="VKB53" s="708">
        <f t="shared" si="271"/>
        <v>1.8194814655256206E+198</v>
      </c>
      <c r="VKC53" s="708">
        <f t="shared" si="271"/>
        <v>1.8740659094913894E+198</v>
      </c>
      <c r="VKD53" s="708">
        <f t="shared" si="271"/>
        <v>1.9302878867761312E+198</v>
      </c>
      <c r="VKE53" s="708">
        <f t="shared" si="271"/>
        <v>1.9881965233794152E+198</v>
      </c>
      <c r="VKF53" s="708">
        <f t="shared" si="271"/>
        <v>2.0478424190807976E+198</v>
      </c>
      <c r="VKG53" s="708">
        <f t="shared" si="271"/>
        <v>2.1092776916532217E+198</v>
      </c>
      <c r="VKH53" s="708">
        <f t="shared" si="271"/>
        <v>2.1725560224028184E+198</v>
      </c>
      <c r="VKI53" s="708">
        <f t="shared" si="271"/>
        <v>2.237732703074903E+198</v>
      </c>
      <c r="VKJ53" s="708">
        <f t="shared" si="271"/>
        <v>2.30486468416715E+198</v>
      </c>
      <c r="VKK53" s="708">
        <f t="shared" si="271"/>
        <v>2.3740106246921646E+198</v>
      </c>
      <c r="VKL53" s="708">
        <f t="shared" si="271"/>
        <v>2.4452309434329294E+198</v>
      </c>
      <c r="VKM53" s="708">
        <f t="shared" si="271"/>
        <v>2.5185878717359171E+198</v>
      </c>
      <c r="VKN53" s="708">
        <f t="shared" si="271"/>
        <v>2.5941455078879948E+198</v>
      </c>
      <c r="VKO53" s="708">
        <f t="shared" si="271"/>
        <v>2.6719698731246349E+198</v>
      </c>
      <c r="VKP53" s="708">
        <f t="shared" ref="VKP53:VNA53" si="272">VKO53*$C$53</f>
        <v>2.7521289693183742E+198</v>
      </c>
      <c r="VKQ53" s="708">
        <f t="shared" si="272"/>
        <v>2.8346928383979252E+198</v>
      </c>
      <c r="VKR53" s="708">
        <f t="shared" si="272"/>
        <v>2.919733623549863E+198</v>
      </c>
      <c r="VKS53" s="708">
        <f t="shared" si="272"/>
        <v>3.0073256322563589E+198</v>
      </c>
      <c r="VKT53" s="708">
        <f t="shared" si="272"/>
        <v>3.0975454012240496E+198</v>
      </c>
      <c r="VKU53" s="708">
        <f t="shared" si="272"/>
        <v>3.1904717632607714E+198</v>
      </c>
      <c r="VKV53" s="708">
        <f t="shared" si="272"/>
        <v>3.2861859161585947E+198</v>
      </c>
      <c r="VKW53" s="708">
        <f t="shared" si="272"/>
        <v>3.3847714936433523E+198</v>
      </c>
      <c r="VKX53" s="708">
        <f t="shared" si="272"/>
        <v>3.4863146384526529E+198</v>
      </c>
      <c r="VKY53" s="708">
        <f t="shared" si="272"/>
        <v>3.5909040776062324E+198</v>
      </c>
      <c r="VKZ53" s="708">
        <f t="shared" si="272"/>
        <v>3.6986311999344193E+198</v>
      </c>
      <c r="VLA53" s="708">
        <f t="shared" si="272"/>
        <v>3.8095901359324518E+198</v>
      </c>
      <c r="VLB53" s="708">
        <f t="shared" si="272"/>
        <v>3.9238778400104255E+198</v>
      </c>
      <c r="VLC53" s="708">
        <f t="shared" si="272"/>
        <v>4.0415941752107383E+198</v>
      </c>
      <c r="VLD53" s="708">
        <f t="shared" si="272"/>
        <v>4.1628420004670606E+198</v>
      </c>
      <c r="VLE53" s="708">
        <f t="shared" si="272"/>
        <v>4.2877272604810727E+198</v>
      </c>
      <c r="VLF53" s="708">
        <f t="shared" si="272"/>
        <v>4.4163590782955052E+198</v>
      </c>
      <c r="VLG53" s="708">
        <f t="shared" si="272"/>
        <v>4.5488498506443703E+198</v>
      </c>
      <c r="VLH53" s="708">
        <f t="shared" si="272"/>
        <v>4.6853153461637013E+198</v>
      </c>
      <c r="VLI53" s="708">
        <f t="shared" si="272"/>
        <v>4.8258748065486126E+198</v>
      </c>
      <c r="VLJ53" s="708">
        <f t="shared" si="272"/>
        <v>4.9706510507450713E+198</v>
      </c>
      <c r="VLK53" s="708">
        <f t="shared" si="272"/>
        <v>5.1197705822674235E+198</v>
      </c>
      <c r="VLL53" s="708">
        <f t="shared" si="272"/>
        <v>5.2733636997354466E+198</v>
      </c>
      <c r="VLM53" s="708">
        <f t="shared" si="272"/>
        <v>5.4315646107275106E+198</v>
      </c>
      <c r="VLN53" s="708">
        <f t="shared" si="272"/>
        <v>5.5945115490493359E+198</v>
      </c>
      <c r="VLO53" s="708">
        <f t="shared" si="272"/>
        <v>5.7623468955208163E+198</v>
      </c>
      <c r="VLP53" s="708">
        <f t="shared" si="272"/>
        <v>5.9352173023864409E+198</v>
      </c>
      <c r="VLQ53" s="708">
        <f t="shared" si="272"/>
        <v>6.1132738214580344E+198</v>
      </c>
      <c r="VLR53" s="708">
        <f t="shared" si="272"/>
        <v>6.2966720361017753E+198</v>
      </c>
      <c r="VLS53" s="708">
        <f t="shared" si="272"/>
        <v>6.4855721971848285E+198</v>
      </c>
      <c r="VLT53" s="708">
        <f t="shared" si="272"/>
        <v>6.6801393631003738E+198</v>
      </c>
      <c r="VLU53" s="708">
        <f t="shared" si="272"/>
        <v>6.8805435439933847E+198</v>
      </c>
      <c r="VLV53" s="708">
        <f t="shared" si="272"/>
        <v>7.0869598503131863E+198</v>
      </c>
      <c r="VLW53" s="708">
        <f t="shared" si="272"/>
        <v>7.299568645822582E+198</v>
      </c>
      <c r="VLX53" s="708">
        <f t="shared" si="272"/>
        <v>7.5185557051972593E+198</v>
      </c>
      <c r="VLY53" s="708">
        <f t="shared" si="272"/>
        <v>7.7441123763531771E+198</v>
      </c>
      <c r="VLZ53" s="708">
        <f t="shared" si="272"/>
        <v>7.9764357476437722E+198</v>
      </c>
      <c r="VMA53" s="708">
        <f t="shared" si="272"/>
        <v>8.2157288200730853E+198</v>
      </c>
      <c r="VMB53" s="708">
        <f t="shared" si="272"/>
        <v>8.4622006846752781E+198</v>
      </c>
      <c r="VMC53" s="708">
        <f t="shared" si="272"/>
        <v>8.7160667052155371E+198</v>
      </c>
      <c r="VMD53" s="708">
        <f t="shared" si="272"/>
        <v>8.9775487063720031E+198</v>
      </c>
      <c r="VME53" s="708">
        <f t="shared" si="272"/>
        <v>9.2468751675631635E+198</v>
      </c>
      <c r="VMF53" s="708">
        <f t="shared" si="272"/>
        <v>9.524281422590059E+198</v>
      </c>
      <c r="VMG53" s="708">
        <f t="shared" si="272"/>
        <v>9.810009865267762E+198</v>
      </c>
      <c r="VMH53" s="708">
        <f t="shared" si="272"/>
        <v>1.0104310161225794E+199</v>
      </c>
      <c r="VMI53" s="708">
        <f t="shared" si="272"/>
        <v>1.0407439466062568E+199</v>
      </c>
      <c r="VMJ53" s="708">
        <f t="shared" si="272"/>
        <v>1.0719662650044446E+199</v>
      </c>
      <c r="VMK53" s="708">
        <f t="shared" si="272"/>
        <v>1.1041252529545781E+199</v>
      </c>
      <c r="VML53" s="708">
        <f t="shared" si="272"/>
        <v>1.1372490105432154E+199</v>
      </c>
      <c r="VMM53" s="708">
        <f t="shared" si="272"/>
        <v>1.1713664808595118E+199</v>
      </c>
      <c r="VMN53" s="708">
        <f t="shared" si="272"/>
        <v>1.2065074752852971E+199</v>
      </c>
      <c r="VMO53" s="708">
        <f t="shared" si="272"/>
        <v>1.242702699543856E+199</v>
      </c>
      <c r="VMP53" s="708">
        <f t="shared" si="272"/>
        <v>1.2799837805301718E+199</v>
      </c>
      <c r="VMQ53" s="708">
        <f t="shared" si="272"/>
        <v>1.3183832939460769E+199</v>
      </c>
      <c r="VMR53" s="708">
        <f t="shared" si="272"/>
        <v>1.3579347927644592E+199</v>
      </c>
      <c r="VMS53" s="708">
        <f t="shared" si="272"/>
        <v>1.398672836547393E+199</v>
      </c>
      <c r="VMT53" s="708">
        <f t="shared" si="272"/>
        <v>1.4406330216438149E+199</v>
      </c>
      <c r="VMU53" s="708">
        <f t="shared" si="272"/>
        <v>1.4838520122931293E+199</v>
      </c>
      <c r="VMV53" s="708">
        <f t="shared" si="272"/>
        <v>1.5283675726619232E+199</v>
      </c>
      <c r="VMW53" s="708">
        <f t="shared" si="272"/>
        <v>1.5742185998417809E+199</v>
      </c>
      <c r="VMX53" s="708">
        <f t="shared" si="272"/>
        <v>1.6214451578370345E+199</v>
      </c>
      <c r="VMY53" s="708">
        <f t="shared" si="272"/>
        <v>1.6700885125721456E+199</v>
      </c>
      <c r="VMZ53" s="708">
        <f t="shared" si="272"/>
        <v>1.7201911679493101E+199</v>
      </c>
      <c r="VNA53" s="708">
        <f t="shared" si="272"/>
        <v>1.7717969029877895E+199</v>
      </c>
      <c r="VNB53" s="708">
        <f t="shared" ref="VNB53:VPM53" si="273">VNA53*$C$53</f>
        <v>1.8249508100774232E+199</v>
      </c>
      <c r="VNC53" s="708">
        <f t="shared" si="273"/>
        <v>1.879699334379746E+199</v>
      </c>
      <c r="VND53" s="708">
        <f t="shared" si="273"/>
        <v>1.9360903144111383E+199</v>
      </c>
      <c r="VNE53" s="708">
        <f t="shared" si="273"/>
        <v>1.9941730238434724E+199</v>
      </c>
      <c r="VNF53" s="708">
        <f t="shared" si="273"/>
        <v>2.0539982145587764E+199</v>
      </c>
      <c r="VNG53" s="708">
        <f t="shared" si="273"/>
        <v>2.1156181609955398E+199</v>
      </c>
      <c r="VNH53" s="708">
        <f t="shared" si="273"/>
        <v>2.179086705825406E+199</v>
      </c>
      <c r="VNI53" s="708">
        <f t="shared" si="273"/>
        <v>2.2444593070001684E+199</v>
      </c>
      <c r="VNJ53" s="708">
        <f t="shared" si="273"/>
        <v>2.3117930862101737E+199</v>
      </c>
      <c r="VNK53" s="708">
        <f t="shared" si="273"/>
        <v>2.3811468787964791E+199</v>
      </c>
      <c r="VNL53" s="708">
        <f t="shared" si="273"/>
        <v>2.4525812851603734E+199</v>
      </c>
      <c r="VNM53" s="708">
        <f t="shared" si="273"/>
        <v>2.5261587237151849E+199</v>
      </c>
      <c r="VNN53" s="708">
        <f t="shared" si="273"/>
        <v>2.6019434854266405E+199</v>
      </c>
      <c r="VNO53" s="708">
        <f t="shared" si="273"/>
        <v>2.6800017899894398E+199</v>
      </c>
      <c r="VNP53" s="708">
        <f t="shared" si="273"/>
        <v>2.7604018436891231E+199</v>
      </c>
      <c r="VNQ53" s="708">
        <f t="shared" si="273"/>
        <v>2.8432138989997968E+199</v>
      </c>
      <c r="VNR53" s="708">
        <f t="shared" si="273"/>
        <v>2.9285103159697908E+199</v>
      </c>
      <c r="VNS53" s="708">
        <f t="shared" si="273"/>
        <v>3.0163656254488846E+199</v>
      </c>
      <c r="VNT53" s="708">
        <f t="shared" si="273"/>
        <v>3.1068565942123512E+199</v>
      </c>
      <c r="VNU53" s="708">
        <f t="shared" si="273"/>
        <v>3.2000622920387217E+199</v>
      </c>
      <c r="VNV53" s="708">
        <f t="shared" si="273"/>
        <v>3.2960641607998836E+199</v>
      </c>
      <c r="VNW53" s="708">
        <f t="shared" si="273"/>
        <v>3.3949460856238801E+199</v>
      </c>
      <c r="VNX53" s="708">
        <f t="shared" si="273"/>
        <v>3.4967944681925967E+199</v>
      </c>
      <c r="VNY53" s="708">
        <f t="shared" si="273"/>
        <v>3.6016983022383746E+199</v>
      </c>
      <c r="VNZ53" s="708">
        <f t="shared" si="273"/>
        <v>3.7097492513055259E+199</v>
      </c>
      <c r="VOA53" s="708">
        <f t="shared" si="273"/>
        <v>3.8210417288446916E+199</v>
      </c>
      <c r="VOB53" s="708">
        <f t="shared" si="273"/>
        <v>3.9356729807100325E+199</v>
      </c>
      <c r="VOC53" s="708">
        <f t="shared" si="273"/>
        <v>4.0537431701313336E+199</v>
      </c>
      <c r="VOD53" s="708">
        <f t="shared" si="273"/>
        <v>4.1753554652352733E+199</v>
      </c>
      <c r="VOE53" s="708">
        <f t="shared" si="273"/>
        <v>4.3006161291923318E+199</v>
      </c>
      <c r="VOF53" s="708">
        <f t="shared" si="273"/>
        <v>4.4296346130681016E+199</v>
      </c>
      <c r="VOG53" s="708">
        <f t="shared" si="273"/>
        <v>4.5625236514601444E+199</v>
      </c>
      <c r="VOH53" s="708">
        <f t="shared" si="273"/>
        <v>4.6993993610039488E+199</v>
      </c>
      <c r="VOI53" s="708">
        <f t="shared" si="273"/>
        <v>4.8403813418340676E+199</v>
      </c>
      <c r="VOJ53" s="708">
        <f t="shared" si="273"/>
        <v>4.9855927820890897E+199</v>
      </c>
      <c r="VOK53" s="708">
        <f t="shared" si="273"/>
        <v>5.1351605655517623E+199</v>
      </c>
      <c r="VOL53" s="708">
        <f t="shared" si="273"/>
        <v>5.2892153825183156E+199</v>
      </c>
      <c r="VOM53" s="708">
        <f t="shared" si="273"/>
        <v>5.4478918439938651E+199</v>
      </c>
      <c r="VON53" s="708">
        <f t="shared" si="273"/>
        <v>5.6113285993136809E+199</v>
      </c>
      <c r="VOO53" s="708">
        <f t="shared" si="273"/>
        <v>5.7796684572930916E+199</v>
      </c>
      <c r="VOP53" s="708">
        <f t="shared" si="273"/>
        <v>5.9530585110118843E+199</v>
      </c>
      <c r="VOQ53" s="708">
        <f t="shared" si="273"/>
        <v>6.1316502663422408E+199</v>
      </c>
      <c r="VOR53" s="708">
        <f t="shared" si="273"/>
        <v>6.3155997743325078E+199</v>
      </c>
      <c r="VOS53" s="708">
        <f t="shared" si="273"/>
        <v>6.5050677675624832E+199</v>
      </c>
      <c r="VOT53" s="708">
        <f t="shared" si="273"/>
        <v>6.700219800589358E+199</v>
      </c>
      <c r="VOU53" s="708">
        <f t="shared" si="273"/>
        <v>6.9012263946070386E+199</v>
      </c>
      <c r="VOV53" s="708">
        <f t="shared" si="273"/>
        <v>7.1082631864452497E+199</v>
      </c>
      <c r="VOW53" s="708">
        <f t="shared" si="273"/>
        <v>7.3215110820386073E+199</v>
      </c>
      <c r="VOX53" s="708">
        <f t="shared" si="273"/>
        <v>7.5411564144997659E+199</v>
      </c>
      <c r="VOY53" s="708">
        <f t="shared" si="273"/>
        <v>7.7673911069347596E+199</v>
      </c>
      <c r="VOZ53" s="708">
        <f t="shared" si="273"/>
        <v>8.000412840142802E+199</v>
      </c>
      <c r="VPA53" s="708">
        <f t="shared" si="273"/>
        <v>8.240425225347086E+199</v>
      </c>
      <c r="VPB53" s="708">
        <f t="shared" si="273"/>
        <v>8.4876379821074994E+199</v>
      </c>
      <c r="VPC53" s="708">
        <f t="shared" si="273"/>
        <v>8.7422671215707245E+199</v>
      </c>
      <c r="VPD53" s="708">
        <f t="shared" si="273"/>
        <v>9.0045351352178457E+199</v>
      </c>
      <c r="VPE53" s="708">
        <f t="shared" si="273"/>
        <v>9.2746711892743815E+199</v>
      </c>
      <c r="VPF53" s="708">
        <f t="shared" si="273"/>
        <v>9.5529113249526129E+199</v>
      </c>
      <c r="VPG53" s="708">
        <f t="shared" si="273"/>
        <v>9.839498664701191E+199</v>
      </c>
      <c r="VPH53" s="708">
        <f t="shared" si="273"/>
        <v>1.0134683624642227E+200</v>
      </c>
      <c r="VPI53" s="708">
        <f t="shared" si="273"/>
        <v>1.0438724133381494E+200</v>
      </c>
      <c r="VPJ53" s="708">
        <f t="shared" si="273"/>
        <v>1.0751885857382939E+200</v>
      </c>
      <c r="VPK53" s="708">
        <f t="shared" si="273"/>
        <v>1.1074442433104427E+200</v>
      </c>
      <c r="VPL53" s="708">
        <f t="shared" si="273"/>
        <v>1.140667570609756E+200</v>
      </c>
      <c r="VPM53" s="708">
        <f t="shared" si="273"/>
        <v>1.1748875977280488E+200</v>
      </c>
      <c r="VPN53" s="708">
        <f t="shared" ref="VPN53:VRY53" si="274">VPM53*$C$53</f>
        <v>1.2101342256598904E+200</v>
      </c>
      <c r="VPO53" s="708">
        <f t="shared" si="274"/>
        <v>1.2464382524296871E+200</v>
      </c>
      <c r="VPP53" s="708">
        <f t="shared" si="274"/>
        <v>1.2838314000025777E+200</v>
      </c>
      <c r="VPQ53" s="708">
        <f t="shared" si="274"/>
        <v>1.3223463420026551E+200</v>
      </c>
      <c r="VPR53" s="708">
        <f t="shared" si="274"/>
        <v>1.3620167322627347E+200</v>
      </c>
      <c r="VPS53" s="708">
        <f t="shared" si="274"/>
        <v>1.4028772342306168E+200</v>
      </c>
      <c r="VPT53" s="708">
        <f t="shared" si="274"/>
        <v>1.4449635512575353E+200</v>
      </c>
      <c r="VPU53" s="708">
        <f t="shared" si="274"/>
        <v>1.4883124577952615E+200</v>
      </c>
      <c r="VPV53" s="708">
        <f t="shared" si="274"/>
        <v>1.5329618315291195E+200</v>
      </c>
      <c r="VPW53" s="708">
        <f t="shared" si="274"/>
        <v>1.578950686474993E+200</v>
      </c>
      <c r="VPX53" s="708">
        <f t="shared" si="274"/>
        <v>1.6263192070692429E+200</v>
      </c>
      <c r="VPY53" s="708">
        <f t="shared" si="274"/>
        <v>1.6751087832813204E+200</v>
      </c>
      <c r="VPZ53" s="708">
        <f t="shared" si="274"/>
        <v>1.72536204677976E+200</v>
      </c>
      <c r="VQA53" s="708">
        <f t="shared" si="274"/>
        <v>1.7771229081831529E+200</v>
      </c>
      <c r="VQB53" s="708">
        <f t="shared" si="274"/>
        <v>1.8304365954286475E+200</v>
      </c>
      <c r="VQC53" s="708">
        <f t="shared" si="274"/>
        <v>1.8853496932915069E+200</v>
      </c>
      <c r="VQD53" s="708">
        <f t="shared" si="274"/>
        <v>1.9419101840902522E+200</v>
      </c>
      <c r="VQE53" s="708">
        <f t="shared" si="274"/>
        <v>2.0001674896129598E+200</v>
      </c>
      <c r="VQF53" s="708">
        <f t="shared" si="274"/>
        <v>2.0601725143013487E+200</v>
      </c>
      <c r="VQG53" s="708">
        <f t="shared" si="274"/>
        <v>2.1219776897303891E+200</v>
      </c>
      <c r="VQH53" s="708">
        <f t="shared" si="274"/>
        <v>2.1856370204223008E+200</v>
      </c>
      <c r="VQI53" s="708">
        <f t="shared" si="274"/>
        <v>2.25120613103497E+200</v>
      </c>
      <c r="VQJ53" s="708">
        <f t="shared" si="274"/>
        <v>2.318742314966019E+200</v>
      </c>
      <c r="VQK53" s="708">
        <f t="shared" si="274"/>
        <v>2.3883045844149997E+200</v>
      </c>
      <c r="VQL53" s="708">
        <f t="shared" si="274"/>
        <v>2.4599537219474497E+200</v>
      </c>
      <c r="VQM53" s="708">
        <f t="shared" si="274"/>
        <v>2.5337523336058733E+200</v>
      </c>
      <c r="VQN53" s="708">
        <f t="shared" si="274"/>
        <v>2.6097649036140497E+200</v>
      </c>
      <c r="VQO53" s="708">
        <f t="shared" si="274"/>
        <v>2.6880578507224714E+200</v>
      </c>
      <c r="VQP53" s="708">
        <f t="shared" si="274"/>
        <v>2.7686995862441455E+200</v>
      </c>
      <c r="VQQ53" s="708">
        <f t="shared" si="274"/>
        <v>2.8517605738314701E+200</v>
      </c>
      <c r="VQR53" s="708">
        <f t="shared" si="274"/>
        <v>2.9373133910464144E+200</v>
      </c>
      <c r="VQS53" s="708">
        <f t="shared" si="274"/>
        <v>3.0254327927778068E+200</v>
      </c>
      <c r="VQT53" s="708">
        <f t="shared" si="274"/>
        <v>3.1161957765611412E+200</v>
      </c>
      <c r="VQU53" s="708">
        <f t="shared" si="274"/>
        <v>3.2096816498579752E+200</v>
      </c>
      <c r="VQV53" s="708">
        <f t="shared" si="274"/>
        <v>3.3059720993537148E+200</v>
      </c>
      <c r="VQW53" s="708">
        <f t="shared" si="274"/>
        <v>3.4051512623343262E+200</v>
      </c>
      <c r="VQX53" s="708">
        <f t="shared" si="274"/>
        <v>3.5073058002043562E+200</v>
      </c>
      <c r="VQY53" s="708">
        <f t="shared" si="274"/>
        <v>3.6125249742104871E+200</v>
      </c>
      <c r="VQZ53" s="708">
        <f t="shared" si="274"/>
        <v>3.7209007234368017E+200</v>
      </c>
      <c r="VRA53" s="708">
        <f t="shared" si="274"/>
        <v>3.8325277451399059E+200</v>
      </c>
      <c r="VRB53" s="708">
        <f t="shared" si="274"/>
        <v>3.9475035774941031E+200</v>
      </c>
      <c r="VRC53" s="708">
        <f t="shared" si="274"/>
        <v>4.0659286848189265E+200</v>
      </c>
      <c r="VRD53" s="708">
        <f t="shared" si="274"/>
        <v>4.1879065453634941E+200</v>
      </c>
      <c r="VRE53" s="708">
        <f t="shared" si="274"/>
        <v>4.3135437417243989E+200</v>
      </c>
      <c r="VRF53" s="708">
        <f t="shared" si="274"/>
        <v>4.4429500539761307E+200</v>
      </c>
      <c r="VRG53" s="708">
        <f t="shared" si="274"/>
        <v>4.5762385555954148E+200</v>
      </c>
      <c r="VRH53" s="708">
        <f t="shared" si="274"/>
        <v>4.7135257122632776E+200</v>
      </c>
      <c r="VRI53" s="708">
        <f t="shared" si="274"/>
        <v>4.8549314836311759E+200</v>
      </c>
      <c r="VRJ53" s="708">
        <f t="shared" si="274"/>
        <v>5.0005794281401113E+200</v>
      </c>
      <c r="VRK53" s="708">
        <f t="shared" si="274"/>
        <v>5.1505968109843147E+200</v>
      </c>
      <c r="VRL53" s="708">
        <f t="shared" si="274"/>
        <v>5.3051147153138446E+200</v>
      </c>
      <c r="VRM53" s="708">
        <f t="shared" si="274"/>
        <v>5.4642681567732603E+200</v>
      </c>
      <c r="VRN53" s="708">
        <f t="shared" si="274"/>
        <v>5.6281962014764581E+200</v>
      </c>
      <c r="VRO53" s="708">
        <f t="shared" si="274"/>
        <v>5.7970420875207517E+200</v>
      </c>
      <c r="VRP53" s="708">
        <f t="shared" si="274"/>
        <v>5.9709533501463744E+200</v>
      </c>
      <c r="VRQ53" s="708">
        <f t="shared" si="274"/>
        <v>6.1500819506507661E+200</v>
      </c>
      <c r="VRR53" s="708">
        <f t="shared" si="274"/>
        <v>6.3345844091702886E+200</v>
      </c>
      <c r="VRS53" s="708">
        <f t="shared" si="274"/>
        <v>6.5246219414453969E+200</v>
      </c>
      <c r="VRT53" s="708">
        <f t="shared" si="274"/>
        <v>6.7203605996887584E+200</v>
      </c>
      <c r="VRU53" s="708">
        <f t="shared" si="274"/>
        <v>6.9219714176794215E+200</v>
      </c>
      <c r="VRV53" s="708">
        <f t="shared" si="274"/>
        <v>7.1296305602098044E+200</v>
      </c>
      <c r="VRW53" s="708">
        <f t="shared" si="274"/>
        <v>7.3435194770160992E+200</v>
      </c>
      <c r="VRX53" s="708">
        <f t="shared" si="274"/>
        <v>7.5638250613265826E+200</v>
      </c>
      <c r="VRY53" s="708">
        <f t="shared" si="274"/>
        <v>7.7907398131663799E+200</v>
      </c>
      <c r="VRZ53" s="708">
        <f t="shared" ref="VRZ53:VUK53" si="275">VRY53*$C$53</f>
        <v>8.0244620075613717E+200</v>
      </c>
      <c r="VSA53" s="708">
        <f t="shared" si="275"/>
        <v>8.2651958677882127E+200</v>
      </c>
      <c r="VSB53" s="708">
        <f t="shared" si="275"/>
        <v>8.5131517438218591E+200</v>
      </c>
      <c r="VSC53" s="708">
        <f t="shared" si="275"/>
        <v>8.7685462961365147E+200</v>
      </c>
      <c r="VSD53" s="708">
        <f t="shared" si="275"/>
        <v>9.0316026850206098E+200</v>
      </c>
      <c r="VSE53" s="708">
        <f t="shared" si="275"/>
        <v>9.3025507655712288E+200</v>
      </c>
      <c r="VSF53" s="708">
        <f t="shared" si="275"/>
        <v>9.5816272885383654E+200</v>
      </c>
      <c r="VSG53" s="708">
        <f t="shared" si="275"/>
        <v>9.8690761071945171E+200</v>
      </c>
      <c r="VSH53" s="708">
        <f t="shared" si="275"/>
        <v>1.0165148390410353E+201</v>
      </c>
      <c r="VSI53" s="708">
        <f t="shared" si="275"/>
        <v>1.0470102842122663E+201</v>
      </c>
      <c r="VSJ53" s="708">
        <f t="shared" si="275"/>
        <v>1.0784205927386344E+201</v>
      </c>
      <c r="VSK53" s="708">
        <f t="shared" si="275"/>
        <v>1.1107732105207935E+201</v>
      </c>
      <c r="VSL53" s="708">
        <f t="shared" si="275"/>
        <v>1.1440964068364173E+201</v>
      </c>
      <c r="VSM53" s="708">
        <f t="shared" si="275"/>
        <v>1.1784192990415099E+201</v>
      </c>
      <c r="VSN53" s="708">
        <f t="shared" si="275"/>
        <v>1.2137718780127553E+201</v>
      </c>
      <c r="VSO53" s="708">
        <f t="shared" si="275"/>
        <v>1.250185034353138E+201</v>
      </c>
      <c r="VSP53" s="708">
        <f t="shared" si="275"/>
        <v>1.2876905853837322E+201</v>
      </c>
      <c r="VSQ53" s="708">
        <f t="shared" si="275"/>
        <v>1.3263213029452443E+201</v>
      </c>
      <c r="VSR53" s="708">
        <f t="shared" si="275"/>
        <v>1.3661109420336017E+201</v>
      </c>
      <c r="VSS53" s="708">
        <f t="shared" si="275"/>
        <v>1.4070942702946097E+201</v>
      </c>
      <c r="VST53" s="708">
        <f t="shared" si="275"/>
        <v>1.4493070984034479E+201</v>
      </c>
      <c r="VSU53" s="708">
        <f t="shared" si="275"/>
        <v>1.4927863113555515E+201</v>
      </c>
      <c r="VSV53" s="708">
        <f t="shared" si="275"/>
        <v>1.5375699006962181E+201</v>
      </c>
      <c r="VSW53" s="708">
        <f t="shared" si="275"/>
        <v>1.5836969977171048E+201</v>
      </c>
      <c r="VSX53" s="708">
        <f t="shared" si="275"/>
        <v>1.631207907648618E+201</v>
      </c>
      <c r="VSY53" s="708">
        <f t="shared" si="275"/>
        <v>1.6801441448780766E+201</v>
      </c>
      <c r="VSZ53" s="708">
        <f t="shared" si="275"/>
        <v>1.7305484692244188E+201</v>
      </c>
      <c r="VTA53" s="708">
        <f t="shared" si="275"/>
        <v>1.7824649233011515E+201</v>
      </c>
      <c r="VTB53" s="708">
        <f t="shared" si="275"/>
        <v>1.8359388710001862E+201</v>
      </c>
      <c r="VTC53" s="708">
        <f t="shared" si="275"/>
        <v>1.8910170371301919E+201</v>
      </c>
      <c r="VTD53" s="708">
        <f t="shared" si="275"/>
        <v>1.9477475482440977E+201</v>
      </c>
      <c r="VTE53" s="708">
        <f t="shared" si="275"/>
        <v>2.0061799746914207E+201</v>
      </c>
      <c r="VTF53" s="708">
        <f t="shared" si="275"/>
        <v>2.0663653739321633E+201</v>
      </c>
      <c r="VTG53" s="708">
        <f t="shared" si="275"/>
        <v>2.1283563351501283E+201</v>
      </c>
      <c r="VTH53" s="708">
        <f t="shared" si="275"/>
        <v>2.1922070252046321E+201</v>
      </c>
      <c r="VTI53" s="708">
        <f t="shared" si="275"/>
        <v>2.2579732359607711E+201</v>
      </c>
      <c r="VTJ53" s="708">
        <f t="shared" si="275"/>
        <v>2.3257124330395944E+201</v>
      </c>
      <c r="VTK53" s="708">
        <f t="shared" si="275"/>
        <v>2.3954838060307822E+201</v>
      </c>
      <c r="VTL53" s="708">
        <f t="shared" si="275"/>
        <v>2.4673483202117055E+201</v>
      </c>
      <c r="VTM53" s="708">
        <f t="shared" si="275"/>
        <v>2.5413687698180569E+201</v>
      </c>
      <c r="VTN53" s="708">
        <f t="shared" si="275"/>
        <v>2.6176098329125984E+201</v>
      </c>
      <c r="VTO53" s="708">
        <f t="shared" si="275"/>
        <v>2.6961381278999766E+201</v>
      </c>
      <c r="VTP53" s="708">
        <f t="shared" si="275"/>
        <v>2.7770222717369758E+201</v>
      </c>
      <c r="VTQ53" s="708">
        <f t="shared" si="275"/>
        <v>2.860332939889085E+201</v>
      </c>
      <c r="VTR53" s="708">
        <f t="shared" si="275"/>
        <v>2.9461429280857575E+201</v>
      </c>
      <c r="VTS53" s="708">
        <f t="shared" si="275"/>
        <v>3.0345272159283304E+201</v>
      </c>
      <c r="VTT53" s="708">
        <f t="shared" si="275"/>
        <v>3.1255630324061807E+201</v>
      </c>
      <c r="VTU53" s="708">
        <f t="shared" si="275"/>
        <v>3.2193299233783664E+201</v>
      </c>
      <c r="VTV53" s="708">
        <f t="shared" si="275"/>
        <v>3.3159098210797175E+201</v>
      </c>
      <c r="VTW53" s="708">
        <f t="shared" si="275"/>
        <v>3.4153871157121092E+201</v>
      </c>
      <c r="VTX53" s="708">
        <f t="shared" si="275"/>
        <v>3.5178487291834724E+201</v>
      </c>
      <c r="VTY53" s="708">
        <f t="shared" si="275"/>
        <v>3.6233841910589765E+201</v>
      </c>
      <c r="VTZ53" s="708">
        <f t="shared" si="275"/>
        <v>3.7320857167907457E+201</v>
      </c>
      <c r="VUA53" s="708">
        <f t="shared" si="275"/>
        <v>3.8440482882944681E+201</v>
      </c>
      <c r="VUB53" s="708">
        <f t="shared" si="275"/>
        <v>3.9593697369433021E+201</v>
      </c>
      <c r="VUC53" s="708">
        <f t="shared" si="275"/>
        <v>4.0781508290516012E+201</v>
      </c>
      <c r="VUD53" s="708">
        <f t="shared" si="275"/>
        <v>4.2004953539231495E+201</v>
      </c>
      <c r="VUE53" s="708">
        <f t="shared" si="275"/>
        <v>4.3265102145408442E+201</v>
      </c>
      <c r="VUF53" s="708">
        <f t="shared" si="275"/>
        <v>4.4563055209770698E+201</v>
      </c>
      <c r="VUG53" s="708">
        <f t="shared" si="275"/>
        <v>4.5899946866063822E+201</v>
      </c>
      <c r="VUH53" s="708">
        <f t="shared" si="275"/>
        <v>4.7276945272045738E+201</v>
      </c>
      <c r="VUI53" s="708">
        <f t="shared" si="275"/>
        <v>4.869525363020711E+201</v>
      </c>
      <c r="VUJ53" s="708">
        <f t="shared" si="275"/>
        <v>5.0156111239113328E+201</v>
      </c>
      <c r="VUK53" s="708">
        <f t="shared" si="275"/>
        <v>5.1660794576286728E+201</v>
      </c>
      <c r="VUL53" s="708">
        <f t="shared" ref="VUL53:VWW53" si="276">VUK53*$C$53</f>
        <v>5.3210618413575335E+201</v>
      </c>
      <c r="VUM53" s="708">
        <f t="shared" si="276"/>
        <v>5.4806936965982594E+201</v>
      </c>
      <c r="VUN53" s="708">
        <f t="shared" si="276"/>
        <v>5.6451145074962075E+201</v>
      </c>
      <c r="VUO53" s="708">
        <f t="shared" si="276"/>
        <v>5.8144679427210941E+201</v>
      </c>
      <c r="VUP53" s="708">
        <f t="shared" si="276"/>
        <v>5.988901981002727E+201</v>
      </c>
      <c r="VUQ53" s="708">
        <f t="shared" si="276"/>
        <v>6.1685690404328085E+201</v>
      </c>
      <c r="VUR53" s="708">
        <f t="shared" si="276"/>
        <v>6.3536261116457928E+201</v>
      </c>
      <c r="VUS53" s="708">
        <f t="shared" si="276"/>
        <v>6.5442348949951663E+201</v>
      </c>
      <c r="VUT53" s="708">
        <f t="shared" si="276"/>
        <v>6.7405619418450218E+201</v>
      </c>
      <c r="VUU53" s="708">
        <f t="shared" si="276"/>
        <v>6.942778800100373E+201</v>
      </c>
      <c r="VUV53" s="708">
        <f t="shared" si="276"/>
        <v>7.1510621641033848E+201</v>
      </c>
      <c r="VUW53" s="708">
        <f t="shared" si="276"/>
        <v>7.3655940290264868E+201</v>
      </c>
      <c r="VUX53" s="708">
        <f t="shared" si="276"/>
        <v>7.5865618498972813E+201</v>
      </c>
      <c r="VUY53" s="708">
        <f t="shared" si="276"/>
        <v>7.8141587053941995E+201</v>
      </c>
      <c r="VUZ53" s="708">
        <f t="shared" si="276"/>
        <v>8.0485834665560258E+201</v>
      </c>
      <c r="VVA53" s="708">
        <f t="shared" si="276"/>
        <v>8.2900409705527065E+201</v>
      </c>
      <c r="VVB53" s="708">
        <f t="shared" si="276"/>
        <v>8.5387421996692875E+201</v>
      </c>
      <c r="VVC53" s="708">
        <f t="shared" si="276"/>
        <v>8.7949044656593664E+201</v>
      </c>
      <c r="VVD53" s="708">
        <f t="shared" si="276"/>
        <v>9.0587515996291473E+201</v>
      </c>
      <c r="VVE53" s="708">
        <f t="shared" si="276"/>
        <v>9.330514147618022E+201</v>
      </c>
      <c r="VVF53" s="708">
        <f t="shared" si="276"/>
        <v>9.6104295720465628E+201</v>
      </c>
      <c r="VVG53" s="708">
        <f t="shared" si="276"/>
        <v>9.8987424592079596E+201</v>
      </c>
      <c r="VVH53" s="708">
        <f t="shared" si="276"/>
        <v>1.0195704732984199E+202</v>
      </c>
      <c r="VVI53" s="708">
        <f t="shared" si="276"/>
        <v>1.0501575874973726E+202</v>
      </c>
      <c r="VVJ53" s="708">
        <f t="shared" si="276"/>
        <v>1.0816623151222938E+202</v>
      </c>
      <c r="VVK53" s="708">
        <f t="shared" si="276"/>
        <v>1.1141121845759626E+202</v>
      </c>
      <c r="VVL53" s="708">
        <f t="shared" si="276"/>
        <v>1.1475355501132415E+202</v>
      </c>
      <c r="VVM53" s="708">
        <f t="shared" si="276"/>
        <v>1.1819616166166388E+202</v>
      </c>
      <c r="VVN53" s="708">
        <f t="shared" si="276"/>
        <v>1.217420465115138E+202</v>
      </c>
      <c r="VVO53" s="708">
        <f t="shared" si="276"/>
        <v>1.2539430790685921E+202</v>
      </c>
      <c r="VVP53" s="708">
        <f t="shared" si="276"/>
        <v>1.2915613714406499E+202</v>
      </c>
      <c r="VVQ53" s="708">
        <f t="shared" si="276"/>
        <v>1.3303082125838694E+202</v>
      </c>
      <c r="VVR53" s="708">
        <f t="shared" si="276"/>
        <v>1.3702174589613856E+202</v>
      </c>
      <c r="VVS53" s="708">
        <f t="shared" si="276"/>
        <v>1.4113239827302273E+202</v>
      </c>
      <c r="VVT53" s="708">
        <f t="shared" si="276"/>
        <v>1.4536637022121342E+202</v>
      </c>
      <c r="VVU53" s="708">
        <f t="shared" si="276"/>
        <v>1.4972736132784983E+202</v>
      </c>
      <c r="VVV53" s="708">
        <f t="shared" si="276"/>
        <v>1.5421918216768532E+202</v>
      </c>
      <c r="VVW53" s="708">
        <f t="shared" si="276"/>
        <v>1.5884575763271589E+202</v>
      </c>
      <c r="VVX53" s="708">
        <f t="shared" si="276"/>
        <v>1.6361113036169737E+202</v>
      </c>
      <c r="VVY53" s="708">
        <f t="shared" si="276"/>
        <v>1.685194642725483E+202</v>
      </c>
      <c r="VVZ53" s="708">
        <f t="shared" si="276"/>
        <v>1.7357504820072475E+202</v>
      </c>
      <c r="VWA53" s="708">
        <f t="shared" si="276"/>
        <v>1.787822996467465E+202</v>
      </c>
      <c r="VWB53" s="708">
        <f t="shared" si="276"/>
        <v>1.8414576863614889E+202</v>
      </c>
      <c r="VWC53" s="708">
        <f t="shared" si="276"/>
        <v>1.8967014169523336E+202</v>
      </c>
      <c r="VWD53" s="708">
        <f t="shared" si="276"/>
        <v>1.9536024594609038E+202</v>
      </c>
      <c r="VWE53" s="708">
        <f t="shared" si="276"/>
        <v>2.0122105332447308E+202</v>
      </c>
      <c r="VWF53" s="708">
        <f t="shared" si="276"/>
        <v>2.0725768492420726E+202</v>
      </c>
      <c r="VWG53" s="708">
        <f t="shared" si="276"/>
        <v>2.1347541547193348E+202</v>
      </c>
      <c r="VWH53" s="708">
        <f t="shared" si="276"/>
        <v>2.1987967793609147E+202</v>
      </c>
      <c r="VWI53" s="708">
        <f t="shared" si="276"/>
        <v>2.2647606827417423E+202</v>
      </c>
      <c r="VWJ53" s="708">
        <f t="shared" si="276"/>
        <v>2.3327035032239947E+202</v>
      </c>
      <c r="VWK53" s="708">
        <f t="shared" si="276"/>
        <v>2.4026846083207146E+202</v>
      </c>
      <c r="VWL53" s="708">
        <f t="shared" si="276"/>
        <v>2.4747651465703359E+202</v>
      </c>
      <c r="VWM53" s="708">
        <f t="shared" si="276"/>
        <v>2.549008100967446E+202</v>
      </c>
      <c r="VWN53" s="708">
        <f t="shared" si="276"/>
        <v>2.6254783439964693E+202</v>
      </c>
      <c r="VWO53" s="708">
        <f t="shared" si="276"/>
        <v>2.7042426943163636E+202</v>
      </c>
      <c r="VWP53" s="708">
        <f t="shared" si="276"/>
        <v>2.7853699751458548E+202</v>
      </c>
      <c r="VWQ53" s="708">
        <f t="shared" si="276"/>
        <v>2.8689310744002307E+202</v>
      </c>
      <c r="VWR53" s="708">
        <f t="shared" si="276"/>
        <v>2.9549990066322379E+202</v>
      </c>
      <c r="VWS53" s="708">
        <f t="shared" si="276"/>
        <v>3.0436489768312051E+202</v>
      </c>
      <c r="VWT53" s="708">
        <f t="shared" si="276"/>
        <v>3.1349584461361415E+202</v>
      </c>
      <c r="VWU53" s="708">
        <f t="shared" si="276"/>
        <v>3.2290071995202259E+202</v>
      </c>
      <c r="VWV53" s="708">
        <f t="shared" si="276"/>
        <v>3.3258774155058326E+202</v>
      </c>
      <c r="VWW53" s="708">
        <f t="shared" si="276"/>
        <v>3.4256537379710078E+202</v>
      </c>
      <c r="VWX53" s="708">
        <f t="shared" ref="VWX53:VZI53" si="277">VWW53*$C$53</f>
        <v>3.5284233501101382E+202</v>
      </c>
      <c r="VWY53" s="708">
        <f t="shared" si="277"/>
        <v>3.6342760506134425E+202</v>
      </c>
      <c r="VWZ53" s="708">
        <f t="shared" si="277"/>
        <v>3.7433043321318458E+202</v>
      </c>
      <c r="VXA53" s="708">
        <f t="shared" si="277"/>
        <v>3.8556034620958011E+202</v>
      </c>
      <c r="VXB53" s="708">
        <f t="shared" si="277"/>
        <v>3.9712715659586752E+202</v>
      </c>
      <c r="VXC53" s="708">
        <f t="shared" si="277"/>
        <v>4.0904097129374355E+202</v>
      </c>
      <c r="VXD53" s="708">
        <f t="shared" si="277"/>
        <v>4.2131220043255585E+202</v>
      </c>
      <c r="VXE53" s="708">
        <f t="shared" si="277"/>
        <v>4.3395156644553257E+202</v>
      </c>
      <c r="VXF53" s="708">
        <f t="shared" si="277"/>
        <v>4.4697011343889856E+202</v>
      </c>
      <c r="VXG53" s="708">
        <f t="shared" si="277"/>
        <v>4.6037921684206553E+202</v>
      </c>
      <c r="VXH53" s="708">
        <f t="shared" si="277"/>
        <v>4.741905933473275E+202</v>
      </c>
      <c r="VXI53" s="708">
        <f t="shared" si="277"/>
        <v>4.884163111477473E+202</v>
      </c>
      <c r="VXJ53" s="708">
        <f t="shared" si="277"/>
        <v>5.0306880048217974E+202</v>
      </c>
      <c r="VXK53" s="708">
        <f t="shared" si="277"/>
        <v>5.1816086449664514E+202</v>
      </c>
      <c r="VXL53" s="708">
        <f t="shared" si="277"/>
        <v>5.3370569043154455E+202</v>
      </c>
      <c r="VXM53" s="708">
        <f t="shared" si="277"/>
        <v>5.4971686114449092E+202</v>
      </c>
      <c r="VXN53" s="708">
        <f t="shared" si="277"/>
        <v>5.6620836697882563E+202</v>
      </c>
      <c r="VXO53" s="708">
        <f t="shared" si="277"/>
        <v>5.8319461798819045E+202</v>
      </c>
      <c r="VXP53" s="708">
        <f t="shared" si="277"/>
        <v>6.0069045652783616E+202</v>
      </c>
      <c r="VXQ53" s="708">
        <f t="shared" si="277"/>
        <v>6.1871117022367129E+202</v>
      </c>
      <c r="VXR53" s="708">
        <f t="shared" si="277"/>
        <v>6.3727250533038148E+202</v>
      </c>
      <c r="VXS53" s="708">
        <f t="shared" si="277"/>
        <v>6.5639068049029296E+202</v>
      </c>
      <c r="VXT53" s="708">
        <f t="shared" si="277"/>
        <v>6.7608240090500176E+202</v>
      </c>
      <c r="VXU53" s="708">
        <f t="shared" si="277"/>
        <v>6.9636487293215183E+202</v>
      </c>
      <c r="VXV53" s="708">
        <f t="shared" si="277"/>
        <v>7.1725581912011636E+202</v>
      </c>
      <c r="VXW53" s="708">
        <f t="shared" si="277"/>
        <v>7.387734936937199E+202</v>
      </c>
      <c r="VXX53" s="708">
        <f t="shared" si="277"/>
        <v>7.6093669850453156E+202</v>
      </c>
      <c r="VXY53" s="708">
        <f t="shared" si="277"/>
        <v>7.8376479945966755E+202</v>
      </c>
      <c r="VXZ53" s="708">
        <f t="shared" si="277"/>
        <v>8.0727774344345761E+202</v>
      </c>
      <c r="VYA53" s="708">
        <f t="shared" si="277"/>
        <v>8.3149607574676131E+202</v>
      </c>
      <c r="VYB53" s="708">
        <f t="shared" si="277"/>
        <v>8.5644095801916421E+202</v>
      </c>
      <c r="VYC53" s="708">
        <f t="shared" si="277"/>
        <v>8.8213418675973908E+202</v>
      </c>
      <c r="VYD53" s="708">
        <f t="shared" si="277"/>
        <v>9.0859821236253126E+202</v>
      </c>
      <c r="VYE53" s="708">
        <f t="shared" si="277"/>
        <v>9.3585615873340723E+202</v>
      </c>
      <c r="VYF53" s="708">
        <f t="shared" si="277"/>
        <v>9.6393184349540951E+202</v>
      </c>
      <c r="VYG53" s="708">
        <f t="shared" si="277"/>
        <v>9.9284979880027181E+202</v>
      </c>
      <c r="VYH53" s="708">
        <f t="shared" si="277"/>
        <v>1.0226352927642799E+203</v>
      </c>
      <c r="VYI53" s="708">
        <f t="shared" si="277"/>
        <v>1.0533143515472084E+203</v>
      </c>
      <c r="VYJ53" s="708">
        <f t="shared" si="277"/>
        <v>1.0849137820936247E+203</v>
      </c>
      <c r="VYK53" s="708">
        <f t="shared" si="277"/>
        <v>1.1174611955564335E+203</v>
      </c>
      <c r="VYL53" s="708">
        <f t="shared" si="277"/>
        <v>1.1509850314231265E+203</v>
      </c>
      <c r="VYM53" s="708">
        <f t="shared" si="277"/>
        <v>1.1855145823658203E+203</v>
      </c>
      <c r="VYN53" s="708">
        <f t="shared" si="277"/>
        <v>1.2210800198367949E+203</v>
      </c>
      <c r="VYO53" s="708">
        <f t="shared" si="277"/>
        <v>1.2577124204318988E+203</v>
      </c>
      <c r="VYP53" s="708">
        <f t="shared" si="277"/>
        <v>1.2954437930448557E+203</v>
      </c>
      <c r="VYQ53" s="708">
        <f t="shared" si="277"/>
        <v>1.3343071068362014E+203</v>
      </c>
      <c r="VYR53" s="708">
        <f t="shared" si="277"/>
        <v>1.3743363200412875E+203</v>
      </c>
      <c r="VYS53" s="708">
        <f t="shared" si="277"/>
        <v>1.4155664096425261E+203</v>
      </c>
      <c r="VYT53" s="708">
        <f t="shared" si="277"/>
        <v>1.458033401931802E+203</v>
      </c>
      <c r="VYU53" s="708">
        <f t="shared" si="277"/>
        <v>1.5017744039897561E+203</v>
      </c>
      <c r="VYV53" s="708">
        <f t="shared" si="277"/>
        <v>1.5468276361094488E+203</v>
      </c>
      <c r="VYW53" s="708">
        <f t="shared" si="277"/>
        <v>1.5932324651927323E+203</v>
      </c>
      <c r="VYX53" s="708">
        <f t="shared" si="277"/>
        <v>1.6410294391485142E+203</v>
      </c>
      <c r="VYY53" s="708">
        <f t="shared" si="277"/>
        <v>1.6902603223229697E+203</v>
      </c>
      <c r="VYZ53" s="708">
        <f t="shared" si="277"/>
        <v>1.7409681319926588E+203</v>
      </c>
      <c r="VZA53" s="708">
        <f t="shared" si="277"/>
        <v>1.7931971759524387E+203</v>
      </c>
      <c r="VZB53" s="708">
        <f t="shared" si="277"/>
        <v>1.8469930912310121E+203</v>
      </c>
      <c r="VZC53" s="708">
        <f t="shared" si="277"/>
        <v>1.9024028839679425E+203</v>
      </c>
      <c r="VZD53" s="708">
        <f t="shared" si="277"/>
        <v>1.9594749704869807E+203</v>
      </c>
      <c r="VZE53" s="708">
        <f t="shared" si="277"/>
        <v>2.0182592196015902E+203</v>
      </c>
      <c r="VZF53" s="708">
        <f t="shared" si="277"/>
        <v>2.0788069961896379E+203</v>
      </c>
      <c r="VZG53" s="708">
        <f t="shared" si="277"/>
        <v>2.141171206075327E+203</v>
      </c>
      <c r="VZH53" s="708">
        <f t="shared" si="277"/>
        <v>2.2054063422575867E+203</v>
      </c>
      <c r="VZI53" s="708">
        <f t="shared" si="277"/>
        <v>2.2715685325253144E+203</v>
      </c>
      <c r="VZJ53" s="708">
        <f t="shared" ref="VZJ53:WBU53" si="278">VZI53*$C$53</f>
        <v>2.3397155885010738E+203</v>
      </c>
      <c r="VZK53" s="708">
        <f t="shared" si="278"/>
        <v>2.4099070561561059E+203</v>
      </c>
      <c r="VZL53" s="708">
        <f t="shared" si="278"/>
        <v>2.4822042678407891E+203</v>
      </c>
      <c r="VZM53" s="708">
        <f t="shared" si="278"/>
        <v>2.5566703958760127E+203</v>
      </c>
      <c r="VZN53" s="708">
        <f t="shared" si="278"/>
        <v>2.6333705077522933E+203</v>
      </c>
      <c r="VZO53" s="708">
        <f t="shared" si="278"/>
        <v>2.712371622984862E+203</v>
      </c>
      <c r="VZP53" s="708">
        <f t="shared" si="278"/>
        <v>2.7937427716744078E+203</v>
      </c>
      <c r="VZQ53" s="708">
        <f t="shared" si="278"/>
        <v>2.87755505482464E+203</v>
      </c>
      <c r="VZR53" s="708">
        <f t="shared" si="278"/>
        <v>2.9638817064693792E+203</v>
      </c>
      <c r="VZS53" s="708">
        <f t="shared" si="278"/>
        <v>3.0527981576634606E+203</v>
      </c>
      <c r="VZT53" s="708">
        <f t="shared" si="278"/>
        <v>3.1443821023933642E+203</v>
      </c>
      <c r="VZU53" s="708">
        <f t="shared" si="278"/>
        <v>3.238713565465165E+203</v>
      </c>
      <c r="VZV53" s="708">
        <f t="shared" si="278"/>
        <v>3.3358749724291199E+203</v>
      </c>
      <c r="VZW53" s="708">
        <f t="shared" si="278"/>
        <v>3.4359512216019939E+203</v>
      </c>
      <c r="VZX53" s="708">
        <f t="shared" si="278"/>
        <v>3.5390297582500536E+203</v>
      </c>
      <c r="VZY53" s="708">
        <f t="shared" si="278"/>
        <v>3.645200650997555E+203</v>
      </c>
      <c r="VZZ53" s="708">
        <f t="shared" si="278"/>
        <v>3.7545566705274819E+203</v>
      </c>
      <c r="WAA53" s="708">
        <f t="shared" si="278"/>
        <v>3.8671933706433067E+203</v>
      </c>
      <c r="WAB53" s="708">
        <f t="shared" si="278"/>
        <v>3.9832091717626059E+203</v>
      </c>
      <c r="WAC53" s="708">
        <f t="shared" si="278"/>
        <v>4.1027054469154843E+203</v>
      </c>
      <c r="WAD53" s="708">
        <f t="shared" si="278"/>
        <v>4.225786610322949E+203</v>
      </c>
      <c r="WAE53" s="708">
        <f t="shared" si="278"/>
        <v>4.3525602086326375E+203</v>
      </c>
      <c r="WAF53" s="708">
        <f t="shared" si="278"/>
        <v>4.4831370148916169E+203</v>
      </c>
      <c r="WAG53" s="708">
        <f t="shared" si="278"/>
        <v>4.6176311253383657E+203</v>
      </c>
      <c r="WAH53" s="708">
        <f t="shared" si="278"/>
        <v>4.7561600590985168E+203</v>
      </c>
      <c r="WAI53" s="708">
        <f t="shared" si="278"/>
        <v>4.8988448608714724E+203</v>
      </c>
      <c r="WAJ53" s="708">
        <f t="shared" si="278"/>
        <v>5.0458102066976168E+203</v>
      </c>
      <c r="WAK53" s="708">
        <f t="shared" si="278"/>
        <v>5.1971845128985456E+203</v>
      </c>
      <c r="WAL53" s="708">
        <f t="shared" si="278"/>
        <v>5.353100048285502E+203</v>
      </c>
      <c r="WAM53" s="708">
        <f t="shared" si="278"/>
        <v>5.5136930497340676E+203</v>
      </c>
      <c r="WAN53" s="708">
        <f t="shared" si="278"/>
        <v>5.6791038412260895E+203</v>
      </c>
      <c r="WAO53" s="708">
        <f t="shared" si="278"/>
        <v>5.8494769564628723E+203</v>
      </c>
      <c r="WAP53" s="708">
        <f t="shared" si="278"/>
        <v>6.0249612651567584E+203</v>
      </c>
      <c r="WAQ53" s="708">
        <f t="shared" si="278"/>
        <v>6.2057101031114614E+203</v>
      </c>
      <c r="WAR53" s="708">
        <f t="shared" si="278"/>
        <v>6.3918814062048059E+203</v>
      </c>
      <c r="WAS53" s="708">
        <f t="shared" si="278"/>
        <v>6.5836378483909502E+203</v>
      </c>
      <c r="WAT53" s="708">
        <f t="shared" si="278"/>
        <v>6.7811469838426787E+203</v>
      </c>
      <c r="WAU53" s="708">
        <f t="shared" si="278"/>
        <v>6.9845813933579591E+203</v>
      </c>
      <c r="WAV53" s="708">
        <f t="shared" si="278"/>
        <v>7.1941188351586984E+203</v>
      </c>
      <c r="WAW53" s="708">
        <f t="shared" si="278"/>
        <v>7.4099424002134597E+203</v>
      </c>
      <c r="WAX53" s="708">
        <f t="shared" si="278"/>
        <v>7.632240672219863E+203</v>
      </c>
      <c r="WAY53" s="708">
        <f t="shared" si="278"/>
        <v>7.8612078923864584E+203</v>
      </c>
      <c r="WAZ53" s="708">
        <f t="shared" si="278"/>
        <v>8.0970441291580526E+203</v>
      </c>
      <c r="WBA53" s="708">
        <f t="shared" si="278"/>
        <v>8.339955453032794E+203</v>
      </c>
      <c r="WBB53" s="708">
        <f t="shared" si="278"/>
        <v>8.5901541166237782E+203</v>
      </c>
      <c r="WBC53" s="708">
        <f t="shared" si="278"/>
        <v>8.8478587401224923E+203</v>
      </c>
      <c r="WBD53" s="708">
        <f t="shared" si="278"/>
        <v>9.1132945023261671E+203</v>
      </c>
      <c r="WBE53" s="708">
        <f t="shared" si="278"/>
        <v>9.3866933373959524E+203</v>
      </c>
      <c r="WBF53" s="708">
        <f t="shared" si="278"/>
        <v>9.6682941375178308E+203</v>
      </c>
      <c r="WBG53" s="708">
        <f t="shared" si="278"/>
        <v>9.9583429616433653E+203</v>
      </c>
      <c r="WBH53" s="708">
        <f t="shared" si="278"/>
        <v>1.0257093250492667E+204</v>
      </c>
      <c r="WBI53" s="708">
        <f t="shared" si="278"/>
        <v>1.0564806048007448E+204</v>
      </c>
      <c r="WBJ53" s="708">
        <f t="shared" si="278"/>
        <v>1.0881750229447671E+204</v>
      </c>
      <c r="WBK53" s="708">
        <f t="shared" si="278"/>
        <v>1.1208202736331102E+204</v>
      </c>
      <c r="WBL53" s="708">
        <f t="shared" si="278"/>
        <v>1.1544448818421035E+204</v>
      </c>
      <c r="WBM53" s="708">
        <f t="shared" si="278"/>
        <v>1.1890782282973666E+204</v>
      </c>
      <c r="WBN53" s="708">
        <f t="shared" si="278"/>
        <v>1.2247505751462876E+204</v>
      </c>
      <c r="WBO53" s="708">
        <f t="shared" si="278"/>
        <v>1.2614930924006762E+204</v>
      </c>
      <c r="WBP53" s="708">
        <f t="shared" si="278"/>
        <v>1.2993378851726965E+204</v>
      </c>
      <c r="WBQ53" s="708">
        <f t="shared" si="278"/>
        <v>1.3383180217278775E+204</v>
      </c>
      <c r="WBR53" s="708">
        <f t="shared" si="278"/>
        <v>1.3784675623797139E+204</v>
      </c>
      <c r="WBS53" s="708">
        <f t="shared" si="278"/>
        <v>1.4198215892511054E+204</v>
      </c>
      <c r="WBT53" s="708">
        <f t="shared" si="278"/>
        <v>1.4624162369286387E+204</v>
      </c>
      <c r="WBU53" s="708">
        <f t="shared" si="278"/>
        <v>1.5062887240364979E+204</v>
      </c>
      <c r="WBV53" s="708">
        <f t="shared" ref="WBV53:WEG53" si="279">WBU53*$C$53</f>
        <v>1.5514773857575928E+204</v>
      </c>
      <c r="WBW53" s="708">
        <f t="shared" si="279"/>
        <v>1.5980217073303207E+204</v>
      </c>
      <c r="WBX53" s="708">
        <f t="shared" si="279"/>
        <v>1.6459623585502303E+204</v>
      </c>
      <c r="WBY53" s="708">
        <f t="shared" si="279"/>
        <v>1.6953412293067373E+204</v>
      </c>
      <c r="WBZ53" s="708">
        <f t="shared" si="279"/>
        <v>1.7462014661859395E+204</v>
      </c>
      <c r="WCA53" s="708">
        <f t="shared" si="279"/>
        <v>1.7985875101715177E+204</v>
      </c>
      <c r="WCB53" s="708">
        <f t="shared" si="279"/>
        <v>1.8525451354766633E+204</v>
      </c>
      <c r="WCC53" s="708">
        <f t="shared" si="279"/>
        <v>1.9081214895409632E+204</v>
      </c>
      <c r="WCD53" s="708">
        <f t="shared" si="279"/>
        <v>1.9653651342271921E+204</v>
      </c>
      <c r="WCE53" s="708">
        <f t="shared" si="279"/>
        <v>2.024326088254008E+204</v>
      </c>
      <c r="WCF53" s="708">
        <f t="shared" si="279"/>
        <v>2.0850558709016285E+204</v>
      </c>
      <c r="WCG53" s="708">
        <f t="shared" si="279"/>
        <v>2.1476075470286775E+204</v>
      </c>
      <c r="WCH53" s="708">
        <f t="shared" si="279"/>
        <v>2.2120357734395379E+204</v>
      </c>
      <c r="WCI53" s="708">
        <f t="shared" si="279"/>
        <v>2.2783968466427241E+204</v>
      </c>
      <c r="WCJ53" s="708">
        <f t="shared" si="279"/>
        <v>2.346748752042006E+204</v>
      </c>
      <c r="WCK53" s="708">
        <f t="shared" si="279"/>
        <v>2.4171512146032662E+204</v>
      </c>
      <c r="WCL53" s="708">
        <f t="shared" si="279"/>
        <v>2.4896657510413642E+204</v>
      </c>
      <c r="WCM53" s="708">
        <f t="shared" si="279"/>
        <v>2.5643557235726055E+204</v>
      </c>
      <c r="WCN53" s="708">
        <f t="shared" si="279"/>
        <v>2.6412863952797839E+204</v>
      </c>
      <c r="WCO53" s="708">
        <f t="shared" si="279"/>
        <v>2.7205249871381773E+204</v>
      </c>
      <c r="WCP53" s="708">
        <f t="shared" si="279"/>
        <v>2.8021407367523226E+204</v>
      </c>
      <c r="WCQ53" s="708">
        <f t="shared" si="279"/>
        <v>2.8862049588548922E+204</v>
      </c>
      <c r="WCR53" s="708">
        <f t="shared" si="279"/>
        <v>2.9727911076205391E+204</v>
      </c>
      <c r="WCS53" s="708">
        <f t="shared" si="279"/>
        <v>3.0619748408491553E+204</v>
      </c>
      <c r="WCT53" s="708">
        <f t="shared" si="279"/>
        <v>3.1538340860746298E+204</v>
      </c>
      <c r="WCU53" s="708">
        <f t="shared" si="279"/>
        <v>3.2484491086568688E+204</v>
      </c>
      <c r="WCV53" s="708">
        <f t="shared" si="279"/>
        <v>3.3459025819165752E+204</v>
      </c>
      <c r="WCW53" s="708">
        <f t="shared" si="279"/>
        <v>3.4462796593740723E+204</v>
      </c>
      <c r="WCX53" s="708">
        <f t="shared" si="279"/>
        <v>3.5496680491552944E+204</v>
      </c>
      <c r="WCY53" s="708">
        <f t="shared" si="279"/>
        <v>3.6561580906299536E+204</v>
      </c>
      <c r="WCZ53" s="708">
        <f t="shared" si="279"/>
        <v>3.7658428333488521E+204</v>
      </c>
      <c r="WDA53" s="708">
        <f t="shared" si="279"/>
        <v>3.8788181183493178E+204</v>
      </c>
      <c r="WDB53" s="708">
        <f t="shared" si="279"/>
        <v>3.9951826618997972E+204</v>
      </c>
      <c r="WDC53" s="708">
        <f t="shared" si="279"/>
        <v>4.1150381417567912E+204</v>
      </c>
      <c r="WDD53" s="708">
        <f t="shared" si="279"/>
        <v>4.238489286009495E+204</v>
      </c>
      <c r="WDE53" s="708">
        <f t="shared" si="279"/>
        <v>4.3656439645897798E+204</v>
      </c>
      <c r="WDF53" s="708">
        <f t="shared" si="279"/>
        <v>4.4966132835274732E+204</v>
      </c>
      <c r="WDG53" s="708">
        <f t="shared" si="279"/>
        <v>4.6315116820332975E+204</v>
      </c>
      <c r="WDH53" s="708">
        <f t="shared" si="279"/>
        <v>4.7704570324942963E+204</v>
      </c>
      <c r="WDI53" s="708">
        <f t="shared" si="279"/>
        <v>4.9135707434691254E+204</v>
      </c>
      <c r="WDJ53" s="708">
        <f t="shared" si="279"/>
        <v>5.0609778657731998E+204</v>
      </c>
      <c r="WDK53" s="708">
        <f t="shared" si="279"/>
        <v>5.2128072017463963E+204</v>
      </c>
      <c r="WDL53" s="708">
        <f t="shared" si="279"/>
        <v>5.3691914177987888E+204</v>
      </c>
      <c r="WDM53" s="708">
        <f t="shared" si="279"/>
        <v>5.5302671603327523E+204</v>
      </c>
      <c r="WDN53" s="708">
        <f t="shared" si="279"/>
        <v>5.6961751751427351E+204</v>
      </c>
      <c r="WDO53" s="708">
        <f t="shared" si="279"/>
        <v>5.8670604303970174E+204</v>
      </c>
      <c r="WDP53" s="708">
        <f t="shared" si="279"/>
        <v>6.0430722433089276E+204</v>
      </c>
      <c r="WDQ53" s="708">
        <f t="shared" si="279"/>
        <v>6.2243644106081952E+204</v>
      </c>
      <c r="WDR53" s="708">
        <f t="shared" si="279"/>
        <v>6.4110953429264413E+204</v>
      </c>
      <c r="WDS53" s="708">
        <f t="shared" si="279"/>
        <v>6.6034282032142346E+204</v>
      </c>
      <c r="WDT53" s="708">
        <f t="shared" si="279"/>
        <v>6.8015310493106615E+204</v>
      </c>
      <c r="WDU53" s="708">
        <f t="shared" si="279"/>
        <v>7.0055769807899813E+204</v>
      </c>
      <c r="WDV53" s="708">
        <f t="shared" si="279"/>
        <v>7.2157442902136804E+204</v>
      </c>
      <c r="WDW53" s="708">
        <f t="shared" si="279"/>
        <v>7.4322166189200916E+204</v>
      </c>
      <c r="WDX53" s="708">
        <f t="shared" si="279"/>
        <v>7.6551831174876942E+204</v>
      </c>
      <c r="WDY53" s="708">
        <f t="shared" si="279"/>
        <v>7.8848386110123253E+204</v>
      </c>
      <c r="WDZ53" s="708">
        <f t="shared" si="279"/>
        <v>8.1213837693426948E+204</v>
      </c>
      <c r="WEA53" s="708">
        <f t="shared" si="279"/>
        <v>8.3650252824229758E+204</v>
      </c>
      <c r="WEB53" s="708">
        <f t="shared" si="279"/>
        <v>8.6159760408956657E+204</v>
      </c>
      <c r="WEC53" s="708">
        <f t="shared" si="279"/>
        <v>8.8744553221225364E+204</v>
      </c>
      <c r="WED53" s="708">
        <f t="shared" si="279"/>
        <v>9.1406889817862128E+204</v>
      </c>
      <c r="WEE53" s="708">
        <f t="shared" si="279"/>
        <v>9.4149096512397995E+204</v>
      </c>
      <c r="WEF53" s="708">
        <f t="shared" si="279"/>
        <v>9.6973569407769933E+204</v>
      </c>
      <c r="WEG53" s="708">
        <f t="shared" si="279"/>
        <v>9.9882776490003033E+204</v>
      </c>
      <c r="WEH53" s="708">
        <f t="shared" ref="WEH53:WGS53" si="280">WEG53*$C$53</f>
        <v>1.0287925978470312E+205</v>
      </c>
      <c r="WEI53" s="708">
        <f t="shared" si="280"/>
        <v>1.0596563757824422E+205</v>
      </c>
      <c r="WEJ53" s="708">
        <f t="shared" si="280"/>
        <v>1.0914460670559155E+205</v>
      </c>
      <c r="WEK53" s="708">
        <f t="shared" si="280"/>
        <v>1.1241894490675929E+205</v>
      </c>
      <c r="WEL53" s="708">
        <f t="shared" si="280"/>
        <v>1.1579151325396208E+205</v>
      </c>
      <c r="WEM53" s="708">
        <f t="shared" si="280"/>
        <v>1.1926525865158094E+205</v>
      </c>
      <c r="WEN53" s="708">
        <f t="shared" si="280"/>
        <v>1.2284321641112836E+205</v>
      </c>
      <c r="WEO53" s="708">
        <f t="shared" si="280"/>
        <v>1.2652851290346223E+205</v>
      </c>
      <c r="WEP53" s="708">
        <f t="shared" si="280"/>
        <v>1.303243682905661E+205</v>
      </c>
      <c r="WEQ53" s="708">
        <f t="shared" si="280"/>
        <v>1.3423409933928309E+205</v>
      </c>
      <c r="WER53" s="708">
        <f t="shared" si="280"/>
        <v>1.3826112231946159E+205</v>
      </c>
      <c r="WES53" s="708">
        <f t="shared" si="280"/>
        <v>1.4240895598904544E+205</v>
      </c>
      <c r="WET53" s="708">
        <f t="shared" si="280"/>
        <v>1.4668122466871681E+205</v>
      </c>
      <c r="WEU53" s="708">
        <f t="shared" si="280"/>
        <v>1.5108166140877832E+205</v>
      </c>
      <c r="WEV53" s="708">
        <f t="shared" si="280"/>
        <v>1.5561411125104167E+205</v>
      </c>
      <c r="WEW53" s="708">
        <f t="shared" si="280"/>
        <v>1.6028253458857293E+205</v>
      </c>
      <c r="WEX53" s="708">
        <f t="shared" si="280"/>
        <v>1.6509101062623012E+205</v>
      </c>
      <c r="WEY53" s="708">
        <f t="shared" si="280"/>
        <v>1.7004374094501704E+205</v>
      </c>
      <c r="WEZ53" s="708">
        <f t="shared" si="280"/>
        <v>1.7514505317336756E+205</v>
      </c>
      <c r="WFA53" s="708">
        <f t="shared" si="280"/>
        <v>1.8039940476856858E+205</v>
      </c>
      <c r="WFB53" s="708">
        <f t="shared" si="280"/>
        <v>1.8581138691162564E+205</v>
      </c>
      <c r="WFC53" s="708">
        <f t="shared" si="280"/>
        <v>1.9138572851897441E+205</v>
      </c>
      <c r="WFD53" s="708">
        <f t="shared" si="280"/>
        <v>1.9712730037454365E+205</v>
      </c>
      <c r="WFE53" s="708">
        <f t="shared" si="280"/>
        <v>2.0304111938577995E+205</v>
      </c>
      <c r="WFF53" s="708">
        <f t="shared" si="280"/>
        <v>2.0913235296735335E+205</v>
      </c>
      <c r="WFG53" s="708">
        <f t="shared" si="280"/>
        <v>2.1540632355637397E+205</v>
      </c>
      <c r="WFH53" s="708">
        <f t="shared" si="280"/>
        <v>2.2186851326306519E+205</v>
      </c>
      <c r="WFI53" s="708">
        <f t="shared" si="280"/>
        <v>2.2852456866095717E+205</v>
      </c>
      <c r="WFJ53" s="708">
        <f t="shared" si="280"/>
        <v>2.3538030572078589E+205</v>
      </c>
      <c r="WFK53" s="708">
        <f t="shared" si="280"/>
        <v>2.4244171489240949E+205</v>
      </c>
      <c r="WFL53" s="708">
        <f t="shared" si="280"/>
        <v>2.4971496633918178E+205</v>
      </c>
      <c r="WFM53" s="708">
        <f t="shared" si="280"/>
        <v>2.5720641532935724E+205</v>
      </c>
      <c r="WFN53" s="708">
        <f t="shared" si="280"/>
        <v>2.6492260778923798E+205</v>
      </c>
      <c r="WFO53" s="708">
        <f t="shared" si="280"/>
        <v>2.7287028602291514E+205</v>
      </c>
      <c r="WFP53" s="708">
        <f t="shared" si="280"/>
        <v>2.8105639460360262E+205</v>
      </c>
      <c r="WFQ53" s="708">
        <f t="shared" si="280"/>
        <v>2.894880864417107E+205</v>
      </c>
      <c r="WFR53" s="708">
        <f t="shared" si="280"/>
        <v>2.9817272903496204E+205</v>
      </c>
      <c r="WFS53" s="708">
        <f t="shared" si="280"/>
        <v>3.0711791090601092E+205</v>
      </c>
      <c r="WFT53" s="708">
        <f t="shared" si="280"/>
        <v>3.1633144823319125E+205</v>
      </c>
      <c r="WFU53" s="708">
        <f t="shared" si="280"/>
        <v>3.2582139168018701E+205</v>
      </c>
      <c r="WFV53" s="708">
        <f t="shared" si="280"/>
        <v>3.3559603343059262E+205</v>
      </c>
      <c r="WFW53" s="708">
        <f t="shared" si="280"/>
        <v>3.4566391443351041E+205</v>
      </c>
      <c r="WFX53" s="708">
        <f t="shared" si="280"/>
        <v>3.5603383186651572E+205</v>
      </c>
      <c r="WFY53" s="708">
        <f t="shared" si="280"/>
        <v>3.6671484682251122E+205</v>
      </c>
      <c r="WFZ53" s="708">
        <f t="shared" si="280"/>
        <v>3.7771629222718656E+205</v>
      </c>
      <c r="WGA53" s="708">
        <f t="shared" si="280"/>
        <v>3.8904778099400216E+205</v>
      </c>
      <c r="WGB53" s="708">
        <f t="shared" si="280"/>
        <v>4.0071921442382225E+205</v>
      </c>
      <c r="WGC53" s="708">
        <f t="shared" si="280"/>
        <v>4.1274079085653695E+205</v>
      </c>
      <c r="WGD53" s="708">
        <f t="shared" si="280"/>
        <v>4.2512301458223304E+205</v>
      </c>
      <c r="WGE53" s="708">
        <f t="shared" si="280"/>
        <v>4.3787670501970003E+205</v>
      </c>
      <c r="WGF53" s="708">
        <f t="shared" si="280"/>
        <v>4.5101300617029106E+205</v>
      </c>
      <c r="WGG53" s="708">
        <f t="shared" si="280"/>
        <v>4.6454339635539983E+205</v>
      </c>
      <c r="WGH53" s="708">
        <f t="shared" si="280"/>
        <v>4.7847969824606182E+205</v>
      </c>
      <c r="WGI53" s="708">
        <f t="shared" si="280"/>
        <v>4.9283408919344369E+205</v>
      </c>
      <c r="WGJ53" s="708">
        <f t="shared" si="280"/>
        <v>5.0761911186924701E+205</v>
      </c>
      <c r="WGK53" s="708">
        <f t="shared" si="280"/>
        <v>5.2284768522532442E+205</v>
      </c>
      <c r="WGL53" s="708">
        <f t="shared" si="280"/>
        <v>5.3853311578208418E+205</v>
      </c>
      <c r="WGM53" s="708">
        <f t="shared" si="280"/>
        <v>5.5468910925554671E+205</v>
      </c>
      <c r="WGN53" s="708">
        <f t="shared" si="280"/>
        <v>5.7132978253321314E+205</v>
      </c>
      <c r="WGO53" s="708">
        <f t="shared" si="280"/>
        <v>5.8846967600920955E+205</v>
      </c>
      <c r="WGP53" s="708">
        <f t="shared" si="280"/>
        <v>6.0612376628948589E+205</v>
      </c>
      <c r="WGQ53" s="708">
        <f t="shared" si="280"/>
        <v>6.2430747927817046E+205</v>
      </c>
      <c r="WGR53" s="708">
        <f t="shared" si="280"/>
        <v>6.4303670365651562E+205</v>
      </c>
      <c r="WGS53" s="708">
        <f t="shared" si="280"/>
        <v>6.6232780476621107E+205</v>
      </c>
      <c r="WGT53" s="708">
        <f t="shared" ref="WGT53:WJE53" si="281">WGS53*$C$53</f>
        <v>6.8219763890919746E+205</v>
      </c>
      <c r="WGU53" s="708">
        <f t="shared" si="281"/>
        <v>7.0266356807647337E+205</v>
      </c>
      <c r="WGV53" s="708">
        <f t="shared" si="281"/>
        <v>7.2374347511876758E+205</v>
      </c>
      <c r="WGW53" s="708">
        <f t="shared" si="281"/>
        <v>7.4545577937233063E+205</v>
      </c>
      <c r="WGX53" s="708">
        <f t="shared" si="281"/>
        <v>7.6781945275350053E+205</v>
      </c>
      <c r="WGY53" s="708">
        <f t="shared" si="281"/>
        <v>7.9085403633610555E+205</v>
      </c>
      <c r="WGZ53" s="708">
        <f t="shared" si="281"/>
        <v>8.1457965742618879E+205</v>
      </c>
      <c r="WHA53" s="708">
        <f t="shared" si="281"/>
        <v>8.3901704714897454E+205</v>
      </c>
      <c r="WHB53" s="708">
        <f t="shared" si="281"/>
        <v>8.6418755856344371E+205</v>
      </c>
      <c r="WHC53" s="708">
        <f t="shared" si="281"/>
        <v>8.9011318532034708E+205</v>
      </c>
      <c r="WHD53" s="708">
        <f t="shared" si="281"/>
        <v>9.1681658087995742E+205</v>
      </c>
      <c r="WHE53" s="708">
        <f t="shared" si="281"/>
        <v>9.4432107830635611E+205</v>
      </c>
      <c r="WHF53" s="708">
        <f t="shared" si="281"/>
        <v>9.7265071065554676E+205</v>
      </c>
      <c r="WHG53" s="708">
        <f t="shared" si="281"/>
        <v>1.0018302319752131E+206</v>
      </c>
      <c r="WHH53" s="708">
        <f t="shared" si="281"/>
        <v>1.0318851389344695E+206</v>
      </c>
      <c r="WHI53" s="708">
        <f t="shared" si="281"/>
        <v>1.0628416931025035E+206</v>
      </c>
      <c r="WHJ53" s="708">
        <f t="shared" si="281"/>
        <v>1.0947269438955787E+206</v>
      </c>
      <c r="WHK53" s="708">
        <f t="shared" si="281"/>
        <v>1.1275687522124461E+206</v>
      </c>
      <c r="WHL53" s="708">
        <f t="shared" si="281"/>
        <v>1.1613958147788196E+206</v>
      </c>
      <c r="WHM53" s="708">
        <f t="shared" si="281"/>
        <v>1.1962376892221842E+206</v>
      </c>
      <c r="WHN53" s="708">
        <f t="shared" si="281"/>
        <v>1.2321248198988498E+206</v>
      </c>
      <c r="WHO53" s="708">
        <f t="shared" si="281"/>
        <v>1.2690885644958153E+206</v>
      </c>
      <c r="WHP53" s="708">
        <f t="shared" si="281"/>
        <v>1.3071612214306899E+206</v>
      </c>
      <c r="WHQ53" s="708">
        <f t="shared" si="281"/>
        <v>1.3463760580736106E+206</v>
      </c>
      <c r="WHR53" s="708">
        <f t="shared" si="281"/>
        <v>1.386767339815819E+206</v>
      </c>
      <c r="WHS53" s="708">
        <f t="shared" si="281"/>
        <v>1.4283703600102935E+206</v>
      </c>
      <c r="WHT53" s="708">
        <f t="shared" si="281"/>
        <v>1.4712214708106023E+206</v>
      </c>
      <c r="WHU53" s="708">
        <f t="shared" si="281"/>
        <v>1.5153581149349204E+206</v>
      </c>
      <c r="WHV53" s="708">
        <f t="shared" si="281"/>
        <v>1.5608188583829681E+206</v>
      </c>
      <c r="WHW53" s="708">
        <f t="shared" si="281"/>
        <v>1.6076434241344571E+206</v>
      </c>
      <c r="WHX53" s="708">
        <f t="shared" si="281"/>
        <v>1.6558727268584909E+206</v>
      </c>
      <c r="WHY53" s="708">
        <f t="shared" si="281"/>
        <v>1.7055489086642457E+206</v>
      </c>
      <c r="WHZ53" s="708">
        <f t="shared" si="281"/>
        <v>1.7567153759241732E+206</v>
      </c>
      <c r="WIA53" s="708">
        <f t="shared" si="281"/>
        <v>1.8094168372018985E+206</v>
      </c>
      <c r="WIB53" s="708">
        <f t="shared" si="281"/>
        <v>1.8636993423179555E+206</v>
      </c>
      <c r="WIC53" s="708">
        <f t="shared" si="281"/>
        <v>1.9196103225874942E+206</v>
      </c>
      <c r="WID53" s="708">
        <f t="shared" si="281"/>
        <v>1.9771986322651191E+206</v>
      </c>
      <c r="WIE53" s="708">
        <f t="shared" si="281"/>
        <v>2.0365145912330727E+206</v>
      </c>
      <c r="WIF53" s="708">
        <f t="shared" si="281"/>
        <v>2.0976100289700647E+206</v>
      </c>
      <c r="WIG53" s="708">
        <f t="shared" si="281"/>
        <v>2.1605383298391669E+206</v>
      </c>
      <c r="WIH53" s="708">
        <f t="shared" si="281"/>
        <v>2.2253544797343421E+206</v>
      </c>
      <c r="WII53" s="708">
        <f t="shared" si="281"/>
        <v>2.2921151141263722E+206</v>
      </c>
      <c r="WIJ53" s="708">
        <f t="shared" si="281"/>
        <v>2.3608785675501635E+206</v>
      </c>
      <c r="WIK53" s="708">
        <f t="shared" si="281"/>
        <v>2.4317049245766685E+206</v>
      </c>
      <c r="WIL53" s="708">
        <f t="shared" si="281"/>
        <v>2.5046560723139687E+206</v>
      </c>
      <c r="WIM53" s="708">
        <f t="shared" si="281"/>
        <v>2.579795754483388E+206</v>
      </c>
      <c r="WIN53" s="708">
        <f t="shared" si="281"/>
        <v>2.6571896271178897E+206</v>
      </c>
      <c r="WIO53" s="708">
        <f t="shared" si="281"/>
        <v>2.7369053159314265E+206</v>
      </c>
      <c r="WIP53" s="708">
        <f t="shared" si="281"/>
        <v>2.8190124754093693E+206</v>
      </c>
      <c r="WIQ53" s="708">
        <f t="shared" si="281"/>
        <v>2.9035828496716506E+206</v>
      </c>
      <c r="WIR53" s="708">
        <f t="shared" si="281"/>
        <v>2.9906903351618001E+206</v>
      </c>
      <c r="WIS53" s="708">
        <f t="shared" si="281"/>
        <v>3.0804110452166543E+206</v>
      </c>
      <c r="WIT53" s="708">
        <f t="shared" si="281"/>
        <v>3.1728233765731539E+206</v>
      </c>
      <c r="WIU53" s="708">
        <f t="shared" si="281"/>
        <v>3.2680080778703484E+206</v>
      </c>
      <c r="WIV53" s="708">
        <f t="shared" si="281"/>
        <v>3.3660483202064587E+206</v>
      </c>
      <c r="WIW53" s="708">
        <f t="shared" si="281"/>
        <v>3.4670297698126526E+206</v>
      </c>
      <c r="WIX53" s="708">
        <f t="shared" si="281"/>
        <v>3.5710406629070323E+206</v>
      </c>
      <c r="WIY53" s="708">
        <f t="shared" si="281"/>
        <v>3.6781718827942433E+206</v>
      </c>
      <c r="WIZ53" s="708">
        <f t="shared" si="281"/>
        <v>3.7885170392780708E+206</v>
      </c>
      <c r="WJA53" s="708">
        <f t="shared" si="281"/>
        <v>3.9021725504564134E+206</v>
      </c>
      <c r="WJB53" s="708">
        <f t="shared" si="281"/>
        <v>4.0192377269701057E+206</v>
      </c>
      <c r="WJC53" s="708">
        <f t="shared" si="281"/>
        <v>4.1398148587792089E+206</v>
      </c>
      <c r="WJD53" s="708">
        <f t="shared" si="281"/>
        <v>4.2640093045425855E+206</v>
      </c>
      <c r="WJE53" s="708">
        <f t="shared" si="281"/>
        <v>4.3919295836788632E+206</v>
      </c>
      <c r="WJF53" s="708">
        <f t="shared" ref="WJF53:WLQ53" si="282">WJE53*$C$53</f>
        <v>4.5236874711892289E+206</v>
      </c>
      <c r="WJG53" s="708">
        <f t="shared" si="282"/>
        <v>4.6593980953249059E+206</v>
      </c>
      <c r="WJH53" s="708">
        <f t="shared" si="282"/>
        <v>4.7991800381846535E+206</v>
      </c>
      <c r="WJI53" s="708">
        <f t="shared" si="282"/>
        <v>4.9431554393301934E+206</v>
      </c>
      <c r="WJJ53" s="708">
        <f t="shared" si="282"/>
        <v>5.0914501025100995E+206</v>
      </c>
      <c r="WJK53" s="708">
        <f t="shared" si="282"/>
        <v>5.2441936055854029E+206</v>
      </c>
      <c r="WJL53" s="708">
        <f t="shared" si="282"/>
        <v>5.4015194137529652E+206</v>
      </c>
      <c r="WJM53" s="708">
        <f t="shared" si="282"/>
        <v>5.5635649961655546E+206</v>
      </c>
      <c r="WJN53" s="708">
        <f t="shared" si="282"/>
        <v>5.7304719460505212E+206</v>
      </c>
      <c r="WJO53" s="708">
        <f t="shared" si="282"/>
        <v>5.9023861044320368E+206</v>
      </c>
      <c r="WJP53" s="708">
        <f t="shared" si="282"/>
        <v>6.0794576875649983E+206</v>
      </c>
      <c r="WJQ53" s="708">
        <f t="shared" si="282"/>
        <v>6.2618414181919485E+206</v>
      </c>
      <c r="WJR53" s="708">
        <f t="shared" si="282"/>
        <v>6.4496966607377069E+206</v>
      </c>
      <c r="WJS53" s="708">
        <f t="shared" si="282"/>
        <v>6.6431875605598388E+206</v>
      </c>
      <c r="WJT53" s="708">
        <f t="shared" si="282"/>
        <v>6.8424831873766336E+206</v>
      </c>
      <c r="WJU53" s="708">
        <f t="shared" si="282"/>
        <v>7.0477576829979322E+206</v>
      </c>
      <c r="WJV53" s="708">
        <f t="shared" si="282"/>
        <v>7.259190413487871E+206</v>
      </c>
      <c r="WJW53" s="708">
        <f t="shared" si="282"/>
        <v>7.4769661258925072E+206</v>
      </c>
      <c r="WJX53" s="708">
        <f t="shared" si="282"/>
        <v>7.7012751096692821E+206</v>
      </c>
      <c r="WJY53" s="708">
        <f t="shared" si="282"/>
        <v>7.9323133629593606E+206</v>
      </c>
      <c r="WJZ53" s="708">
        <f t="shared" si="282"/>
        <v>8.1702827638481419E+206</v>
      </c>
      <c r="WKA53" s="708">
        <f t="shared" si="282"/>
        <v>8.4153912467635863E+206</v>
      </c>
      <c r="WKB53" s="708">
        <f t="shared" si="282"/>
        <v>8.6678529841664937E+206</v>
      </c>
      <c r="WKC53" s="708">
        <f t="shared" si="282"/>
        <v>8.9278885736914893E+206</v>
      </c>
      <c r="WKD53" s="708">
        <f t="shared" si="282"/>
        <v>9.1957252309022338E+206</v>
      </c>
      <c r="WKE53" s="708">
        <f t="shared" si="282"/>
        <v>9.4715969878293007E+206</v>
      </c>
      <c r="WKF53" s="708">
        <f t="shared" si="282"/>
        <v>9.7557448974641793E+206</v>
      </c>
      <c r="WKG53" s="708">
        <f t="shared" si="282"/>
        <v>1.0048417244388105E+207</v>
      </c>
      <c r="WKH53" s="708">
        <f t="shared" si="282"/>
        <v>1.0349869761719748E+207</v>
      </c>
      <c r="WKI53" s="708">
        <f t="shared" si="282"/>
        <v>1.0660365854571341E+207</v>
      </c>
      <c r="WKJ53" s="708">
        <f t="shared" si="282"/>
        <v>1.0980176830208482E+207</v>
      </c>
      <c r="WKK53" s="708">
        <f t="shared" si="282"/>
        <v>1.1309582135114737E+207</v>
      </c>
      <c r="WKL53" s="708">
        <f t="shared" si="282"/>
        <v>1.164886959916818E+207</v>
      </c>
      <c r="WKM53" s="708">
        <f t="shared" si="282"/>
        <v>1.1998335687143225E+207</v>
      </c>
      <c r="WKN53" s="708">
        <f t="shared" si="282"/>
        <v>1.2358285757757521E+207</v>
      </c>
      <c r="WKO53" s="708">
        <f t="shared" si="282"/>
        <v>1.2729034330490247E+207</v>
      </c>
      <c r="WKP53" s="708">
        <f t="shared" si="282"/>
        <v>1.3110905360404953E+207</v>
      </c>
      <c r="WKQ53" s="708">
        <f t="shared" si="282"/>
        <v>1.3504232521217102E+207</v>
      </c>
      <c r="WKR53" s="708">
        <f t="shared" si="282"/>
        <v>1.3909359496853617E+207</v>
      </c>
      <c r="WKS53" s="708">
        <f t="shared" si="282"/>
        <v>1.4326640281759225E+207</v>
      </c>
      <c r="WKT53" s="708">
        <f t="shared" si="282"/>
        <v>1.4756439490212001E+207</v>
      </c>
      <c r="WKU53" s="708">
        <f t="shared" si="282"/>
        <v>1.5199132674918362E+207</v>
      </c>
      <c r="WKV53" s="708">
        <f t="shared" si="282"/>
        <v>1.5655106655165913E+207</v>
      </c>
      <c r="WKW53" s="708">
        <f t="shared" si="282"/>
        <v>1.612475985482089E+207</v>
      </c>
      <c r="WKX53" s="708">
        <f t="shared" si="282"/>
        <v>1.6608502650465518E+207</v>
      </c>
      <c r="WKY53" s="708">
        <f t="shared" si="282"/>
        <v>1.7106757729979484E+207</v>
      </c>
      <c r="WKZ53" s="708">
        <f t="shared" si="282"/>
        <v>1.7619960461878869E+207</v>
      </c>
      <c r="WLA53" s="708">
        <f t="shared" si="282"/>
        <v>1.8148559275735236E+207</v>
      </c>
      <c r="WLB53" s="708">
        <f t="shared" si="282"/>
        <v>1.8693016054007295E+207</v>
      </c>
      <c r="WLC53" s="708">
        <f t="shared" si="282"/>
        <v>1.9253806535627513E+207</v>
      </c>
      <c r="WLD53" s="708">
        <f t="shared" si="282"/>
        <v>1.9831420731696339E+207</v>
      </c>
      <c r="WLE53" s="708">
        <f t="shared" si="282"/>
        <v>2.0426363353647228E+207</v>
      </c>
      <c r="WLF53" s="708">
        <f t="shared" si="282"/>
        <v>2.1039154254256645E+207</v>
      </c>
      <c r="WLG53" s="708">
        <f t="shared" si="282"/>
        <v>2.1670328881884344E+207</v>
      </c>
      <c r="WLH53" s="708">
        <f t="shared" si="282"/>
        <v>2.2320438748340876E+207</v>
      </c>
      <c r="WLI53" s="708">
        <f t="shared" si="282"/>
        <v>2.2990051910791102E+207</v>
      </c>
      <c r="WLJ53" s="708">
        <f t="shared" si="282"/>
        <v>2.3679753468114835E+207</v>
      </c>
      <c r="WLK53" s="708">
        <f t="shared" si="282"/>
        <v>2.4390146072158281E+207</v>
      </c>
      <c r="WLL53" s="708">
        <f t="shared" si="282"/>
        <v>2.5121850454323029E+207</v>
      </c>
      <c r="WLM53" s="708">
        <f t="shared" si="282"/>
        <v>2.587550596795272E+207</v>
      </c>
      <c r="WLN53" s="708">
        <f t="shared" si="282"/>
        <v>2.6651771146991304E+207</v>
      </c>
      <c r="WLO53" s="708">
        <f t="shared" si="282"/>
        <v>2.7451324281401043E+207</v>
      </c>
      <c r="WLP53" s="708">
        <f t="shared" si="282"/>
        <v>2.8274864009843075E+207</v>
      </c>
      <c r="WLQ53" s="708">
        <f t="shared" si="282"/>
        <v>2.9123109930138369E+207</v>
      </c>
      <c r="WLR53" s="708">
        <f t="shared" ref="WLR53:WOC53" si="283">WLQ53*$C$53</f>
        <v>2.9996803228042519E+207</v>
      </c>
      <c r="WLS53" s="708">
        <f t="shared" si="283"/>
        <v>3.0896707324883797E+207</v>
      </c>
      <c r="WLT53" s="708">
        <f t="shared" si="283"/>
        <v>3.182360854463031E+207</v>
      </c>
      <c r="WLU53" s="708">
        <f t="shared" si="283"/>
        <v>3.2778316800969222E+207</v>
      </c>
      <c r="WLV53" s="708">
        <f t="shared" si="283"/>
        <v>3.3761666304998301E+207</v>
      </c>
      <c r="WLW53" s="708">
        <f t="shared" si="283"/>
        <v>3.4774516294148253E+207</v>
      </c>
      <c r="WLX53" s="708">
        <f t="shared" si="283"/>
        <v>3.5817751782972701E+207</v>
      </c>
      <c r="WLY53" s="708">
        <f t="shared" si="283"/>
        <v>3.6892284336461883E+207</v>
      </c>
      <c r="WLZ53" s="708">
        <f t="shared" si="283"/>
        <v>3.7999052866555739E+207</v>
      </c>
      <c r="WMA53" s="708">
        <f t="shared" si="283"/>
        <v>3.9139024452552414E+207</v>
      </c>
      <c r="WMB53" s="708">
        <f t="shared" si="283"/>
        <v>4.0313195186128987E+207</v>
      </c>
      <c r="WMC53" s="708">
        <f t="shared" si="283"/>
        <v>4.152259104171286E+207</v>
      </c>
      <c r="WMD53" s="708">
        <f t="shared" si="283"/>
        <v>4.2768268772964245E+207</v>
      </c>
      <c r="WME53" s="708">
        <f t="shared" si="283"/>
        <v>4.4051316836153172E+207</v>
      </c>
      <c r="WMF53" s="708">
        <f t="shared" si="283"/>
        <v>4.5372856341237765E+207</v>
      </c>
      <c r="WMG53" s="708">
        <f t="shared" si="283"/>
        <v>4.6734042031474902E+207</v>
      </c>
      <c r="WMH53" s="708">
        <f t="shared" si="283"/>
        <v>4.8136063292419149E+207</v>
      </c>
      <c r="WMI53" s="708">
        <f t="shared" si="283"/>
        <v>4.9580145191191724E+207</v>
      </c>
      <c r="WMJ53" s="708">
        <f t="shared" si="283"/>
        <v>5.106754954692748E+207</v>
      </c>
      <c r="WMK53" s="708">
        <f t="shared" si="283"/>
        <v>5.2599576033335303E+207</v>
      </c>
      <c r="WML53" s="708">
        <f t="shared" si="283"/>
        <v>5.417756331433536E+207</v>
      </c>
      <c r="WMM53" s="708">
        <f t="shared" si="283"/>
        <v>5.5802890213765422E+207</v>
      </c>
      <c r="WMN53" s="708">
        <f t="shared" si="283"/>
        <v>5.7476976920178389E+207</v>
      </c>
      <c r="WMO53" s="708">
        <f t="shared" si="283"/>
        <v>5.9201286227783744E+207</v>
      </c>
      <c r="WMP53" s="708">
        <f t="shared" si="283"/>
        <v>6.0977324814617261E+207</v>
      </c>
      <c r="WMQ53" s="708">
        <f t="shared" si="283"/>
        <v>6.2806644559055776E+207</v>
      </c>
      <c r="WMR53" s="708">
        <f t="shared" si="283"/>
        <v>6.4690843895827456E+207</v>
      </c>
      <c r="WMS53" s="708">
        <f t="shared" si="283"/>
        <v>6.6631569212702287E+207</v>
      </c>
      <c r="WMT53" s="708">
        <f t="shared" si="283"/>
        <v>6.863051628908336E+207</v>
      </c>
      <c r="WMU53" s="708">
        <f t="shared" si="283"/>
        <v>7.0689431777755864E+207</v>
      </c>
      <c r="WMV53" s="708">
        <f t="shared" si="283"/>
        <v>7.2810114731088547E+207</v>
      </c>
      <c r="WMW53" s="708">
        <f t="shared" si="283"/>
        <v>7.4994418173021201E+207</v>
      </c>
      <c r="WMX53" s="708">
        <f t="shared" si="283"/>
        <v>7.7244250718211835E+207</v>
      </c>
      <c r="WMY53" s="708">
        <f t="shared" si="283"/>
        <v>7.9561578239758191E+207</v>
      </c>
      <c r="WMZ53" s="708">
        <f t="shared" si="283"/>
        <v>8.1948425586950941E+207</v>
      </c>
      <c r="WNA53" s="708">
        <f t="shared" si="283"/>
        <v>8.4406878354559467E+207</v>
      </c>
      <c r="WNB53" s="708">
        <f t="shared" si="283"/>
        <v>8.6939084705196249E+207</v>
      </c>
      <c r="WNC53" s="708">
        <f t="shared" si="283"/>
        <v>8.9547257246352135E+207</v>
      </c>
      <c r="WND53" s="708">
        <f t="shared" si="283"/>
        <v>9.2233674963742698E+207</v>
      </c>
      <c r="WNE53" s="708">
        <f t="shared" si="283"/>
        <v>9.5000685212654976E+207</v>
      </c>
      <c r="WNF53" s="708">
        <f t="shared" si="283"/>
        <v>9.7850705769034628E+207</v>
      </c>
      <c r="WNG53" s="708">
        <f t="shared" si="283"/>
        <v>1.0078622694210567E+208</v>
      </c>
      <c r="WNH53" s="708">
        <f t="shared" si="283"/>
        <v>1.0380981375036884E+208</v>
      </c>
      <c r="WNI53" s="708">
        <f t="shared" si="283"/>
        <v>1.0692410816287992E+208</v>
      </c>
      <c r="WNJ53" s="708">
        <f t="shared" si="283"/>
        <v>1.1013183140776632E+208</v>
      </c>
      <c r="WNK53" s="708">
        <f t="shared" si="283"/>
        <v>1.1343578634999932E+208</v>
      </c>
      <c r="WNL53" s="708">
        <f t="shared" si="283"/>
        <v>1.168388599404993E+208</v>
      </c>
      <c r="WNM53" s="708">
        <f t="shared" si="283"/>
        <v>1.2034402573871428E+208</v>
      </c>
      <c r="WNN53" s="708">
        <f t="shared" si="283"/>
        <v>1.2395434651087571E+208</v>
      </c>
      <c r="WNO53" s="708">
        <f t="shared" si="283"/>
        <v>1.2767297690620199E+208</v>
      </c>
      <c r="WNP53" s="708">
        <f t="shared" si="283"/>
        <v>1.3150316621338806E+208</v>
      </c>
      <c r="WNQ53" s="708">
        <f t="shared" si="283"/>
        <v>1.354482611997897E+208</v>
      </c>
      <c r="WNR53" s="708">
        <f t="shared" si="283"/>
        <v>1.395117090357834E+208</v>
      </c>
      <c r="WNS53" s="708">
        <f t="shared" si="283"/>
        <v>1.436970603068569E+208</v>
      </c>
      <c r="WNT53" s="708">
        <f t="shared" si="283"/>
        <v>1.4800797211606261E+208</v>
      </c>
      <c r="WNU53" s="708">
        <f t="shared" si="283"/>
        <v>1.5244821127954449E+208</v>
      </c>
      <c r="WNV53" s="708">
        <f t="shared" si="283"/>
        <v>1.5702165761793084E+208</v>
      </c>
      <c r="WNW53" s="708">
        <f t="shared" si="283"/>
        <v>1.6173230734646878E+208</v>
      </c>
      <c r="WNX53" s="708">
        <f t="shared" si="283"/>
        <v>1.6658427656686286E+208</v>
      </c>
      <c r="WNY53" s="708">
        <f t="shared" si="283"/>
        <v>1.7158180486386875E+208</v>
      </c>
      <c r="WNZ53" s="708">
        <f t="shared" si="283"/>
        <v>1.7672925900978481E+208</v>
      </c>
      <c r="WOA53" s="708">
        <f t="shared" si="283"/>
        <v>1.8203113678007837E+208</v>
      </c>
      <c r="WOB53" s="708">
        <f t="shared" si="283"/>
        <v>1.8749207088348073E+208</v>
      </c>
      <c r="WOC53" s="708">
        <f t="shared" si="283"/>
        <v>1.9311683300998516E+208</v>
      </c>
      <c r="WOD53" s="708">
        <f t="shared" ref="WOD53:WQO53" si="284">WOC53*$C$53</f>
        <v>1.9891033800028471E+208</v>
      </c>
      <c r="WOE53" s="708">
        <f t="shared" si="284"/>
        <v>2.0487764814029327E+208</v>
      </c>
      <c r="WOF53" s="708">
        <f t="shared" si="284"/>
        <v>2.1102397758450206E+208</v>
      </c>
      <c r="WOG53" s="708">
        <f t="shared" si="284"/>
        <v>2.1735469691203715E+208</v>
      </c>
      <c r="WOH53" s="708">
        <f t="shared" si="284"/>
        <v>2.2387533781939825E+208</v>
      </c>
      <c r="WOI53" s="708">
        <f t="shared" si="284"/>
        <v>2.3059159795398023E+208</v>
      </c>
      <c r="WOJ53" s="708">
        <f t="shared" si="284"/>
        <v>2.3750934589259962E+208</v>
      </c>
      <c r="WOK53" s="708">
        <f t="shared" si="284"/>
        <v>2.446346262693776E+208</v>
      </c>
      <c r="WOL53" s="708">
        <f t="shared" si="284"/>
        <v>2.5197366505745895E+208</v>
      </c>
      <c r="WOM53" s="708">
        <f t="shared" si="284"/>
        <v>2.5953287500918271E+208</v>
      </c>
      <c r="WON53" s="708">
        <f t="shared" si="284"/>
        <v>2.6731886125945821E+208</v>
      </c>
      <c r="WOO53" s="708">
        <f t="shared" si="284"/>
        <v>2.7533842709724194E+208</v>
      </c>
      <c r="WOP53" s="708">
        <f t="shared" si="284"/>
        <v>2.835985799101592E+208</v>
      </c>
      <c r="WOQ53" s="708">
        <f t="shared" si="284"/>
        <v>2.9210653730746397E+208</v>
      </c>
      <c r="WOR53" s="708">
        <f t="shared" si="284"/>
        <v>3.0086973342668792E+208</v>
      </c>
      <c r="WOS53" s="708">
        <f t="shared" si="284"/>
        <v>3.0989582542948854E+208</v>
      </c>
      <c r="WOT53" s="708">
        <f t="shared" si="284"/>
        <v>3.1919270019237321E+208</v>
      </c>
      <c r="WOU53" s="708">
        <f t="shared" si="284"/>
        <v>3.2876848119814441E+208</v>
      </c>
      <c r="WOV53" s="708">
        <f t="shared" si="284"/>
        <v>3.3863153563408875E+208</v>
      </c>
      <c r="WOW53" s="708">
        <f t="shared" si="284"/>
        <v>3.4879048170311144E+208</v>
      </c>
      <c r="WOX53" s="708">
        <f t="shared" si="284"/>
        <v>3.5925419615420478E+208</v>
      </c>
      <c r="WOY53" s="708">
        <f t="shared" si="284"/>
        <v>3.7003182203883095E+208</v>
      </c>
      <c r="WOZ53" s="708">
        <f t="shared" si="284"/>
        <v>3.8113277669999587E+208</v>
      </c>
      <c r="WPA53" s="708">
        <f t="shared" si="284"/>
        <v>3.9256676000099576E+208</v>
      </c>
      <c r="WPB53" s="708">
        <f t="shared" si="284"/>
        <v>4.0434376280102562E+208</v>
      </c>
      <c r="WPC53" s="708">
        <f t="shared" si="284"/>
        <v>4.1647407568505638E+208</v>
      </c>
      <c r="WPD53" s="708">
        <f t="shared" si="284"/>
        <v>4.2896829795560807E+208</v>
      </c>
      <c r="WPE53" s="708">
        <f t="shared" si="284"/>
        <v>4.4183734689427635E+208</v>
      </c>
      <c r="WPF53" s="708">
        <f t="shared" si="284"/>
        <v>4.5509246730110468E+208</v>
      </c>
      <c r="WPG53" s="708">
        <f t="shared" si="284"/>
        <v>4.6874524132013779E+208</v>
      </c>
      <c r="WPH53" s="708">
        <f t="shared" si="284"/>
        <v>4.8280759855974195E+208</v>
      </c>
      <c r="WPI53" s="708">
        <f t="shared" si="284"/>
        <v>4.9729182651653423E+208</v>
      </c>
      <c r="WPJ53" s="708">
        <f t="shared" si="284"/>
        <v>5.1221058131203029E+208</v>
      </c>
      <c r="WPK53" s="708">
        <f t="shared" si="284"/>
        <v>5.2757689875139124E+208</v>
      </c>
      <c r="WPL53" s="708">
        <f t="shared" si="284"/>
        <v>5.4340420571393299E+208</v>
      </c>
      <c r="WPM53" s="708">
        <f t="shared" si="284"/>
        <v>5.5970633188535102E+208</v>
      </c>
      <c r="WPN53" s="708">
        <f t="shared" si="284"/>
        <v>5.7649752184191157E+208</v>
      </c>
      <c r="WPO53" s="708">
        <f t="shared" si="284"/>
        <v>5.9379244749716894E+208</v>
      </c>
      <c r="WPP53" s="708">
        <f t="shared" si="284"/>
        <v>6.1160622092208406E+208</v>
      </c>
      <c r="WPQ53" s="708">
        <f t="shared" si="284"/>
        <v>6.2995440754974664E+208</v>
      </c>
      <c r="WPR53" s="708">
        <f t="shared" si="284"/>
        <v>6.4885303977623907E+208</v>
      </c>
      <c r="WPS53" s="708">
        <f t="shared" si="284"/>
        <v>6.6831863096952621E+208</v>
      </c>
      <c r="WPT53" s="708">
        <f t="shared" si="284"/>
        <v>6.8836818989861203E+208</v>
      </c>
      <c r="WPU53" s="708">
        <f t="shared" si="284"/>
        <v>7.0901923559557044E+208</v>
      </c>
      <c r="WPV53" s="708">
        <f t="shared" si="284"/>
        <v>7.3028981266343761E+208</v>
      </c>
      <c r="WPW53" s="708">
        <f t="shared" si="284"/>
        <v>7.5219850704334077E+208</v>
      </c>
      <c r="WPX53" s="708">
        <f t="shared" si="284"/>
        <v>7.7476446225464103E+208</v>
      </c>
      <c r="WPY53" s="708">
        <f t="shared" si="284"/>
        <v>7.980073961222803E+208</v>
      </c>
      <c r="WPZ53" s="708">
        <f t="shared" si="284"/>
        <v>8.2194761800594872E+208</v>
      </c>
      <c r="WQA53" s="708">
        <f t="shared" si="284"/>
        <v>8.4660604654612719E+208</v>
      </c>
      <c r="WQB53" s="708">
        <f t="shared" si="284"/>
        <v>8.7200422794251094E+208</v>
      </c>
      <c r="WQC53" s="708">
        <f t="shared" si="284"/>
        <v>8.9816435478078631E+208</v>
      </c>
      <c r="WQD53" s="708">
        <f t="shared" si="284"/>
        <v>9.2510928542420989E+208</v>
      </c>
      <c r="WQE53" s="708">
        <f t="shared" si="284"/>
        <v>9.5286256398693619E+208</v>
      </c>
      <c r="WQF53" s="708">
        <f t="shared" si="284"/>
        <v>9.8144844090654422E+208</v>
      </c>
      <c r="WQG53" s="708">
        <f t="shared" si="284"/>
        <v>1.0108918941337407E+209</v>
      </c>
      <c r="WQH53" s="708">
        <f t="shared" si="284"/>
        <v>1.0412186509577529E+209</v>
      </c>
      <c r="WQI53" s="708">
        <f t="shared" si="284"/>
        <v>1.0724552104864855E+209</v>
      </c>
      <c r="WQJ53" s="708">
        <f t="shared" si="284"/>
        <v>1.10462886680108E+209</v>
      </c>
      <c r="WQK53" s="708">
        <f t="shared" si="284"/>
        <v>1.1377677328051126E+209</v>
      </c>
      <c r="WQL53" s="708">
        <f t="shared" si="284"/>
        <v>1.171900764789266E+209</v>
      </c>
      <c r="WQM53" s="708">
        <f t="shared" si="284"/>
        <v>1.207057787732944E+209</v>
      </c>
      <c r="WQN53" s="708">
        <f t="shared" si="284"/>
        <v>1.2432695213649323E+209</v>
      </c>
      <c r="WQO53" s="708">
        <f t="shared" si="284"/>
        <v>1.2805676070058804E+209</v>
      </c>
      <c r="WQP53" s="708">
        <f t="shared" ref="WQP53:WTA53" si="285">WQO53*$C$53</f>
        <v>1.3189846352160569E+209</v>
      </c>
      <c r="WQQ53" s="708">
        <f t="shared" si="285"/>
        <v>1.3585541742725387E+209</v>
      </c>
      <c r="WQR53" s="708">
        <f t="shared" si="285"/>
        <v>1.3993107995007149E+209</v>
      </c>
      <c r="WQS53" s="708">
        <f t="shared" si="285"/>
        <v>1.4412901234857364E+209</v>
      </c>
      <c r="WQT53" s="708">
        <f t="shared" si="285"/>
        <v>1.4845288271903086E+209</v>
      </c>
      <c r="WQU53" s="708">
        <f t="shared" si="285"/>
        <v>1.5290646920060179E+209</v>
      </c>
      <c r="WQV53" s="708">
        <f t="shared" si="285"/>
        <v>1.5749366327661986E+209</v>
      </c>
      <c r="WQW53" s="708">
        <f t="shared" si="285"/>
        <v>1.6221847317491846E+209</v>
      </c>
      <c r="WQX53" s="708">
        <f t="shared" si="285"/>
        <v>1.6708502737016603E+209</v>
      </c>
      <c r="WQY53" s="708">
        <f t="shared" si="285"/>
        <v>1.7209757819127102E+209</v>
      </c>
      <c r="WQZ53" s="708">
        <f t="shared" si="285"/>
        <v>1.7726050553700916E+209</v>
      </c>
      <c r="WRA53" s="708">
        <f t="shared" si="285"/>
        <v>1.8257832070311945E+209</v>
      </c>
      <c r="WRB53" s="708">
        <f t="shared" si="285"/>
        <v>1.8805567032421304E+209</v>
      </c>
      <c r="WRC53" s="708">
        <f t="shared" si="285"/>
        <v>1.9369734043393945E+209</v>
      </c>
      <c r="WRD53" s="708">
        <f t="shared" si="285"/>
        <v>1.9950826064695765E+209</v>
      </c>
      <c r="WRE53" s="708">
        <f t="shared" si="285"/>
        <v>2.0549350846636639E+209</v>
      </c>
      <c r="WRF53" s="708">
        <f t="shared" si="285"/>
        <v>2.1165831372035739E+209</v>
      </c>
      <c r="WRG53" s="708">
        <f t="shared" si="285"/>
        <v>2.180080631319681E+209</v>
      </c>
      <c r="WRH53" s="708">
        <f t="shared" si="285"/>
        <v>2.2454830502592714E+209</v>
      </c>
      <c r="WRI53" s="708">
        <f t="shared" si="285"/>
        <v>2.3128475417670497E+209</v>
      </c>
      <c r="WRJ53" s="708">
        <f t="shared" si="285"/>
        <v>2.3822329680200613E+209</v>
      </c>
      <c r="WRK53" s="708">
        <f t="shared" si="285"/>
        <v>2.4536999570606631E+209</v>
      </c>
      <c r="WRL53" s="708">
        <f t="shared" si="285"/>
        <v>2.5273109557724832E+209</v>
      </c>
      <c r="WRM53" s="708">
        <f t="shared" si="285"/>
        <v>2.6031302844456577E+209</v>
      </c>
      <c r="WRN53" s="708">
        <f t="shared" si="285"/>
        <v>2.6812241929790276E+209</v>
      </c>
      <c r="WRO53" s="708">
        <f t="shared" si="285"/>
        <v>2.7616609187683986E+209</v>
      </c>
      <c r="WRP53" s="708">
        <f t="shared" si="285"/>
        <v>2.8445107463314505E+209</v>
      </c>
      <c r="WRQ53" s="708">
        <f t="shared" si="285"/>
        <v>2.9298460687213942E+209</v>
      </c>
      <c r="WRR53" s="708">
        <f t="shared" si="285"/>
        <v>3.0177414507830361E+209</v>
      </c>
      <c r="WRS53" s="708">
        <f t="shared" si="285"/>
        <v>3.1082736943065273E+209</v>
      </c>
      <c r="WRT53" s="708">
        <f t="shared" si="285"/>
        <v>3.2015219051357233E+209</v>
      </c>
      <c r="WRU53" s="708">
        <f t="shared" si="285"/>
        <v>3.2975675622897951E+209</v>
      </c>
      <c r="WRV53" s="708">
        <f t="shared" si="285"/>
        <v>3.3964945891584894E+209</v>
      </c>
      <c r="WRW53" s="708">
        <f t="shared" si="285"/>
        <v>3.498389426833244E+209</v>
      </c>
      <c r="WRX53" s="708">
        <f t="shared" si="285"/>
        <v>3.6033411096382417E+209</v>
      </c>
      <c r="WRY53" s="708">
        <f t="shared" si="285"/>
        <v>3.711441342927389E+209</v>
      </c>
      <c r="WRZ53" s="708">
        <f t="shared" si="285"/>
        <v>3.8227845832152111E+209</v>
      </c>
      <c r="WSA53" s="708">
        <f t="shared" si="285"/>
        <v>3.9374681207116678E+209</v>
      </c>
      <c r="WSB53" s="708">
        <f t="shared" si="285"/>
        <v>4.0555921643330181E+209</v>
      </c>
      <c r="WSC53" s="708">
        <f t="shared" si="285"/>
        <v>4.1772599292630089E+209</v>
      </c>
      <c r="WSD53" s="708">
        <f t="shared" si="285"/>
        <v>4.3025777271408993E+209</v>
      </c>
      <c r="WSE53" s="708">
        <f t="shared" si="285"/>
        <v>4.4316550589551266E+209</v>
      </c>
      <c r="WSF53" s="708">
        <f t="shared" si="285"/>
        <v>4.5646047107237805E+209</v>
      </c>
      <c r="WSG53" s="708">
        <f t="shared" si="285"/>
        <v>4.7015428520454944E+209</v>
      </c>
      <c r="WSH53" s="708">
        <f t="shared" si="285"/>
        <v>4.8425891376068594E+209</v>
      </c>
      <c r="WSI53" s="708">
        <f t="shared" si="285"/>
        <v>4.9878668117350655E+209</v>
      </c>
      <c r="WSJ53" s="708">
        <f t="shared" si="285"/>
        <v>5.1375028160871175E+209</v>
      </c>
      <c r="WSK53" s="708">
        <f t="shared" si="285"/>
        <v>5.2916279005697311E+209</v>
      </c>
      <c r="WSL53" s="708">
        <f t="shared" si="285"/>
        <v>5.4503767375868231E+209</v>
      </c>
      <c r="WSM53" s="708">
        <f t="shared" si="285"/>
        <v>5.6138880397144282E+209</v>
      </c>
      <c r="WSN53" s="708">
        <f t="shared" si="285"/>
        <v>5.782304680905861E+209</v>
      </c>
      <c r="WSO53" s="708">
        <f t="shared" si="285"/>
        <v>5.955773821333037E+209</v>
      </c>
      <c r="WSP53" s="708">
        <f t="shared" si="285"/>
        <v>6.1344470359730285E+209</v>
      </c>
      <c r="WSQ53" s="708">
        <f t="shared" si="285"/>
        <v>6.3184804470522192E+209</v>
      </c>
      <c r="WSR53" s="708">
        <f t="shared" si="285"/>
        <v>6.5080348604637857E+209</v>
      </c>
      <c r="WSS53" s="708">
        <f t="shared" si="285"/>
        <v>6.7032759062776992E+209</v>
      </c>
      <c r="WST53" s="708">
        <f t="shared" si="285"/>
        <v>6.9043741834660302E+209</v>
      </c>
      <c r="WSU53" s="708">
        <f t="shared" si="285"/>
        <v>7.1115054089700113E+209</v>
      </c>
      <c r="WSV53" s="708">
        <f t="shared" si="285"/>
        <v>7.324850571239112E+209</v>
      </c>
      <c r="WSW53" s="708">
        <f t="shared" si="285"/>
        <v>7.5445960883762852E+209</v>
      </c>
      <c r="WSX53" s="708">
        <f t="shared" si="285"/>
        <v>7.7709339710275743E+209</v>
      </c>
      <c r="WSY53" s="708">
        <f t="shared" si="285"/>
        <v>8.0040619901584022E+209</v>
      </c>
      <c r="WSZ53" s="708">
        <f t="shared" si="285"/>
        <v>8.2441838498631544E+209</v>
      </c>
      <c r="WTA53" s="708">
        <f t="shared" si="285"/>
        <v>8.4915093653590488E+209</v>
      </c>
      <c r="WTB53" s="708">
        <f t="shared" ref="WTB53:WVM53" si="286">WTA53*$C$53</f>
        <v>8.7462546463198199E+209</v>
      </c>
      <c r="WTC53" s="708">
        <f t="shared" si="286"/>
        <v>9.0086422857094142E+209</v>
      </c>
      <c r="WTD53" s="708">
        <f t="shared" si="286"/>
        <v>9.278901554280697E+209</v>
      </c>
      <c r="WTE53" s="708">
        <f t="shared" si="286"/>
        <v>9.5572686009091183E+209</v>
      </c>
      <c r="WTF53" s="708">
        <f t="shared" si="286"/>
        <v>9.8439866589363919E+209</v>
      </c>
      <c r="WTG53" s="708">
        <f t="shared" si="286"/>
        <v>1.0139306258704484E+210</v>
      </c>
      <c r="WTH53" s="708">
        <f t="shared" si="286"/>
        <v>1.0443485446465618E+210</v>
      </c>
      <c r="WTI53" s="708">
        <f t="shared" si="286"/>
        <v>1.0756790009859587E+210</v>
      </c>
      <c r="WTJ53" s="708">
        <f t="shared" si="286"/>
        <v>1.1079493710155375E+210</v>
      </c>
      <c r="WTK53" s="708">
        <f t="shared" si="286"/>
        <v>1.1411878521460037E+210</v>
      </c>
      <c r="WTL53" s="708">
        <f t="shared" si="286"/>
        <v>1.1754234877103839E+210</v>
      </c>
      <c r="WTM53" s="708">
        <f t="shared" si="286"/>
        <v>1.2106861923416955E+210</v>
      </c>
      <c r="WTN53" s="708">
        <f t="shared" si="286"/>
        <v>1.2470067781119465E+210</v>
      </c>
      <c r="WTO53" s="708">
        <f t="shared" si="286"/>
        <v>1.2844169814553049E+210</v>
      </c>
      <c r="WTP53" s="708">
        <f t="shared" si="286"/>
        <v>1.3229494908989641E+210</v>
      </c>
      <c r="WTQ53" s="708">
        <f t="shared" si="286"/>
        <v>1.362637975625933E+210</v>
      </c>
      <c r="WTR53" s="708">
        <f t="shared" si="286"/>
        <v>1.4035171148947112E+210</v>
      </c>
      <c r="WTS53" s="708">
        <f t="shared" si="286"/>
        <v>1.4456226283415526E+210</v>
      </c>
      <c r="WTT53" s="708">
        <f t="shared" si="286"/>
        <v>1.4889913071917991E+210</v>
      </c>
      <c r="WTU53" s="708">
        <f t="shared" si="286"/>
        <v>1.5336610464075531E+210</v>
      </c>
      <c r="WTV53" s="708">
        <f t="shared" si="286"/>
        <v>1.5796708777997796E+210</v>
      </c>
      <c r="WTW53" s="708">
        <f t="shared" si="286"/>
        <v>1.627061004133773E+210</v>
      </c>
      <c r="WTX53" s="708">
        <f t="shared" si="286"/>
        <v>1.6758728342577863E+210</v>
      </c>
      <c r="WTY53" s="708">
        <f t="shared" si="286"/>
        <v>1.72614901928552E+210</v>
      </c>
      <c r="WTZ53" s="708">
        <f t="shared" si="286"/>
        <v>1.7779334898640856E+210</v>
      </c>
      <c r="WUA53" s="708">
        <f t="shared" si="286"/>
        <v>1.8312714945600084E+210</v>
      </c>
      <c r="WUB53" s="708">
        <f t="shared" si="286"/>
        <v>1.8862096393968088E+210</v>
      </c>
      <c r="WUC53" s="708">
        <f t="shared" si="286"/>
        <v>1.942795928578713E+210</v>
      </c>
      <c r="WUD53" s="708">
        <f t="shared" si="286"/>
        <v>2.0010798064360743E+210</v>
      </c>
      <c r="WUE53" s="708">
        <f t="shared" si="286"/>
        <v>2.0611122006291566E+210</v>
      </c>
      <c r="WUF53" s="708">
        <f t="shared" si="286"/>
        <v>2.1229455666480314E+210</v>
      </c>
      <c r="WUG53" s="708">
        <f t="shared" si="286"/>
        <v>2.1866339336474724E+210</v>
      </c>
      <c r="WUH53" s="708">
        <f t="shared" si="286"/>
        <v>2.2522329516568968E+210</v>
      </c>
      <c r="WUI53" s="708">
        <f t="shared" si="286"/>
        <v>2.3197999402066038E+210</v>
      </c>
      <c r="WUJ53" s="708">
        <f t="shared" si="286"/>
        <v>2.389393938412802E+210</v>
      </c>
      <c r="WUK53" s="708">
        <f t="shared" si="286"/>
        <v>2.461075756565186E+210</v>
      </c>
      <c r="WUL53" s="708">
        <f t="shared" si="286"/>
        <v>2.5349080292621418E+210</v>
      </c>
      <c r="WUM53" s="708">
        <f t="shared" si="286"/>
        <v>2.610955270140006E+210</v>
      </c>
      <c r="WUN53" s="708">
        <f t="shared" si="286"/>
        <v>2.689283928244206E+210</v>
      </c>
      <c r="WUO53" s="708">
        <f t="shared" si="286"/>
        <v>2.7699624460915323E+210</v>
      </c>
      <c r="WUP53" s="708">
        <f t="shared" si="286"/>
        <v>2.8530613194742785E+210</v>
      </c>
      <c r="WUQ53" s="708">
        <f t="shared" si="286"/>
        <v>2.9386531590585068E+210</v>
      </c>
      <c r="WUR53" s="708">
        <f t="shared" si="286"/>
        <v>3.0268127538302622E+210</v>
      </c>
      <c r="WUS53" s="708">
        <f t="shared" si="286"/>
        <v>3.1176171364451701E+210</v>
      </c>
      <c r="WUT53" s="708">
        <f t="shared" si="286"/>
        <v>3.2111456505385251E+210</v>
      </c>
      <c r="WUU53" s="708">
        <f t="shared" si="286"/>
        <v>3.3074800200546809E+210</v>
      </c>
      <c r="WUV53" s="708">
        <f t="shared" si="286"/>
        <v>3.4067044206563212E+210</v>
      </c>
      <c r="WUW53" s="708">
        <f t="shared" si="286"/>
        <v>3.5089055532760109E+210</v>
      </c>
      <c r="WUX53" s="708">
        <f t="shared" si="286"/>
        <v>3.6141727198742911E+210</v>
      </c>
      <c r="WUY53" s="708">
        <f t="shared" si="286"/>
        <v>3.7225979014705201E+210</v>
      </c>
      <c r="WUZ53" s="708">
        <f t="shared" si="286"/>
        <v>3.834275838514636E+210</v>
      </c>
      <c r="WVA53" s="708">
        <f t="shared" si="286"/>
        <v>3.9493041136700755E+210</v>
      </c>
      <c r="WVB53" s="708">
        <f t="shared" si="286"/>
        <v>4.0677832370801777E+210</v>
      </c>
      <c r="WVC53" s="708">
        <f t="shared" si="286"/>
        <v>4.1898167341925832E+210</v>
      </c>
      <c r="WVD53" s="708">
        <f t="shared" si="286"/>
        <v>4.315511236218361E+210</v>
      </c>
      <c r="WVE53" s="708">
        <f t="shared" si="286"/>
        <v>4.4449765733049117E+210</v>
      </c>
      <c r="WVF53" s="708">
        <f t="shared" si="286"/>
        <v>4.578325870504059E+210</v>
      </c>
      <c r="WVG53" s="708">
        <f t="shared" si="286"/>
        <v>4.7156756466191808E+210</v>
      </c>
      <c r="WVH53" s="708">
        <f t="shared" si="286"/>
        <v>4.8571459160177565E+210</v>
      </c>
      <c r="WVI53" s="708">
        <f t="shared" si="286"/>
        <v>5.0028602934982893E+210</v>
      </c>
      <c r="WVJ53" s="708">
        <f t="shared" si="286"/>
        <v>5.1529461023032379E+210</v>
      </c>
      <c r="WVK53" s="708">
        <f t="shared" si="286"/>
        <v>5.3075344853723354E+210</v>
      </c>
      <c r="WVL53" s="708">
        <f t="shared" si="286"/>
        <v>5.4667605199335055E+210</v>
      </c>
      <c r="WVM53" s="708">
        <f t="shared" si="286"/>
        <v>5.6307633355315112E+210</v>
      </c>
      <c r="WVN53" s="708">
        <f t="shared" ref="WVN53:WXY53" si="287">WVM53*$C$53</f>
        <v>5.7996862355974562E+210</v>
      </c>
      <c r="WVO53" s="708">
        <f t="shared" si="287"/>
        <v>5.9736768226653795E+210</v>
      </c>
      <c r="WVP53" s="708">
        <f t="shared" si="287"/>
        <v>6.1528871273453406E+210</v>
      </c>
      <c r="WVQ53" s="708">
        <f t="shared" si="287"/>
        <v>6.3374737411657011E+210</v>
      </c>
      <c r="WVR53" s="708">
        <f t="shared" si="287"/>
        <v>6.5275979534006719E+210</v>
      </c>
      <c r="WVS53" s="708">
        <f t="shared" si="287"/>
        <v>6.7234258920026925E+210</v>
      </c>
      <c r="WVT53" s="708">
        <f t="shared" si="287"/>
        <v>6.9251286687627736E+210</v>
      </c>
      <c r="WVU53" s="708">
        <f t="shared" si="287"/>
        <v>7.1328825288256571E+210</v>
      </c>
      <c r="WVV53" s="708">
        <f t="shared" si="287"/>
        <v>7.346869004690427E+210</v>
      </c>
      <c r="WVW53" s="708">
        <f t="shared" si="287"/>
        <v>7.5672750748311402E+210</v>
      </c>
      <c r="WVX53" s="708">
        <f t="shared" si="287"/>
        <v>7.7942933270760742E+210</v>
      </c>
      <c r="WVY53" s="708">
        <f t="shared" si="287"/>
        <v>8.0281221268883564E+210</v>
      </c>
      <c r="WVZ53" s="708">
        <f t="shared" si="287"/>
        <v>8.2689657906950071E+210</v>
      </c>
      <c r="WWA53" s="708">
        <f t="shared" si="287"/>
        <v>8.5170347644158572E+210</v>
      </c>
      <c r="WWB53" s="708">
        <f t="shared" si="287"/>
        <v>8.7725458073483333E+210</v>
      </c>
      <c r="WWC53" s="708">
        <f t="shared" si="287"/>
        <v>9.0357221815687839E+210</v>
      </c>
      <c r="WWD53" s="708">
        <f t="shared" si="287"/>
        <v>9.3067938470158479E+210</v>
      </c>
      <c r="WWE53" s="708">
        <f t="shared" si="287"/>
        <v>9.5859976624263242E+210</v>
      </c>
      <c r="WWF53" s="708">
        <f t="shared" si="287"/>
        <v>9.8735775922991146E+210</v>
      </c>
      <c r="WWG53" s="708">
        <f t="shared" si="287"/>
        <v>1.0169784920068088E+211</v>
      </c>
      <c r="WWH53" s="708">
        <f t="shared" si="287"/>
        <v>1.0474878467670131E+211</v>
      </c>
      <c r="WWI53" s="708">
        <f t="shared" si="287"/>
        <v>1.0789124821700235E+211</v>
      </c>
      <c r="WWJ53" s="708">
        <f t="shared" si="287"/>
        <v>1.1112798566351242E+211</v>
      </c>
      <c r="WWK53" s="708">
        <f t="shared" si="287"/>
        <v>1.144618252334178E+211</v>
      </c>
      <c r="WWL53" s="708">
        <f t="shared" si="287"/>
        <v>1.1789567999042035E+211</v>
      </c>
      <c r="WWM53" s="708">
        <f t="shared" si="287"/>
        <v>1.2143255039013295E+211</v>
      </c>
      <c r="WWN53" s="708">
        <f t="shared" si="287"/>
        <v>1.2507552690183694E+211</v>
      </c>
      <c r="WWO53" s="708">
        <f t="shared" si="287"/>
        <v>1.2882779270889206E+211</v>
      </c>
      <c r="WWP53" s="708">
        <f t="shared" si="287"/>
        <v>1.3269262649015882E+211</v>
      </c>
      <c r="WWQ53" s="708">
        <f t="shared" si="287"/>
        <v>1.3667340528486358E+211</v>
      </c>
      <c r="WWR53" s="708">
        <f t="shared" si="287"/>
        <v>1.4077360744340949E+211</v>
      </c>
      <c r="WWS53" s="708">
        <f t="shared" si="287"/>
        <v>1.4499681566671179E+211</v>
      </c>
      <c r="WWT53" s="708">
        <f t="shared" si="287"/>
        <v>1.4934672013671314E+211</v>
      </c>
      <c r="WWU53" s="708">
        <f t="shared" si="287"/>
        <v>1.5382712174081453E+211</v>
      </c>
      <c r="WWV53" s="708">
        <f t="shared" si="287"/>
        <v>1.5844193539303897E+211</v>
      </c>
      <c r="WWW53" s="708">
        <f t="shared" si="287"/>
        <v>1.6319519345483013E+211</v>
      </c>
      <c r="WWX53" s="708">
        <f t="shared" si="287"/>
        <v>1.6809104925847503E+211</v>
      </c>
      <c r="WWY53" s="708">
        <f t="shared" si="287"/>
        <v>1.731337807362293E+211</v>
      </c>
      <c r="WWZ53" s="708">
        <f t="shared" si="287"/>
        <v>1.7832779415831619E+211</v>
      </c>
      <c r="WXA53" s="708">
        <f t="shared" si="287"/>
        <v>1.8367762798306567E+211</v>
      </c>
      <c r="WXB53" s="708">
        <f t="shared" si="287"/>
        <v>1.8918795682255766E+211</v>
      </c>
      <c r="WXC53" s="708">
        <f t="shared" si="287"/>
        <v>1.9486359552723439E+211</v>
      </c>
      <c r="WXD53" s="708">
        <f t="shared" si="287"/>
        <v>2.0070950339305141E+211</v>
      </c>
      <c r="WXE53" s="708">
        <f t="shared" si="287"/>
        <v>2.0673078849484296E+211</v>
      </c>
      <c r="WXF53" s="708">
        <f t="shared" si="287"/>
        <v>2.1293271214968825E+211</v>
      </c>
      <c r="WXG53" s="708">
        <f t="shared" si="287"/>
        <v>2.1932069351417889E+211</v>
      </c>
      <c r="WXH53" s="708">
        <f t="shared" si="287"/>
        <v>2.2590031431960425E+211</v>
      </c>
      <c r="WXI53" s="708">
        <f t="shared" si="287"/>
        <v>2.3267732374919238E+211</v>
      </c>
      <c r="WXJ53" s="708">
        <f t="shared" si="287"/>
        <v>2.3965764346166817E+211</v>
      </c>
      <c r="WXK53" s="708">
        <f t="shared" si="287"/>
        <v>2.4684737276551824E+211</v>
      </c>
      <c r="WXL53" s="708">
        <f t="shared" si="287"/>
        <v>2.542527939484838E+211</v>
      </c>
      <c r="WXM53" s="708">
        <f t="shared" si="287"/>
        <v>2.6188037776693834E+211</v>
      </c>
      <c r="WXN53" s="708">
        <f t="shared" si="287"/>
        <v>2.6973678909994651E+211</v>
      </c>
      <c r="WXO53" s="708">
        <f t="shared" si="287"/>
        <v>2.778288927729449E+211</v>
      </c>
      <c r="WXP53" s="708">
        <f t="shared" si="287"/>
        <v>2.8616375955613327E+211</v>
      </c>
      <c r="WXQ53" s="708">
        <f t="shared" si="287"/>
        <v>2.9474867234281726E+211</v>
      </c>
      <c r="WXR53" s="708">
        <f t="shared" si="287"/>
        <v>3.0359113251310179E+211</v>
      </c>
      <c r="WXS53" s="708">
        <f t="shared" si="287"/>
        <v>3.1269886648849484E+211</v>
      </c>
      <c r="WXT53" s="708">
        <f t="shared" si="287"/>
        <v>3.2207983248314969E+211</v>
      </c>
      <c r="WXU53" s="708">
        <f t="shared" si="287"/>
        <v>3.3174222745764418E+211</v>
      </c>
      <c r="WXV53" s="708">
        <f t="shared" si="287"/>
        <v>3.4169449428137352E+211</v>
      </c>
      <c r="WXW53" s="708">
        <f t="shared" si="287"/>
        <v>3.5194532910981474E+211</v>
      </c>
      <c r="WXX53" s="708">
        <f t="shared" si="287"/>
        <v>3.6250368898310921E+211</v>
      </c>
      <c r="WXY53" s="708">
        <f t="shared" si="287"/>
        <v>3.7337879965260252E+211</v>
      </c>
      <c r="WXZ53" s="708">
        <f t="shared" ref="WXZ53:XAK53" si="288">WXY53*$C$53</f>
        <v>3.8458016364218062E+211</v>
      </c>
      <c r="WYA53" s="708">
        <f t="shared" si="288"/>
        <v>3.9611756855144604E+211</v>
      </c>
      <c r="WYB53" s="708">
        <f t="shared" si="288"/>
        <v>4.0800109560798943E+211</v>
      </c>
      <c r="WYC53" s="708">
        <f t="shared" si="288"/>
        <v>4.2024112847622914E+211</v>
      </c>
      <c r="WYD53" s="708">
        <f t="shared" si="288"/>
        <v>4.3284836233051601E+211</v>
      </c>
      <c r="WYE53" s="708">
        <f t="shared" si="288"/>
        <v>4.4583381320043146E+211</v>
      </c>
      <c r="WYF53" s="708">
        <f t="shared" si="288"/>
        <v>4.592088275964444E+211</v>
      </c>
      <c r="WYG53" s="708">
        <f t="shared" si="288"/>
        <v>4.7298509242433779E+211</v>
      </c>
      <c r="WYH53" s="708">
        <f t="shared" si="288"/>
        <v>4.8717464519706795E+211</v>
      </c>
      <c r="WYI53" s="708">
        <f t="shared" si="288"/>
        <v>5.0178988455297997E+211</v>
      </c>
      <c r="WYJ53" s="708">
        <f t="shared" si="288"/>
        <v>5.1684358108956942E+211</v>
      </c>
      <c r="WYK53" s="708">
        <f t="shared" si="288"/>
        <v>5.3234888852225655E+211</v>
      </c>
      <c r="WYL53" s="708">
        <f t="shared" si="288"/>
        <v>5.4831935517792422E+211</v>
      </c>
      <c r="WYM53" s="708">
        <f t="shared" si="288"/>
        <v>5.6476893583326192E+211</v>
      </c>
      <c r="WYN53" s="708">
        <f t="shared" si="288"/>
        <v>5.817120039082598E+211</v>
      </c>
      <c r="WYO53" s="708">
        <f t="shared" si="288"/>
        <v>5.9916336402550757E+211</v>
      </c>
      <c r="WYP53" s="708">
        <f t="shared" si="288"/>
        <v>6.1713826494627277E+211</v>
      </c>
      <c r="WYQ53" s="708">
        <f t="shared" si="288"/>
        <v>6.3565241289466098E+211</v>
      </c>
      <c r="WYR53" s="708">
        <f t="shared" si="288"/>
        <v>6.5472198528150087E+211</v>
      </c>
      <c r="WYS53" s="708">
        <f t="shared" si="288"/>
        <v>6.7436364483994596E+211</v>
      </c>
      <c r="WYT53" s="708">
        <f t="shared" si="288"/>
        <v>6.9459455418514437E+211</v>
      </c>
      <c r="WYU53" s="708">
        <f t="shared" si="288"/>
        <v>7.1543239081069872E+211</v>
      </c>
      <c r="WYV53" s="708">
        <f t="shared" si="288"/>
        <v>7.3689536253501966E+211</v>
      </c>
      <c r="WYW53" s="708">
        <f t="shared" si="288"/>
        <v>7.590022234110703E+211</v>
      </c>
      <c r="WYX53" s="708">
        <f t="shared" si="288"/>
        <v>7.8177229011340243E+211</v>
      </c>
      <c r="WYY53" s="708">
        <f t="shared" si="288"/>
        <v>8.0522545881680451E+211</v>
      </c>
      <c r="WYZ53" s="708">
        <f t="shared" si="288"/>
        <v>8.2938222258130863E+211</v>
      </c>
      <c r="WZA53" s="708">
        <f t="shared" si="288"/>
        <v>8.5426368925874783E+211</v>
      </c>
      <c r="WZB53" s="708">
        <f t="shared" si="288"/>
        <v>8.7989159993651023E+211</v>
      </c>
      <c r="WZC53" s="708">
        <f t="shared" si="288"/>
        <v>9.062883479346056E+211</v>
      </c>
      <c r="WZD53" s="708">
        <f t="shared" si="288"/>
        <v>9.3347699837264385E+211</v>
      </c>
      <c r="WZE53" s="708">
        <f t="shared" si="288"/>
        <v>9.6148130832382327E+211</v>
      </c>
      <c r="WZF53" s="708">
        <f t="shared" si="288"/>
        <v>9.9032574757353796E+211</v>
      </c>
      <c r="WZG53" s="708">
        <f t="shared" si="288"/>
        <v>1.0200355200007442E+212</v>
      </c>
      <c r="WZH53" s="708">
        <f t="shared" si="288"/>
        <v>1.0506365856007665E+212</v>
      </c>
      <c r="WZI53" s="708">
        <f t="shared" si="288"/>
        <v>1.0821556831687895E+212</v>
      </c>
      <c r="WZJ53" s="708">
        <f t="shared" si="288"/>
        <v>1.1146203536638532E+212</v>
      </c>
      <c r="WZK53" s="708">
        <f t="shared" si="288"/>
        <v>1.1480589642737687E+212</v>
      </c>
      <c r="WZL53" s="708">
        <f t="shared" si="288"/>
        <v>1.1825007332019818E+212</v>
      </c>
      <c r="WZM53" s="708">
        <f t="shared" si="288"/>
        <v>1.2179757551980414E+212</v>
      </c>
      <c r="WZN53" s="708">
        <f t="shared" si="288"/>
        <v>1.2545150278539826E+212</v>
      </c>
      <c r="WZO53" s="708">
        <f t="shared" si="288"/>
        <v>1.2921504786896021E+212</v>
      </c>
      <c r="WZP53" s="708">
        <f t="shared" si="288"/>
        <v>1.3309149930502902E+212</v>
      </c>
      <c r="WZQ53" s="708">
        <f t="shared" si="288"/>
        <v>1.370842442841799E+212</v>
      </c>
      <c r="WZR53" s="708">
        <f t="shared" si="288"/>
        <v>1.411967716127053E+212</v>
      </c>
      <c r="WZS53" s="708">
        <f t="shared" si="288"/>
        <v>1.4543267476108647E+212</v>
      </c>
      <c r="WZT53" s="708">
        <f t="shared" si="288"/>
        <v>1.4979565500391907E+212</v>
      </c>
      <c r="WZU53" s="708">
        <f t="shared" si="288"/>
        <v>1.5428952465403664E+212</v>
      </c>
      <c r="WZV53" s="708">
        <f t="shared" si="288"/>
        <v>1.5891821039365775E+212</v>
      </c>
      <c r="WZW53" s="708">
        <f t="shared" si="288"/>
        <v>1.636857567054675E+212</v>
      </c>
      <c r="WZX53" s="708">
        <f t="shared" si="288"/>
        <v>1.6859632940663151E+212</v>
      </c>
      <c r="WZY53" s="708">
        <f t="shared" si="288"/>
        <v>1.7365421928883046E+212</v>
      </c>
      <c r="WZZ53" s="708">
        <f t="shared" si="288"/>
        <v>1.7886384586749536E+212</v>
      </c>
      <c r="XAA53" s="708">
        <f t="shared" si="288"/>
        <v>1.8422976124352023E+212</v>
      </c>
      <c r="XAB53" s="708">
        <f t="shared" si="288"/>
        <v>1.8975665408082583E+212</v>
      </c>
      <c r="XAC53" s="708">
        <f t="shared" si="288"/>
        <v>1.9544935370325061E+212</v>
      </c>
      <c r="XAD53" s="708">
        <f t="shared" si="288"/>
        <v>2.0131283431434812E+212</v>
      </c>
      <c r="XAE53" s="708">
        <f t="shared" si="288"/>
        <v>2.0735221934377856E+212</v>
      </c>
      <c r="XAF53" s="708">
        <f t="shared" si="288"/>
        <v>2.1357278592409191E+212</v>
      </c>
      <c r="XAG53" s="708">
        <f t="shared" si="288"/>
        <v>2.1997996950181468E+212</v>
      </c>
      <c r="XAH53" s="708">
        <f t="shared" si="288"/>
        <v>2.2657936858686912E+212</v>
      </c>
      <c r="XAI53" s="708">
        <f t="shared" si="288"/>
        <v>2.333767496444752E+212</v>
      </c>
      <c r="XAJ53" s="708">
        <f t="shared" si="288"/>
        <v>2.4037805213380947E+212</v>
      </c>
      <c r="XAK53" s="708">
        <f t="shared" si="288"/>
        <v>2.4758939369782376E+212</v>
      </c>
      <c r="XAL53" s="708">
        <f t="shared" ref="XAL53:XCW53" si="289">XAK53*$C$53</f>
        <v>2.5501707550875849E+212</v>
      </c>
      <c r="XAM53" s="708">
        <f t="shared" si="289"/>
        <v>2.6266758777402124E+212</v>
      </c>
      <c r="XAN53" s="708">
        <f t="shared" si="289"/>
        <v>2.7054761540724189E+212</v>
      </c>
      <c r="XAO53" s="708">
        <f t="shared" si="289"/>
        <v>2.7866404386945916E+212</v>
      </c>
      <c r="XAP53" s="708">
        <f t="shared" si="289"/>
        <v>2.8702396518554293E+212</v>
      </c>
      <c r="XAQ53" s="708">
        <f t="shared" si="289"/>
        <v>2.9563468414110921E+212</v>
      </c>
      <c r="XAR53" s="708">
        <f t="shared" si="289"/>
        <v>3.0450372466534248E+212</v>
      </c>
      <c r="XAS53" s="708">
        <f t="shared" si="289"/>
        <v>3.1363883640530275E+212</v>
      </c>
      <c r="XAT53" s="708">
        <f t="shared" si="289"/>
        <v>3.2304800149746183E+212</v>
      </c>
      <c r="XAU53" s="708">
        <f t="shared" si="289"/>
        <v>3.3273944154238569E+212</v>
      </c>
      <c r="XAV53" s="708">
        <f t="shared" si="289"/>
        <v>3.4272162478865725E+212</v>
      </c>
      <c r="XAW53" s="708">
        <f t="shared" si="289"/>
        <v>3.5300327353231694E+212</v>
      </c>
      <c r="XAX53" s="708">
        <f t="shared" si="289"/>
        <v>3.6359337173828646E+212</v>
      </c>
      <c r="XAY53" s="708">
        <f t="shared" si="289"/>
        <v>3.7450117289043504E+212</v>
      </c>
      <c r="XAZ53" s="708">
        <f t="shared" si="289"/>
        <v>3.8573620807714808E+212</v>
      </c>
      <c r="XBA53" s="708">
        <f t="shared" si="289"/>
        <v>3.9730829431946253E+212</v>
      </c>
      <c r="XBB53" s="708">
        <f t="shared" si="289"/>
        <v>4.0922754314904642E+212</v>
      </c>
      <c r="XBC53" s="708">
        <f t="shared" si="289"/>
        <v>4.215043694435178E+212</v>
      </c>
      <c r="XBD53" s="708">
        <f t="shared" si="289"/>
        <v>4.3414950052682336E+212</v>
      </c>
      <c r="XBE53" s="708">
        <f t="shared" si="289"/>
        <v>4.4717398554262811E+212</v>
      </c>
      <c r="XBF53" s="708">
        <f t="shared" si="289"/>
        <v>4.6058920510890694E+212</v>
      </c>
      <c r="XBG53" s="708">
        <f t="shared" si="289"/>
        <v>4.7440688126217416E+212</v>
      </c>
      <c r="XBH53" s="708">
        <f t="shared" si="289"/>
        <v>4.886390877000394E+212</v>
      </c>
      <c r="XBI53" s="708">
        <f t="shared" si="289"/>
        <v>5.0329826033104062E+212</v>
      </c>
      <c r="XBJ53" s="708">
        <f t="shared" si="289"/>
        <v>5.1839720814097186E+212</v>
      </c>
      <c r="XBK53" s="708">
        <f t="shared" si="289"/>
        <v>5.3394912438520104E+212</v>
      </c>
      <c r="XBL53" s="708">
        <f t="shared" si="289"/>
        <v>5.499675981167571E+212</v>
      </c>
      <c r="XBM53" s="708">
        <f t="shared" si="289"/>
        <v>5.6646662606025982E+212</v>
      </c>
      <c r="XBN53" s="708">
        <f t="shared" si="289"/>
        <v>5.8346062484206763E+212</v>
      </c>
      <c r="XBO53" s="708">
        <f t="shared" si="289"/>
        <v>6.0096444358732964E+212</v>
      </c>
      <c r="XBP53" s="708">
        <f t="shared" si="289"/>
        <v>6.1899337689494956E+212</v>
      </c>
      <c r="XBQ53" s="708">
        <f t="shared" si="289"/>
        <v>6.3756317820179804E+212</v>
      </c>
      <c r="XBR53" s="708">
        <f t="shared" si="289"/>
        <v>6.5669007354785196E+212</v>
      </c>
      <c r="XBS53" s="708">
        <f t="shared" si="289"/>
        <v>6.7639077575428751E+212</v>
      </c>
      <c r="XBT53" s="708">
        <f t="shared" si="289"/>
        <v>6.9668249902691621E+212</v>
      </c>
      <c r="XBU53" s="708">
        <f t="shared" si="289"/>
        <v>7.1758297399772377E+212</v>
      </c>
      <c r="XBV53" s="708">
        <f t="shared" si="289"/>
        <v>7.3911046321765546E+212</v>
      </c>
      <c r="XBW53" s="708">
        <f t="shared" si="289"/>
        <v>7.6128377711418507E+212</v>
      </c>
      <c r="XBX53" s="708">
        <f t="shared" si="289"/>
        <v>7.8412229042761069E+212</v>
      </c>
      <c r="XBY53" s="708">
        <f t="shared" si="289"/>
        <v>8.0764595914043899E+212</v>
      </c>
      <c r="XBZ53" s="708">
        <f t="shared" si="289"/>
        <v>8.3187533791465214E+212</v>
      </c>
      <c r="XCA53" s="708">
        <f t="shared" si="289"/>
        <v>8.5683159805209174E+212</v>
      </c>
      <c r="XCB53" s="708">
        <f t="shared" si="289"/>
        <v>8.8253654599365452E+212</v>
      </c>
      <c r="XCC53" s="708">
        <f t="shared" si="289"/>
        <v>9.0901264237346424E+212</v>
      </c>
      <c r="XCD53" s="708">
        <f t="shared" si="289"/>
        <v>9.3628302164466826E+212</v>
      </c>
      <c r="XCE53" s="708">
        <f t="shared" si="289"/>
        <v>9.6437151229400834E+212</v>
      </c>
      <c r="XCF53" s="708">
        <f t="shared" si="289"/>
        <v>9.9330265766282867E+212</v>
      </c>
      <c r="XCG53" s="708">
        <f t="shared" si="289"/>
        <v>1.0231017373927135E+213</v>
      </c>
      <c r="XCH53" s="708">
        <f t="shared" si="289"/>
        <v>1.053794789514495E+213</v>
      </c>
      <c r="XCI53" s="708">
        <f t="shared" si="289"/>
        <v>1.0854086331999299E+213</v>
      </c>
      <c r="XCJ53" s="708">
        <f t="shared" si="289"/>
        <v>1.1179708921959278E+213</v>
      </c>
      <c r="XCK53" s="708">
        <f t="shared" si="289"/>
        <v>1.1515100189618057E+213</v>
      </c>
      <c r="XCL53" s="708">
        <f t="shared" si="289"/>
        <v>1.18605531953066E+213</v>
      </c>
      <c r="XCM53" s="708">
        <f t="shared" si="289"/>
        <v>1.2216369791165798E+213</v>
      </c>
      <c r="XCN53" s="708">
        <f t="shared" si="289"/>
        <v>1.2582860884900772E+213</v>
      </c>
      <c r="XCO53" s="708">
        <f t="shared" si="289"/>
        <v>1.2960346711447795E+213</v>
      </c>
      <c r="XCP53" s="708">
        <f t="shared" si="289"/>
        <v>1.3349157112791229E+213</v>
      </c>
      <c r="XCQ53" s="708">
        <f t="shared" si="289"/>
        <v>1.3749631826174968E+213</v>
      </c>
      <c r="XCR53" s="708">
        <f t="shared" si="289"/>
        <v>1.4162120780960218E+213</v>
      </c>
      <c r="XCS53" s="708">
        <f t="shared" si="289"/>
        <v>1.4586984404389024E+213</v>
      </c>
      <c r="XCT53" s="708">
        <f t="shared" si="289"/>
        <v>1.5024593936520694E+213</v>
      </c>
      <c r="XCU53" s="708">
        <f t="shared" si="289"/>
        <v>1.5475331754616314E+213</v>
      </c>
      <c r="XCV53" s="708">
        <f t="shared" si="289"/>
        <v>1.5939591707254804E+213</v>
      </c>
      <c r="XCW53" s="708">
        <f t="shared" si="289"/>
        <v>1.641777945847245E+213</v>
      </c>
      <c r="XCX53" s="708">
        <f t="shared" ref="XCX53:XFD53" si="290">XCW53*$C$53</f>
        <v>1.6910312842226622E+213</v>
      </c>
      <c r="XCY53" s="708">
        <f t="shared" si="290"/>
        <v>1.7417622227493422E+213</v>
      </c>
      <c r="XCZ53" s="708">
        <f t="shared" si="290"/>
        <v>1.7940150894318224E+213</v>
      </c>
      <c r="XDA53" s="708">
        <f t="shared" si="290"/>
        <v>1.8478355421147772E+213</v>
      </c>
      <c r="XDB53" s="708">
        <f t="shared" si="290"/>
        <v>1.9032706083782207E+213</v>
      </c>
      <c r="XDC53" s="708">
        <f t="shared" si="290"/>
        <v>1.9603687266295673E+213</v>
      </c>
      <c r="XDD53" s="708">
        <f t="shared" si="290"/>
        <v>2.0191797884284544E+213</v>
      </c>
      <c r="XDE53" s="708">
        <f t="shared" si="290"/>
        <v>2.079755182081308E+213</v>
      </c>
      <c r="XDF53" s="708">
        <f t="shared" si="290"/>
        <v>2.1421478375437474E+213</v>
      </c>
      <c r="XDG53" s="708">
        <f t="shared" si="290"/>
        <v>2.2064122726700598E+213</v>
      </c>
      <c r="XDH53" s="708">
        <f t="shared" si="290"/>
        <v>2.2726046408501616E+213</v>
      </c>
      <c r="XDI53" s="708">
        <f t="shared" si="290"/>
        <v>2.3407827800756666E+213</v>
      </c>
      <c r="XDJ53" s="708">
        <f t="shared" si="290"/>
        <v>2.4110062634779367E+213</v>
      </c>
      <c r="XDK53" s="708">
        <f t="shared" si="290"/>
        <v>2.483336451382275E+213</v>
      </c>
      <c r="XDL53" s="708">
        <f t="shared" si="290"/>
        <v>2.5578365449237434E+213</v>
      </c>
      <c r="XDM53" s="708">
        <f t="shared" si="290"/>
        <v>2.6345716412714557E+213</v>
      </c>
      <c r="XDN53" s="708">
        <f t="shared" si="290"/>
        <v>2.7136087905095994E+213</v>
      </c>
      <c r="XDO53" s="708">
        <f t="shared" si="290"/>
        <v>2.7950170542248872E+213</v>
      </c>
      <c r="XDP53" s="708">
        <f t="shared" si="290"/>
        <v>2.8788675658516341E+213</v>
      </c>
      <c r="XDQ53" s="708">
        <f t="shared" si="290"/>
        <v>2.9652335928271833E+213</v>
      </c>
      <c r="XDR53" s="708">
        <f t="shared" si="290"/>
        <v>3.0541906006119989E+213</v>
      </c>
      <c r="XDS53" s="708">
        <f t="shared" si="290"/>
        <v>3.1458163186303589E+213</v>
      </c>
      <c r="XDT53" s="708">
        <f t="shared" si="290"/>
        <v>3.2401908081892697E+213</v>
      </c>
      <c r="XDU53" s="708">
        <f t="shared" si="290"/>
        <v>3.3373965324349477E+213</v>
      </c>
      <c r="XDV53" s="708">
        <f t="shared" si="290"/>
        <v>3.437518428407996E+213</v>
      </c>
      <c r="XDW53" s="708">
        <f t="shared" si="290"/>
        <v>3.5406439812602359E+213</v>
      </c>
      <c r="XDX53" s="708">
        <f t="shared" si="290"/>
        <v>3.6468633006980429E+213</v>
      </c>
      <c r="XDY53" s="708">
        <f t="shared" si="290"/>
        <v>3.7562691997189841E+213</v>
      </c>
      <c r="XDZ53" s="708">
        <f t="shared" si="290"/>
        <v>3.8689572757105537E+213</v>
      </c>
      <c r="XEA53" s="708">
        <f t="shared" si="290"/>
        <v>3.9850259939818705E+213</v>
      </c>
      <c r="XEB53" s="708">
        <f t="shared" si="290"/>
        <v>4.1045767738013269E+213</v>
      </c>
      <c r="XEC53" s="708">
        <f t="shared" si="290"/>
        <v>4.227714077015367E+213</v>
      </c>
      <c r="XED53" s="708">
        <f t="shared" si="290"/>
        <v>4.3545454993258283E+213</v>
      </c>
      <c r="XEE53" s="708">
        <f t="shared" si="290"/>
        <v>4.485181864305603E+213</v>
      </c>
      <c r="XEF53" s="708">
        <f t="shared" si="290"/>
        <v>4.6197373202347713E+213</v>
      </c>
      <c r="XEG53" s="708">
        <f t="shared" si="290"/>
        <v>4.7583294398418143E+213</v>
      </c>
      <c r="XEH53" s="708">
        <f t="shared" si="290"/>
        <v>4.9010793230370691E+213</v>
      </c>
      <c r="XEI53" s="708">
        <f t="shared" si="290"/>
        <v>5.0481117027281814E+213</v>
      </c>
      <c r="XEJ53" s="708">
        <f t="shared" si="290"/>
        <v>5.1995550538100271E+213</v>
      </c>
      <c r="XEK53" s="708">
        <f t="shared" si="290"/>
        <v>5.3555417054243281E+213</v>
      </c>
      <c r="XEL53" s="708">
        <f t="shared" si="290"/>
        <v>5.5162079565870584E+213</v>
      </c>
      <c r="XEM53" s="708">
        <f t="shared" si="290"/>
        <v>5.6816941952846698E+213</v>
      </c>
      <c r="XEN53" s="708">
        <f t="shared" si="290"/>
        <v>5.8521450211432098E+213</v>
      </c>
      <c r="XEO53" s="708">
        <f t="shared" si="290"/>
        <v>6.0277093717775061E+213</v>
      </c>
      <c r="XEP53" s="708">
        <f t="shared" si="290"/>
        <v>6.2085406529308311E+213</v>
      </c>
      <c r="XEQ53" s="708">
        <f t="shared" si="290"/>
        <v>6.3947968725187566E+213</v>
      </c>
      <c r="XER53" s="708">
        <f t="shared" si="290"/>
        <v>6.5866407786943189E+213</v>
      </c>
      <c r="XES53" s="708">
        <f t="shared" si="290"/>
        <v>6.7842400020551489E+213</v>
      </c>
      <c r="XET53" s="708">
        <f t="shared" si="290"/>
        <v>6.9877672021168037E+213</v>
      </c>
      <c r="XEU53" s="708">
        <f t="shared" si="290"/>
        <v>7.1974002181803077E+213</v>
      </c>
      <c r="XEV53" s="708">
        <f t="shared" si="290"/>
        <v>7.4133222247257172E+213</v>
      </c>
      <c r="XEW53" s="708">
        <f t="shared" si="290"/>
        <v>7.6357218914674893E+213</v>
      </c>
      <c r="XEX53" s="708">
        <f t="shared" si="290"/>
        <v>7.8647935482115143E+213</v>
      </c>
      <c r="XEY53" s="708">
        <f t="shared" si="290"/>
        <v>8.1007373546578605E+213</v>
      </c>
      <c r="XEZ53" s="708">
        <f t="shared" si="290"/>
        <v>8.343759475297597E+213</v>
      </c>
      <c r="XFA53" s="708">
        <f t="shared" si="290"/>
        <v>8.594072259556525E+213</v>
      </c>
      <c r="XFB53" s="708">
        <f t="shared" si="290"/>
        <v>8.8518944273432211E+213</v>
      </c>
      <c r="XFC53" s="708">
        <f t="shared" si="290"/>
        <v>9.1174512601635175E+213</v>
      </c>
      <c r="XFD53" s="708">
        <f t="shared" si="290"/>
        <v>9.3909747979684233E+213</v>
      </c>
    </row>
    <row r="54" spans="1:16384">
      <c r="A54" s="303" t="s">
        <v>2420</v>
      </c>
      <c r="B54" s="303"/>
      <c r="C54" s="707">
        <v>1.03</v>
      </c>
      <c r="D54" s="328">
        <f>+MIN(15000,D45-D53)</f>
        <v>11834.342369694656</v>
      </c>
      <c r="E54" s="709">
        <f>+E45-E53</f>
        <v>11681.812369694657</v>
      </c>
      <c r="F54" s="709">
        <f t="shared" ref="F54:R54" si="291">+F45-F53</f>
        <v>11445.378319694588</v>
      </c>
      <c r="G54" s="709">
        <f t="shared" si="291"/>
        <v>11120.143190444558</v>
      </c>
      <c r="H54" s="709">
        <f t="shared" si="291"/>
        <v>10700.989659483323</v>
      </c>
      <c r="I54" s="709">
        <f t="shared" si="291"/>
        <v>10182.571181821186</v>
      </c>
      <c r="J54" s="709">
        <f t="shared" si="291"/>
        <v>9559.3027177221229</v>
      </c>
      <c r="K54" s="709">
        <f t="shared" si="291"/>
        <v>8825.3511048256951</v>
      </c>
      <c r="L54" s="709">
        <f t="shared" si="291"/>
        <v>7974.6250613880902</v>
      </c>
      <c r="M54" s="709">
        <f t="shared" si="291"/>
        <v>7000.7648069340339</v>
      </c>
      <c r="N54" s="709">
        <f t="shared" si="291"/>
        <v>5897.1312861178349</v>
      </c>
      <c r="O54" s="709">
        <f t="shared" si="291"/>
        <v>4656.7949810679438</v>
      </c>
      <c r="P54" s="709">
        <f t="shared" si="291"/>
        <v>3272.5242969606097</v>
      </c>
      <c r="Q54" s="709">
        <f t="shared" si="291"/>
        <v>1736.7735050057909</v>
      </c>
      <c r="R54" s="709">
        <f t="shared" si="291"/>
        <v>41.670226458221805</v>
      </c>
      <c r="S54" s="303"/>
    </row>
    <row r="55" spans="1:16384">
      <c r="A55" s="303" t="s">
        <v>2421</v>
      </c>
      <c r="B55" s="295"/>
      <c r="C55" s="326"/>
      <c r="D55" s="308">
        <f t="shared" ref="D55:R55" si="292">SUM(D53:D54)</f>
        <v>16834.342369694656</v>
      </c>
      <c r="E55" s="308">
        <f t="shared" si="292"/>
        <v>16831.812369694657</v>
      </c>
      <c r="F55" s="308">
        <f t="shared" si="292"/>
        <v>16749.878319694588</v>
      </c>
      <c r="G55" s="308">
        <f t="shared" si="292"/>
        <v>16583.778190444558</v>
      </c>
      <c r="H55" s="308">
        <f t="shared" si="292"/>
        <v>16328.533709483323</v>
      </c>
      <c r="I55" s="308">
        <f t="shared" si="292"/>
        <v>15978.941553321187</v>
      </c>
      <c r="J55" s="308">
        <f t="shared" si="292"/>
        <v>15529.564200367124</v>
      </c>
      <c r="K55" s="308">
        <f t="shared" si="292"/>
        <v>14974.720431950045</v>
      </c>
      <c r="L55" s="308">
        <f t="shared" si="292"/>
        <v>14308.475468326171</v>
      </c>
      <c r="M55" s="308">
        <f t="shared" si="292"/>
        <v>13524.630726080257</v>
      </c>
      <c r="N55" s="308">
        <f t="shared" si="292"/>
        <v>12616.713182838444</v>
      </c>
      <c r="O55" s="308">
        <f t="shared" si="292"/>
        <v>11577.964334690172</v>
      </c>
      <c r="P55" s="308">
        <f t="shared" si="292"/>
        <v>10401.328731191505</v>
      </c>
      <c r="Q55" s="308">
        <f t="shared" si="292"/>
        <v>9079.4420722636132</v>
      </c>
      <c r="R55" s="308">
        <f t="shared" si="292"/>
        <v>7604.6188507337793</v>
      </c>
      <c r="S55" s="308"/>
    </row>
    <row r="56" spans="1:16384">
      <c r="A56" s="303"/>
      <c r="B56" s="295"/>
      <c r="C56" s="326"/>
      <c r="D56" s="308"/>
      <c r="E56" s="308"/>
      <c r="F56" s="308"/>
      <c r="G56" s="308"/>
      <c r="H56" s="308"/>
      <c r="I56" s="308"/>
      <c r="J56" s="308"/>
      <c r="K56" s="308"/>
      <c r="L56" s="308"/>
      <c r="M56" s="308"/>
      <c r="N56" s="308"/>
      <c r="O56" s="308"/>
      <c r="P56" s="308"/>
      <c r="Q56" s="308"/>
      <c r="R56" s="308"/>
      <c r="S56" s="308"/>
    </row>
    <row r="57" spans="1:16384">
      <c r="A57" s="303" t="s">
        <v>2422</v>
      </c>
      <c r="B57" s="303"/>
      <c r="C57" s="327"/>
      <c r="D57" s="303">
        <f t="shared" ref="D57:R57" si="293">D45-D55</f>
        <v>0</v>
      </c>
      <c r="E57" s="303">
        <f t="shared" si="293"/>
        <v>0</v>
      </c>
      <c r="F57" s="303">
        <f t="shared" si="293"/>
        <v>0</v>
      </c>
      <c r="G57" s="303">
        <f t="shared" si="293"/>
        <v>0</v>
      </c>
      <c r="H57" s="303">
        <f t="shared" si="293"/>
        <v>0</v>
      </c>
      <c r="I57" s="303">
        <f t="shared" si="293"/>
        <v>0</v>
      </c>
      <c r="J57" s="303">
        <f t="shared" si="293"/>
        <v>0</v>
      </c>
      <c r="K57" s="303">
        <f t="shared" si="293"/>
        <v>0</v>
      </c>
      <c r="L57" s="303">
        <f t="shared" si="293"/>
        <v>0</v>
      </c>
      <c r="M57" s="303">
        <f t="shared" si="293"/>
        <v>0</v>
      </c>
      <c r="N57" s="303">
        <f t="shared" si="293"/>
        <v>0</v>
      </c>
      <c r="O57" s="303">
        <f t="shared" si="293"/>
        <v>0</v>
      </c>
      <c r="P57" s="303">
        <f t="shared" si="293"/>
        <v>0</v>
      </c>
      <c r="Q57" s="303">
        <f t="shared" si="293"/>
        <v>0</v>
      </c>
      <c r="R57" s="303">
        <f t="shared" si="293"/>
        <v>0</v>
      </c>
      <c r="S57" s="303"/>
    </row>
    <row r="58" spans="1:16384">
      <c r="A58" s="295"/>
      <c r="B58" s="295"/>
      <c r="C58" s="326"/>
      <c r="D58" s="308"/>
      <c r="E58" s="308"/>
      <c r="F58" s="308"/>
      <c r="G58" s="308"/>
      <c r="H58" s="308"/>
      <c r="I58" s="308"/>
      <c r="J58" s="308"/>
      <c r="K58" s="308"/>
      <c r="L58" s="308"/>
      <c r="M58" s="308"/>
      <c r="N58" s="308"/>
      <c r="O58" s="308"/>
      <c r="P58" s="308"/>
      <c r="Q58" s="308"/>
      <c r="R58" s="308"/>
      <c r="S58" s="308"/>
    </row>
    <row r="59" spans="1:16384">
      <c r="A59" s="303" t="s">
        <v>2423</v>
      </c>
      <c r="B59" s="303"/>
      <c r="C59" s="711"/>
      <c r="D59" s="328"/>
      <c r="E59" s="710">
        <f t="shared" ref="E59:R59" si="294">E57*$C$59</f>
        <v>0</v>
      </c>
      <c r="F59" s="710">
        <f t="shared" si="294"/>
        <v>0</v>
      </c>
      <c r="G59" s="710">
        <f t="shared" si="294"/>
        <v>0</v>
      </c>
      <c r="H59" s="710">
        <f t="shared" si="294"/>
        <v>0</v>
      </c>
      <c r="I59" s="710">
        <f t="shared" si="294"/>
        <v>0</v>
      </c>
      <c r="J59" s="710">
        <f t="shared" si="294"/>
        <v>0</v>
      </c>
      <c r="K59" s="710">
        <f t="shared" si="294"/>
        <v>0</v>
      </c>
      <c r="L59" s="710">
        <f t="shared" si="294"/>
        <v>0</v>
      </c>
      <c r="M59" s="710">
        <f t="shared" si="294"/>
        <v>0</v>
      </c>
      <c r="N59" s="710">
        <f t="shared" si="294"/>
        <v>0</v>
      </c>
      <c r="O59" s="710">
        <f t="shared" si="294"/>
        <v>0</v>
      </c>
      <c r="P59" s="710">
        <f t="shared" si="294"/>
        <v>0</v>
      </c>
      <c r="Q59" s="710">
        <f t="shared" si="294"/>
        <v>0</v>
      </c>
      <c r="R59" s="710">
        <f t="shared" si="294"/>
        <v>0</v>
      </c>
      <c r="S59" s="303"/>
    </row>
    <row r="60" spans="1:16384">
      <c r="A60" s="295"/>
      <c r="B60" s="295"/>
      <c r="C60" s="326"/>
      <c r="D60" s="308"/>
      <c r="E60" s="308"/>
      <c r="F60" s="308"/>
      <c r="G60" s="308"/>
      <c r="H60" s="308"/>
      <c r="I60" s="308"/>
      <c r="J60" s="308"/>
      <c r="K60" s="308"/>
      <c r="L60" s="308"/>
      <c r="M60" s="308"/>
      <c r="N60" s="308"/>
      <c r="O60" s="308"/>
      <c r="P60" s="308"/>
      <c r="Q60" s="308"/>
      <c r="R60" s="308"/>
      <c r="S60" s="308"/>
    </row>
    <row r="61" spans="1:16384">
      <c r="A61" s="295" t="s">
        <v>2424</v>
      </c>
      <c r="B61" s="295"/>
      <c r="C61" s="712">
        <v>0.5</v>
      </c>
      <c r="D61" s="308"/>
      <c r="E61" s="308"/>
      <c r="F61" s="308"/>
      <c r="G61" s="308"/>
      <c r="H61" s="308"/>
      <c r="I61" s="308"/>
      <c r="J61" s="308"/>
      <c r="K61" s="308"/>
      <c r="L61" s="308"/>
      <c r="M61" s="308"/>
      <c r="N61" s="308"/>
      <c r="O61" s="308"/>
      <c r="P61" s="308"/>
      <c r="Q61" s="308"/>
      <c r="R61" s="308"/>
      <c r="S61" s="308"/>
    </row>
    <row r="62" spans="1:16384">
      <c r="A62" s="850" t="s">
        <v>2425</v>
      </c>
      <c r="B62" s="328"/>
      <c r="C62" s="327"/>
      <c r="D62" s="851">
        <f>$D57*$C$61</f>
        <v>0</v>
      </c>
      <c r="E62" s="852">
        <f t="shared" ref="E62:R62" si="295">E57*$C$61</f>
        <v>0</v>
      </c>
      <c r="F62" s="852">
        <f t="shared" si="295"/>
        <v>0</v>
      </c>
      <c r="G62" s="852">
        <f t="shared" si="295"/>
        <v>0</v>
      </c>
      <c r="H62" s="852">
        <f t="shared" si="295"/>
        <v>0</v>
      </c>
      <c r="I62" s="852">
        <f t="shared" si="295"/>
        <v>0</v>
      </c>
      <c r="J62" s="852">
        <f t="shared" si="295"/>
        <v>0</v>
      </c>
      <c r="K62" s="852">
        <f t="shared" si="295"/>
        <v>0</v>
      </c>
      <c r="L62" s="852">
        <f t="shared" si="295"/>
        <v>0</v>
      </c>
      <c r="M62" s="852">
        <f t="shared" si="295"/>
        <v>0</v>
      </c>
      <c r="N62" s="852">
        <f t="shared" si="295"/>
        <v>0</v>
      </c>
      <c r="O62" s="852">
        <f t="shared" si="295"/>
        <v>0</v>
      </c>
      <c r="P62" s="852">
        <f t="shared" si="295"/>
        <v>0</v>
      </c>
      <c r="Q62" s="852">
        <f t="shared" si="295"/>
        <v>0</v>
      </c>
      <c r="R62" s="852">
        <f t="shared" si="295"/>
        <v>0</v>
      </c>
      <c r="S62" s="303"/>
    </row>
    <row r="63" spans="1:16384">
      <c r="A63" s="710" t="s">
        <v>2421</v>
      </c>
      <c r="B63" s="308"/>
      <c r="C63" s="310"/>
      <c r="D63" s="303">
        <f t="shared" ref="D63:R63" si="296">SUM(D62:D62)</f>
        <v>0</v>
      </c>
      <c r="E63" s="303">
        <f t="shared" si="296"/>
        <v>0</v>
      </c>
      <c r="F63" s="303">
        <f t="shared" si="296"/>
        <v>0</v>
      </c>
      <c r="G63" s="303">
        <f t="shared" si="296"/>
        <v>0</v>
      </c>
      <c r="H63" s="303">
        <f t="shared" si="296"/>
        <v>0</v>
      </c>
      <c r="I63" s="303">
        <f t="shared" si="296"/>
        <v>0</v>
      </c>
      <c r="J63" s="303">
        <f t="shared" si="296"/>
        <v>0</v>
      </c>
      <c r="K63" s="303">
        <f t="shared" si="296"/>
        <v>0</v>
      </c>
      <c r="L63" s="303">
        <f t="shared" si="296"/>
        <v>0</v>
      </c>
      <c r="M63" s="303">
        <f t="shared" si="296"/>
        <v>0</v>
      </c>
      <c r="N63" s="303">
        <f t="shared" si="296"/>
        <v>0</v>
      </c>
      <c r="O63" s="303">
        <f t="shared" si="296"/>
        <v>0</v>
      </c>
      <c r="P63" s="303">
        <f t="shared" si="296"/>
        <v>0</v>
      </c>
      <c r="Q63" s="303">
        <f t="shared" si="296"/>
        <v>0</v>
      </c>
      <c r="R63" s="303">
        <f t="shared" si="296"/>
        <v>0</v>
      </c>
      <c r="S63" s="308"/>
    </row>
    <row r="64" spans="1:16384">
      <c r="A64" s="308"/>
      <c r="B64" s="308"/>
      <c r="C64" s="310"/>
      <c r="D64" s="308"/>
      <c r="E64" s="308"/>
      <c r="F64" s="308"/>
      <c r="G64" s="308"/>
      <c r="H64" s="308"/>
      <c r="I64" s="308"/>
      <c r="J64" s="308"/>
      <c r="K64" s="308"/>
      <c r="L64" s="308"/>
      <c r="M64" s="308"/>
      <c r="N64" s="308"/>
      <c r="O64" s="308"/>
      <c r="P64" s="308"/>
      <c r="Q64" s="308"/>
      <c r="R64" s="308"/>
      <c r="S64" s="308"/>
    </row>
    <row r="65" spans="1:19">
      <c r="A65" s="710" t="s">
        <v>2426</v>
      </c>
      <c r="B65" s="308"/>
      <c r="C65" s="310"/>
      <c r="D65" s="303">
        <f t="shared" ref="D65:R65" si="297">D57-D59-D63</f>
        <v>0</v>
      </c>
      <c r="E65" s="303">
        <f t="shared" si="297"/>
        <v>0</v>
      </c>
      <c r="F65" s="303">
        <f t="shared" si="297"/>
        <v>0</v>
      </c>
      <c r="G65" s="303">
        <f t="shared" si="297"/>
        <v>0</v>
      </c>
      <c r="H65" s="303">
        <f t="shared" si="297"/>
        <v>0</v>
      </c>
      <c r="I65" s="303">
        <f t="shared" si="297"/>
        <v>0</v>
      </c>
      <c r="J65" s="303">
        <f t="shared" si="297"/>
        <v>0</v>
      </c>
      <c r="K65" s="303">
        <f t="shared" si="297"/>
        <v>0</v>
      </c>
      <c r="L65" s="303">
        <f t="shared" si="297"/>
        <v>0</v>
      </c>
      <c r="M65" s="303">
        <f t="shared" si="297"/>
        <v>0</v>
      </c>
      <c r="N65" s="303">
        <f t="shared" si="297"/>
        <v>0</v>
      </c>
      <c r="O65" s="303">
        <f t="shared" si="297"/>
        <v>0</v>
      </c>
      <c r="P65" s="303">
        <f t="shared" si="297"/>
        <v>0</v>
      </c>
      <c r="Q65" s="303">
        <f t="shared" si="297"/>
        <v>0</v>
      </c>
      <c r="R65" s="303">
        <f t="shared" si="297"/>
        <v>0</v>
      </c>
      <c r="S65" s="308"/>
    </row>
    <row r="66" spans="1:19">
      <c r="A66" s="308"/>
      <c r="B66" s="308"/>
      <c r="C66" s="310"/>
      <c r="D66" s="303"/>
      <c r="E66" s="308"/>
      <c r="F66" s="308"/>
      <c r="G66" s="308"/>
      <c r="H66" s="308"/>
      <c r="I66" s="308"/>
      <c r="J66" s="308"/>
      <c r="K66" s="308"/>
      <c r="L66" s="308"/>
      <c r="M66" s="308"/>
      <c r="N66" s="308"/>
      <c r="O66" s="308"/>
      <c r="P66" s="308"/>
      <c r="Q66" s="308"/>
      <c r="R66" s="308"/>
      <c r="S66" s="308"/>
    </row>
    <row r="67" spans="1:19">
      <c r="A67" s="308"/>
      <c r="B67" s="308"/>
      <c r="C67" s="310"/>
      <c r="D67" s="303"/>
      <c r="E67" s="308"/>
      <c r="F67" s="308"/>
      <c r="G67" s="308"/>
      <c r="H67" s="308"/>
      <c r="I67" s="308"/>
      <c r="J67" s="308"/>
      <c r="K67" s="308"/>
      <c r="L67" s="308"/>
      <c r="M67" s="308"/>
      <c r="N67" s="308"/>
      <c r="O67" s="308"/>
      <c r="P67" s="308"/>
      <c r="Q67" s="308"/>
      <c r="R67" s="308"/>
      <c r="S67" s="308"/>
    </row>
    <row r="68" spans="1:19">
      <c r="A68" s="308" t="s">
        <v>2427</v>
      </c>
      <c r="B68" s="308"/>
      <c r="C68" s="310"/>
      <c r="D68" s="308"/>
      <c r="E68" s="308"/>
      <c r="F68" s="308"/>
      <c r="G68" s="308"/>
      <c r="H68" s="308"/>
      <c r="I68" s="308"/>
      <c r="J68" s="308"/>
      <c r="K68" s="308"/>
      <c r="L68" s="308"/>
      <c r="M68" s="308"/>
      <c r="N68" s="308"/>
      <c r="O68" s="308"/>
      <c r="P68" s="308"/>
      <c r="Q68" s="308"/>
      <c r="R68" s="308"/>
      <c r="S68" s="308"/>
    </row>
    <row r="69" spans="1:19">
      <c r="A69" s="308"/>
      <c r="B69" s="308"/>
      <c r="C69" s="310"/>
      <c r="D69" s="308"/>
      <c r="E69" s="308"/>
      <c r="F69" s="308"/>
      <c r="G69" s="308"/>
      <c r="H69" s="308"/>
      <c r="I69" s="308"/>
      <c r="J69" s="308"/>
      <c r="K69" s="308"/>
      <c r="L69" s="308"/>
      <c r="M69" s="308"/>
      <c r="N69" s="308"/>
      <c r="O69" s="308"/>
      <c r="P69" s="308"/>
      <c r="Q69" s="308"/>
      <c r="R69" s="308"/>
      <c r="S69" s="308"/>
    </row>
    <row r="70" spans="1:19" ht="30" customHeight="1">
      <c r="A70" s="1852" t="s">
        <v>2428</v>
      </c>
      <c r="B70" s="1852"/>
      <c r="C70" s="1852"/>
      <c r="D70" s="1852"/>
      <c r="E70" s="1852"/>
      <c r="F70" s="1852"/>
      <c r="G70" s="1852"/>
      <c r="H70" s="1852"/>
      <c r="I70" s="1852"/>
      <c r="J70" s="1852"/>
      <c r="K70" s="1852"/>
      <c r="L70" s="1852"/>
      <c r="M70" s="1852"/>
      <c r="N70" s="1852"/>
      <c r="O70" s="1852"/>
      <c r="P70" s="1852"/>
      <c r="Q70" s="1852"/>
      <c r="R70" s="1852"/>
      <c r="S70" s="330"/>
    </row>
    <row r="71" spans="1:19" hidden="1">
      <c r="A71" s="308"/>
      <c r="B71" s="308"/>
      <c r="C71" s="310"/>
      <c r="D71" s="308"/>
      <c r="E71" s="308"/>
      <c r="F71" s="308"/>
      <c r="G71" s="308"/>
      <c r="H71" s="308"/>
      <c r="I71" s="308"/>
      <c r="J71" s="308"/>
      <c r="K71" s="308"/>
      <c r="L71" s="308"/>
      <c r="M71" s="308"/>
      <c r="N71" s="308"/>
      <c r="O71" s="308"/>
      <c r="P71" s="308"/>
      <c r="Q71" s="308"/>
      <c r="R71" s="308"/>
      <c r="S71" s="308"/>
    </row>
    <row r="72" spans="1:19" hidden="1">
      <c r="C72" s="310"/>
    </row>
    <row r="73" spans="1:19" hidden="1">
      <c r="C73" s="310"/>
    </row>
    <row r="74" spans="1:19" hidden="1">
      <c r="C74" s="310"/>
    </row>
    <row r="75" spans="1:19" hidden="1">
      <c r="C75" s="310"/>
    </row>
    <row r="76" spans="1:19" hidden="1">
      <c r="C76" s="310"/>
    </row>
    <row r="77" spans="1:19" hidden="1">
      <c r="C77" s="310"/>
    </row>
    <row r="78" spans="1:19" hidden="1">
      <c r="C78" s="310"/>
    </row>
    <row r="79" spans="1:19" hidden="1">
      <c r="C79" s="310"/>
    </row>
    <row r="80" spans="1:19" hidden="1">
      <c r="C80" s="310"/>
    </row>
    <row r="81" spans="3:3" hidden="1">
      <c r="C81" s="310"/>
    </row>
    <row r="82" spans="3:3" hidden="1">
      <c r="C82" s="310"/>
    </row>
    <row r="83" spans="3:3" hidden="1">
      <c r="C83" s="310"/>
    </row>
    <row r="84" spans="3:3" hidden="1">
      <c r="C84" s="310"/>
    </row>
    <row r="85" spans="3:3" hidden="1">
      <c r="C85" s="310"/>
    </row>
    <row r="86" spans="3:3" hidden="1">
      <c r="C86" s="310"/>
    </row>
    <row r="87" spans="3:3" hidden="1">
      <c r="C87" s="310"/>
    </row>
    <row r="88" spans="3:3" hidden="1">
      <c r="C88" s="310"/>
    </row>
    <row r="89" spans="3:3" hidden="1">
      <c r="C89" s="310"/>
    </row>
    <row r="90" spans="3:3" hidden="1">
      <c r="C90" s="310"/>
    </row>
    <row r="91" spans="3:3" hidden="1">
      <c r="C91" s="310"/>
    </row>
    <row r="92" spans="3:3" hidden="1">
      <c r="C92" s="310"/>
    </row>
    <row r="93" spans="3:3" hidden="1">
      <c r="C93" s="310"/>
    </row>
    <row r="94" spans="3:3" hidden="1">
      <c r="C94" s="310"/>
    </row>
    <row r="95" spans="3:3" hidden="1">
      <c r="C95" s="310"/>
    </row>
    <row r="96" spans="3:3" hidden="1">
      <c r="C96" s="310"/>
    </row>
    <row r="97" spans="3:3" hidden="1">
      <c r="C97" s="310"/>
    </row>
    <row r="98" spans="3:3" hidden="1">
      <c r="C98" s="310"/>
    </row>
    <row r="99" spans="3:3" hidden="1">
      <c r="C99" s="310"/>
    </row>
    <row r="100" spans="3:3" hidden="1">
      <c r="C100" s="310"/>
    </row>
    <row r="101" spans="3:3" hidden="1">
      <c r="C101" s="310"/>
    </row>
    <row r="102" spans="3:3" hidden="1">
      <c r="C102" s="310"/>
    </row>
    <row r="103" spans="3:3" hidden="1">
      <c r="C103" s="310"/>
    </row>
    <row r="104" spans="3:3" hidden="1">
      <c r="C104" s="310"/>
    </row>
    <row r="105" spans="3:3" hidden="1">
      <c r="C105" s="310"/>
    </row>
    <row r="106" spans="3:3" hidden="1">
      <c r="C106" s="310"/>
    </row>
    <row r="107" spans="3:3" hidden="1">
      <c r="C107" s="310"/>
    </row>
    <row r="108" spans="3:3" hidden="1">
      <c r="C108" s="310"/>
    </row>
    <row r="109" spans="3:3" hidden="1">
      <c r="C109" s="310"/>
    </row>
    <row r="110" spans="3:3" hidden="1">
      <c r="C110" s="310"/>
    </row>
    <row r="111" spans="3:3" hidden="1">
      <c r="C111" s="310"/>
    </row>
    <row r="112" spans="3:3" hidden="1">
      <c r="C112" s="310"/>
    </row>
    <row r="113" spans="3:3" hidden="1">
      <c r="C113" s="310"/>
    </row>
    <row r="114" spans="3:3" hidden="1">
      <c r="C114" s="310"/>
    </row>
    <row r="115" spans="3:3" hidden="1">
      <c r="C115" s="310"/>
    </row>
    <row r="116" spans="3:3" hidden="1">
      <c r="C116" s="310"/>
    </row>
    <row r="117" spans="3:3" hidden="1">
      <c r="C117" s="310"/>
    </row>
    <row r="118" spans="3:3" hidden="1">
      <c r="C118" s="310"/>
    </row>
    <row r="119" spans="3:3" hidden="1">
      <c r="C119" s="310"/>
    </row>
    <row r="120" spans="3:3" hidden="1">
      <c r="C120" s="310"/>
    </row>
    <row r="121" spans="3:3" hidden="1">
      <c r="C121" s="310"/>
    </row>
    <row r="122" spans="3:3" hidden="1">
      <c r="C122" s="310"/>
    </row>
    <row r="123" spans="3:3" hidden="1">
      <c r="C123" s="310"/>
    </row>
    <row r="124" spans="3:3" hidden="1">
      <c r="C124" s="310"/>
    </row>
    <row r="125" spans="3:3" hidden="1">
      <c r="C125" s="310"/>
    </row>
    <row r="126" spans="3:3" hidden="1">
      <c r="C126" s="310"/>
    </row>
    <row r="127" spans="3:3" hidden="1">
      <c r="C127" s="310"/>
    </row>
    <row r="128" spans="3:3" hidden="1">
      <c r="C128" s="310"/>
    </row>
    <row r="129" spans="3:3" hidden="1">
      <c r="C129" s="310"/>
    </row>
    <row r="130" spans="3:3" hidden="1">
      <c r="C130" s="310"/>
    </row>
    <row r="131" spans="3:3" hidden="1">
      <c r="C131" s="310"/>
    </row>
    <row r="132" spans="3:3" hidden="1">
      <c r="C132" s="310"/>
    </row>
    <row r="133" spans="3:3" hidden="1">
      <c r="C133" s="310"/>
    </row>
    <row r="134" spans="3:3" hidden="1">
      <c r="C134" s="310"/>
    </row>
    <row r="135" spans="3:3" hidden="1">
      <c r="C135" s="310"/>
    </row>
    <row r="136" spans="3:3" hidden="1">
      <c r="C136" s="310"/>
    </row>
    <row r="137" spans="3:3" hidden="1">
      <c r="C137" s="310"/>
    </row>
    <row r="138" spans="3:3" hidden="1">
      <c r="C138" s="310"/>
    </row>
    <row r="139" spans="3:3" hidden="1">
      <c r="C139" s="310"/>
    </row>
    <row r="140" spans="3:3" hidden="1">
      <c r="C140" s="310"/>
    </row>
    <row r="141" spans="3:3" hidden="1">
      <c r="C141" s="310"/>
    </row>
    <row r="142" spans="3:3" hidden="1">
      <c r="C142" s="310"/>
    </row>
    <row r="143" spans="3:3" hidden="1">
      <c r="C143" s="310"/>
    </row>
    <row r="144" spans="3:3" hidden="1">
      <c r="C144" s="310"/>
    </row>
    <row r="145" spans="3:3" hidden="1">
      <c r="C145" s="310"/>
    </row>
    <row r="146" spans="3:3" hidden="1">
      <c r="C146" s="310"/>
    </row>
    <row r="147" spans="3:3" hidden="1">
      <c r="C147" s="310"/>
    </row>
    <row r="148" spans="3:3" hidden="1">
      <c r="C148" s="310"/>
    </row>
    <row r="149" spans="3:3" hidden="1">
      <c r="C149" s="310"/>
    </row>
    <row r="150" spans="3:3" hidden="1">
      <c r="C150" s="310"/>
    </row>
    <row r="151" spans="3:3" hidden="1">
      <c r="C151" s="310"/>
    </row>
    <row r="152" spans="3:3" hidden="1">
      <c r="C152" s="310"/>
    </row>
    <row r="153" spans="3:3" hidden="1">
      <c r="C153" s="310"/>
    </row>
    <row r="154" spans="3:3" hidden="1">
      <c r="C154" s="310"/>
    </row>
    <row r="155" spans="3:3" hidden="1">
      <c r="C155" s="310"/>
    </row>
    <row r="156" spans="3:3" hidden="1">
      <c r="C156" s="310"/>
    </row>
    <row r="157" spans="3:3" hidden="1">
      <c r="C157" s="310"/>
    </row>
    <row r="158" spans="3:3" hidden="1">
      <c r="C158" s="310"/>
    </row>
    <row r="159" spans="3:3" hidden="1">
      <c r="C159" s="310"/>
    </row>
    <row r="160" spans="3:3" hidden="1">
      <c r="C160" s="310"/>
    </row>
    <row r="161" spans="3:3" hidden="1">
      <c r="C161" s="310"/>
    </row>
    <row r="162" spans="3:3" hidden="1">
      <c r="C162" s="310"/>
    </row>
    <row r="163" spans="3:3" hidden="1">
      <c r="C163" s="310"/>
    </row>
    <row r="164" spans="3:3" hidden="1">
      <c r="C164" s="310"/>
    </row>
    <row r="165" spans="3:3" hidden="1">
      <c r="C165" s="310"/>
    </row>
    <row r="166" spans="3:3" hidden="1">
      <c r="C166" s="310"/>
    </row>
    <row r="167" spans="3:3" hidden="1">
      <c r="C167" s="310"/>
    </row>
    <row r="168" spans="3:3" hidden="1">
      <c r="C168" s="310"/>
    </row>
    <row r="169" spans="3:3" hidden="1">
      <c r="C169" s="310"/>
    </row>
    <row r="170" spans="3:3" hidden="1">
      <c r="C170" s="310"/>
    </row>
    <row r="171" spans="3:3" hidden="1">
      <c r="C171" s="310"/>
    </row>
    <row r="172" spans="3:3" hidden="1">
      <c r="C172" s="310"/>
    </row>
    <row r="173" spans="3:3" hidden="1">
      <c r="C173" s="310"/>
    </row>
    <row r="174" spans="3:3" hidden="1">
      <c r="C174" s="310"/>
    </row>
    <row r="175" spans="3:3" hidden="1">
      <c r="C175" s="310"/>
    </row>
    <row r="176" spans="3:3" hidden="1">
      <c r="C176" s="310"/>
    </row>
    <row r="177" spans="3:3" hidden="1">
      <c r="C177" s="310"/>
    </row>
    <row r="178" spans="3:3" hidden="1">
      <c r="C178" s="310"/>
    </row>
    <row r="179" spans="3:3" hidden="1">
      <c r="C179" s="310"/>
    </row>
    <row r="180" spans="3:3" hidden="1">
      <c r="C180" s="310"/>
    </row>
    <row r="181" spans="3:3" hidden="1">
      <c r="C181" s="310"/>
    </row>
    <row r="182" spans="3:3" hidden="1">
      <c r="C182" s="310"/>
    </row>
    <row r="183" spans="3:3" hidden="1">
      <c r="C183" s="310"/>
    </row>
    <row r="184" spans="3:3" hidden="1">
      <c r="C184" s="310"/>
    </row>
    <row r="185" spans="3:3" hidden="1">
      <c r="C185" s="310"/>
    </row>
    <row r="186" spans="3:3" hidden="1">
      <c r="C186" s="310"/>
    </row>
    <row r="187" spans="3:3" hidden="1">
      <c r="C187" s="310"/>
    </row>
    <row r="188" spans="3:3" hidden="1">
      <c r="C188" s="310"/>
    </row>
    <row r="189" spans="3:3" hidden="1">
      <c r="C189" s="310"/>
    </row>
    <row r="190" spans="3:3" hidden="1">
      <c r="C190" s="310"/>
    </row>
    <row r="191" spans="3:3" hidden="1">
      <c r="C191" s="310"/>
    </row>
    <row r="192" spans="3:3" hidden="1">
      <c r="C192" s="310"/>
    </row>
    <row r="193" spans="3:3" hidden="1">
      <c r="C193" s="310"/>
    </row>
    <row r="194" spans="3:3" hidden="1">
      <c r="C194" s="310"/>
    </row>
    <row r="195" spans="3:3" hidden="1">
      <c r="C195" s="310"/>
    </row>
    <row r="196" spans="3:3" hidden="1">
      <c r="C196" s="310"/>
    </row>
    <row r="197" spans="3:3" hidden="1">
      <c r="C197" s="310"/>
    </row>
    <row r="198" spans="3:3" hidden="1">
      <c r="C198" s="310"/>
    </row>
    <row r="199" spans="3:3" hidden="1">
      <c r="C199" s="310"/>
    </row>
    <row r="200" spans="3:3" hidden="1">
      <c r="C200" s="310"/>
    </row>
    <row r="201" spans="3:3" hidden="1">
      <c r="C201" s="310"/>
    </row>
    <row r="202" spans="3:3" hidden="1">
      <c r="C202" s="310"/>
    </row>
    <row r="203" spans="3:3" hidden="1">
      <c r="C203" s="310"/>
    </row>
    <row r="204" spans="3:3" hidden="1">
      <c r="C204" s="310"/>
    </row>
    <row r="205" spans="3:3" hidden="1">
      <c r="C205" s="310"/>
    </row>
    <row r="206" spans="3:3" hidden="1">
      <c r="C206" s="310"/>
    </row>
    <row r="207" spans="3:3" hidden="1">
      <c r="C207" s="310"/>
    </row>
    <row r="208" spans="3:3" hidden="1">
      <c r="C208" s="310"/>
    </row>
    <row r="209" spans="3:3" hidden="1">
      <c r="C209" s="310"/>
    </row>
    <row r="210" spans="3:3" hidden="1">
      <c r="C210" s="310"/>
    </row>
    <row r="215" spans="3:3"/>
    <row r="216" spans="3:3"/>
    <row r="217" spans="3:3"/>
    <row r="218" spans="3:3"/>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0:R70"/>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P30 R30 Q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2" workbookViewId="0">
      <selection activeCell="E6" sqref="E6"/>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53" t="s">
        <v>2429</v>
      </c>
      <c r="B1" s="1853"/>
      <c r="C1" s="1853"/>
      <c r="D1" s="1853"/>
      <c r="E1" s="1853"/>
      <c r="F1" s="1853"/>
      <c r="G1" s="1853"/>
      <c r="H1" s="1853"/>
      <c r="I1" s="1853"/>
    </row>
    <row r="2" spans="1:9">
      <c r="A2" s="505"/>
      <c r="B2" s="505"/>
      <c r="C2" s="505"/>
      <c r="D2" s="505"/>
      <c r="E2" s="505"/>
      <c r="F2" s="505"/>
      <c r="G2" s="505"/>
      <c r="H2" s="505"/>
      <c r="I2" s="505"/>
    </row>
    <row r="3" spans="1:9" ht="105" customHeight="1">
      <c r="A3" s="506" t="s">
        <v>2430</v>
      </c>
      <c r="B3" s="506" t="s">
        <v>2431</v>
      </c>
      <c r="C3" s="381" t="s">
        <v>2432</v>
      </c>
      <c r="D3" s="505"/>
      <c r="E3" s="381" t="s">
        <v>2433</v>
      </c>
      <c r="F3" s="506" t="s">
        <v>2434</v>
      </c>
      <c r="G3" s="507"/>
      <c r="H3" s="506" t="s">
        <v>2435</v>
      </c>
      <c r="I3" s="506" t="s">
        <v>2436</v>
      </c>
    </row>
    <row r="4" spans="1:9">
      <c r="A4" s="508" t="str">
        <f>Application!$B695</f>
        <v>1 Bedroom</v>
      </c>
      <c r="B4" s="828">
        <f>Application!$G695</f>
        <v>3</v>
      </c>
      <c r="C4" s="508">
        <f>Application!$O695</f>
        <v>495</v>
      </c>
      <c r="D4" s="509"/>
      <c r="E4" s="826">
        <v>1265</v>
      </c>
      <c r="F4" s="508">
        <f>$E4*$B4</f>
        <v>3795</v>
      </c>
      <c r="G4" s="509"/>
      <c r="H4" s="508">
        <f>IF($E4=0,0,MAX($E4-$C4,0))</f>
        <v>770</v>
      </c>
      <c r="I4" s="508">
        <f>IF($H4=0,0,($H4*$B4))</f>
        <v>2310</v>
      </c>
    </row>
    <row r="5" spans="1:9">
      <c r="A5" s="508" t="str">
        <f>Application!$B696</f>
        <v>1 Bedroom</v>
      </c>
      <c r="B5" s="827">
        <f>Application!$G696</f>
        <v>4</v>
      </c>
      <c r="C5" s="508">
        <f>Application!$O696</f>
        <v>660</v>
      </c>
      <c r="D5" s="509"/>
      <c r="E5" s="826">
        <v>1265</v>
      </c>
      <c r="F5" s="508">
        <f t="shared" ref="F5:F38" si="0">$E5*$B5</f>
        <v>5060</v>
      </c>
      <c r="G5" s="509"/>
      <c r="H5" s="508">
        <f t="shared" ref="H5:H38" si="1">IF($E5=0,0,MAX($E5-$C5,0))</f>
        <v>605</v>
      </c>
      <c r="I5" s="508">
        <f t="shared" ref="I5:I38" si="2">IF($H5=0,0,($H5*$B5))</f>
        <v>2420</v>
      </c>
    </row>
    <row r="6" spans="1:9">
      <c r="A6" s="508" t="str">
        <f>Application!$B697</f>
        <v>1 Bedroom</v>
      </c>
      <c r="B6" s="827">
        <f>Application!$G697</f>
        <v>15</v>
      </c>
      <c r="C6" s="508">
        <f>Application!$O697</f>
        <v>825</v>
      </c>
      <c r="D6" s="509"/>
      <c r="E6" s="826">
        <v>1265</v>
      </c>
      <c r="F6" s="508">
        <f t="shared" si="0"/>
        <v>18975</v>
      </c>
      <c r="G6" s="509"/>
      <c r="H6" s="508">
        <f t="shared" si="1"/>
        <v>440</v>
      </c>
      <c r="I6" s="508">
        <f t="shared" si="2"/>
        <v>6600</v>
      </c>
    </row>
    <row r="7" spans="1:9">
      <c r="A7" s="508">
        <f>Application!$B698</f>
        <v>0</v>
      </c>
      <c r="B7" s="827">
        <f>Application!$G698</f>
        <v>0</v>
      </c>
      <c r="C7" s="508">
        <f>Application!$O698</f>
        <v>0</v>
      </c>
      <c r="D7" s="509"/>
      <c r="E7" s="826"/>
      <c r="F7" s="508">
        <f t="shared" si="0"/>
        <v>0</v>
      </c>
      <c r="G7" s="509"/>
      <c r="H7" s="508">
        <f t="shared" si="1"/>
        <v>0</v>
      </c>
      <c r="I7" s="508">
        <f t="shared" si="2"/>
        <v>0</v>
      </c>
    </row>
    <row r="8" spans="1:9">
      <c r="A8" s="508">
        <f>Application!$B699</f>
        <v>0</v>
      </c>
      <c r="B8" s="827">
        <f>Application!$G699</f>
        <v>0</v>
      </c>
      <c r="C8" s="508">
        <f>Application!$O699</f>
        <v>0</v>
      </c>
      <c r="D8" s="509"/>
      <c r="E8" s="826"/>
      <c r="F8" s="508">
        <f t="shared" si="0"/>
        <v>0</v>
      </c>
      <c r="G8" s="509"/>
      <c r="H8" s="508">
        <f t="shared" si="1"/>
        <v>0</v>
      </c>
      <c r="I8" s="508">
        <f t="shared" si="2"/>
        <v>0</v>
      </c>
    </row>
    <row r="9" spans="1:9">
      <c r="A9" s="508">
        <f>Application!$B700</f>
        <v>0</v>
      </c>
      <c r="B9" s="827">
        <f>Application!$G700</f>
        <v>0</v>
      </c>
      <c r="C9" s="508">
        <f>Application!$O700</f>
        <v>0</v>
      </c>
      <c r="D9" s="509"/>
      <c r="E9" s="826"/>
      <c r="F9" s="508">
        <f t="shared" si="0"/>
        <v>0</v>
      </c>
      <c r="G9" s="509"/>
      <c r="H9" s="508">
        <f t="shared" si="1"/>
        <v>0</v>
      </c>
      <c r="I9" s="508">
        <f t="shared" si="2"/>
        <v>0</v>
      </c>
    </row>
    <row r="10" spans="1:9">
      <c r="A10" s="508">
        <f>Application!$B701</f>
        <v>0</v>
      </c>
      <c r="B10" s="827">
        <f>Application!$G701</f>
        <v>0</v>
      </c>
      <c r="C10" s="508">
        <f>Application!$O701</f>
        <v>0</v>
      </c>
      <c r="D10" s="509"/>
      <c r="E10" s="826"/>
      <c r="F10" s="508">
        <f t="shared" si="0"/>
        <v>0</v>
      </c>
      <c r="G10" s="509"/>
      <c r="H10" s="508">
        <f t="shared" si="1"/>
        <v>0</v>
      </c>
      <c r="I10" s="508">
        <f t="shared" si="2"/>
        <v>0</v>
      </c>
    </row>
    <row r="11" spans="1:9">
      <c r="A11" s="508">
        <f>Application!$B702</f>
        <v>0</v>
      </c>
      <c r="B11" s="827">
        <f>Application!$G702</f>
        <v>0</v>
      </c>
      <c r="C11" s="508">
        <f>Application!$O702</f>
        <v>0</v>
      </c>
      <c r="D11" s="509"/>
      <c r="E11" s="826"/>
      <c r="F11" s="508">
        <f t="shared" si="0"/>
        <v>0</v>
      </c>
      <c r="G11" s="509"/>
      <c r="H11" s="508">
        <f t="shared" si="1"/>
        <v>0</v>
      </c>
      <c r="I11" s="508">
        <f t="shared" si="2"/>
        <v>0</v>
      </c>
    </row>
    <row r="12" spans="1:9">
      <c r="A12" s="508">
        <f>Application!$B703</f>
        <v>0</v>
      </c>
      <c r="B12" s="827">
        <f>Application!$G703</f>
        <v>0</v>
      </c>
      <c r="C12" s="508">
        <f>Application!$O703</f>
        <v>0</v>
      </c>
      <c r="D12" s="509"/>
      <c r="E12" s="826"/>
      <c r="F12" s="508">
        <f t="shared" si="0"/>
        <v>0</v>
      </c>
      <c r="G12" s="509"/>
      <c r="H12" s="508">
        <f t="shared" si="1"/>
        <v>0</v>
      </c>
      <c r="I12" s="508">
        <f t="shared" si="2"/>
        <v>0</v>
      </c>
    </row>
    <row r="13" spans="1:9">
      <c r="A13" s="508">
        <f>Application!$B704</f>
        <v>0</v>
      </c>
      <c r="B13" s="827">
        <f>Application!$G704</f>
        <v>0</v>
      </c>
      <c r="C13" s="508">
        <f>Application!$O704</f>
        <v>0</v>
      </c>
      <c r="D13" s="509"/>
      <c r="E13" s="826"/>
      <c r="F13" s="508">
        <f t="shared" si="0"/>
        <v>0</v>
      </c>
      <c r="G13" s="509"/>
      <c r="H13" s="508">
        <f t="shared" si="1"/>
        <v>0</v>
      </c>
      <c r="I13" s="508">
        <f t="shared" si="2"/>
        <v>0</v>
      </c>
    </row>
    <row r="14" spans="1:9">
      <c r="A14" s="508">
        <f>Application!$B705</f>
        <v>0</v>
      </c>
      <c r="B14" s="827">
        <f>Application!$G705</f>
        <v>0</v>
      </c>
      <c r="C14" s="508">
        <f>Application!$O705</f>
        <v>0</v>
      </c>
      <c r="D14" s="509"/>
      <c r="E14" s="826"/>
      <c r="F14" s="508">
        <f t="shared" si="0"/>
        <v>0</v>
      </c>
      <c r="G14" s="509"/>
      <c r="H14" s="508">
        <f t="shared" si="1"/>
        <v>0</v>
      </c>
      <c r="I14" s="508">
        <f t="shared" si="2"/>
        <v>0</v>
      </c>
    </row>
    <row r="15" spans="1:9">
      <c r="A15" s="508">
        <f>Application!$B706</f>
        <v>0</v>
      </c>
      <c r="B15" s="827">
        <f>Application!$G706</f>
        <v>0</v>
      </c>
      <c r="C15" s="508">
        <f>Application!$O706</f>
        <v>0</v>
      </c>
      <c r="D15" s="509"/>
      <c r="E15" s="826"/>
      <c r="F15" s="508">
        <f t="shared" si="0"/>
        <v>0</v>
      </c>
      <c r="G15" s="509"/>
      <c r="H15" s="508">
        <f t="shared" si="1"/>
        <v>0</v>
      </c>
      <c r="I15" s="508">
        <f t="shared" si="2"/>
        <v>0</v>
      </c>
    </row>
    <row r="16" spans="1:9">
      <c r="A16" s="508">
        <f>Application!$B707</f>
        <v>0</v>
      </c>
      <c r="B16" s="827">
        <f>Application!$G707</f>
        <v>0</v>
      </c>
      <c r="C16" s="508">
        <f>Application!$O707</f>
        <v>0</v>
      </c>
      <c r="D16" s="509"/>
      <c r="E16" s="826"/>
      <c r="F16" s="508">
        <f t="shared" si="0"/>
        <v>0</v>
      </c>
      <c r="G16" s="509"/>
      <c r="H16" s="508">
        <f t="shared" si="1"/>
        <v>0</v>
      </c>
      <c r="I16" s="508">
        <f t="shared" si="2"/>
        <v>0</v>
      </c>
    </row>
    <row r="17" spans="1:9">
      <c r="A17" s="508">
        <f>Application!$B708</f>
        <v>0</v>
      </c>
      <c r="B17" s="827">
        <f>Application!$G708</f>
        <v>0</v>
      </c>
      <c r="C17" s="508">
        <f>Application!$O708</f>
        <v>0</v>
      </c>
      <c r="D17" s="509"/>
      <c r="E17" s="826"/>
      <c r="F17" s="508">
        <f t="shared" si="0"/>
        <v>0</v>
      </c>
      <c r="G17" s="509"/>
      <c r="H17" s="508">
        <f t="shared" si="1"/>
        <v>0</v>
      </c>
      <c r="I17" s="508">
        <f t="shared" si="2"/>
        <v>0</v>
      </c>
    </row>
    <row r="18" spans="1:9">
      <c r="A18" s="508">
        <f>Application!$B709</f>
        <v>0</v>
      </c>
      <c r="B18" s="827">
        <f>Application!$G709</f>
        <v>0</v>
      </c>
      <c r="C18" s="508">
        <f>Application!$O709</f>
        <v>0</v>
      </c>
      <c r="D18" s="509"/>
      <c r="E18" s="826"/>
      <c r="F18" s="508">
        <f t="shared" si="0"/>
        <v>0</v>
      </c>
      <c r="G18" s="509"/>
      <c r="H18" s="508">
        <f t="shared" si="1"/>
        <v>0</v>
      </c>
      <c r="I18" s="508">
        <f t="shared" si="2"/>
        <v>0</v>
      </c>
    </row>
    <row r="19" spans="1:9">
      <c r="A19" s="508">
        <f>Application!$B710</f>
        <v>0</v>
      </c>
      <c r="B19" s="827">
        <f>Application!$G710</f>
        <v>0</v>
      </c>
      <c r="C19" s="508">
        <f>Application!$O710</f>
        <v>0</v>
      </c>
      <c r="D19" s="509"/>
      <c r="E19" s="826"/>
      <c r="F19" s="508">
        <f t="shared" si="0"/>
        <v>0</v>
      </c>
      <c r="G19" s="509"/>
      <c r="H19" s="508">
        <f t="shared" si="1"/>
        <v>0</v>
      </c>
      <c r="I19" s="508">
        <f t="shared" si="2"/>
        <v>0</v>
      </c>
    </row>
    <row r="20" spans="1:9">
      <c r="A20" s="508">
        <f>Application!$B711</f>
        <v>0</v>
      </c>
      <c r="B20" s="827">
        <f>Application!$G711</f>
        <v>0</v>
      </c>
      <c r="C20" s="508">
        <f>Application!$O711</f>
        <v>0</v>
      </c>
      <c r="D20" s="509"/>
      <c r="E20" s="826"/>
      <c r="F20" s="508">
        <f t="shared" si="0"/>
        <v>0</v>
      </c>
      <c r="G20" s="509"/>
      <c r="H20" s="508">
        <f t="shared" si="1"/>
        <v>0</v>
      </c>
      <c r="I20" s="508">
        <f t="shared" si="2"/>
        <v>0</v>
      </c>
    </row>
    <row r="21" spans="1:9">
      <c r="A21" s="508">
        <f>Application!$B712</f>
        <v>0</v>
      </c>
      <c r="B21" s="827">
        <f>Application!$G712</f>
        <v>0</v>
      </c>
      <c r="C21" s="508">
        <f>Application!$O712</f>
        <v>0</v>
      </c>
      <c r="D21" s="509"/>
      <c r="E21" s="826"/>
      <c r="F21" s="508">
        <f t="shared" si="0"/>
        <v>0</v>
      </c>
      <c r="G21" s="509"/>
      <c r="H21" s="508">
        <f t="shared" si="1"/>
        <v>0</v>
      </c>
      <c r="I21" s="508">
        <f t="shared" si="2"/>
        <v>0</v>
      </c>
    </row>
    <row r="22" spans="1:9">
      <c r="A22" s="508">
        <f>Application!$B713</f>
        <v>0</v>
      </c>
      <c r="B22" s="827">
        <f>Application!$G713</f>
        <v>0</v>
      </c>
      <c r="C22" s="508">
        <f>Application!$O713</f>
        <v>0</v>
      </c>
      <c r="D22" s="509"/>
      <c r="E22" s="826"/>
      <c r="F22" s="508">
        <f t="shared" si="0"/>
        <v>0</v>
      </c>
      <c r="G22" s="509"/>
      <c r="H22" s="508">
        <f t="shared" si="1"/>
        <v>0</v>
      </c>
      <c r="I22" s="508">
        <f t="shared" si="2"/>
        <v>0</v>
      </c>
    </row>
    <row r="23" spans="1:9">
      <c r="A23" s="508">
        <f>Application!$B714</f>
        <v>0</v>
      </c>
      <c r="B23" s="827">
        <f>Application!$G714</f>
        <v>0</v>
      </c>
      <c r="C23" s="508">
        <f>Application!$O714</f>
        <v>0</v>
      </c>
      <c r="D23" s="509"/>
      <c r="E23" s="826"/>
      <c r="F23" s="508">
        <f t="shared" si="0"/>
        <v>0</v>
      </c>
      <c r="G23" s="509"/>
      <c r="H23" s="508">
        <f t="shared" si="1"/>
        <v>0</v>
      </c>
      <c r="I23" s="508">
        <f t="shared" si="2"/>
        <v>0</v>
      </c>
    </row>
    <row r="24" spans="1:9">
      <c r="A24" s="508">
        <f>Application!$B715</f>
        <v>0</v>
      </c>
      <c r="B24" s="827">
        <f>Application!$G715</f>
        <v>0</v>
      </c>
      <c r="C24" s="508">
        <f>Application!$O715</f>
        <v>0</v>
      </c>
      <c r="D24" s="509"/>
      <c r="E24" s="826"/>
      <c r="F24" s="508">
        <f t="shared" si="0"/>
        <v>0</v>
      </c>
      <c r="G24" s="509"/>
      <c r="H24" s="508">
        <f t="shared" si="1"/>
        <v>0</v>
      </c>
      <c r="I24" s="508">
        <f t="shared" si="2"/>
        <v>0</v>
      </c>
    </row>
    <row r="25" spans="1:9">
      <c r="A25" s="508">
        <f>Application!$B716</f>
        <v>0</v>
      </c>
      <c r="B25" s="827">
        <f>Application!$G716</f>
        <v>0</v>
      </c>
      <c r="C25" s="508">
        <f>Application!$O716</f>
        <v>0</v>
      </c>
      <c r="D25" s="509"/>
      <c r="E25" s="826"/>
      <c r="F25" s="508">
        <f t="shared" si="0"/>
        <v>0</v>
      </c>
      <c r="G25" s="509"/>
      <c r="H25" s="508">
        <f t="shared" si="1"/>
        <v>0</v>
      </c>
      <c r="I25" s="508">
        <f t="shared" si="2"/>
        <v>0</v>
      </c>
    </row>
    <row r="26" spans="1:9">
      <c r="A26" s="508">
        <f>Application!$B717</f>
        <v>0</v>
      </c>
      <c r="B26" s="827">
        <f>Application!$G717</f>
        <v>0</v>
      </c>
      <c r="C26" s="508">
        <f>Application!$O717</f>
        <v>0</v>
      </c>
      <c r="D26" s="509"/>
      <c r="E26" s="826"/>
      <c r="F26" s="508">
        <f t="shared" si="0"/>
        <v>0</v>
      </c>
      <c r="G26" s="509"/>
      <c r="H26" s="508">
        <f t="shared" si="1"/>
        <v>0</v>
      </c>
      <c r="I26" s="508">
        <f t="shared" si="2"/>
        <v>0</v>
      </c>
    </row>
    <row r="27" spans="1:9">
      <c r="A27" s="508">
        <f>Application!$B718</f>
        <v>0</v>
      </c>
      <c r="B27" s="827">
        <f>Application!$G718</f>
        <v>0</v>
      </c>
      <c r="C27" s="508">
        <f>Application!$O718</f>
        <v>0</v>
      </c>
      <c r="D27" s="509"/>
      <c r="E27" s="826"/>
      <c r="F27" s="508">
        <f t="shared" si="0"/>
        <v>0</v>
      </c>
      <c r="G27" s="509"/>
      <c r="H27" s="508">
        <f t="shared" si="1"/>
        <v>0</v>
      </c>
      <c r="I27" s="508">
        <f t="shared" si="2"/>
        <v>0</v>
      </c>
    </row>
    <row r="28" spans="1:9">
      <c r="A28" s="508">
        <f>Application!$B719</f>
        <v>0</v>
      </c>
      <c r="B28" s="827">
        <f>Application!$G719</f>
        <v>0</v>
      </c>
      <c r="C28" s="508">
        <f>Application!$O719</f>
        <v>0</v>
      </c>
      <c r="D28" s="509"/>
      <c r="E28" s="826"/>
      <c r="F28" s="508">
        <f t="shared" si="0"/>
        <v>0</v>
      </c>
      <c r="G28" s="509"/>
      <c r="H28" s="508">
        <f t="shared" si="1"/>
        <v>0</v>
      </c>
      <c r="I28" s="508">
        <f t="shared" si="2"/>
        <v>0</v>
      </c>
    </row>
    <row r="29" spans="1:9">
      <c r="A29" s="508">
        <f>Application!$B720</f>
        <v>0</v>
      </c>
      <c r="B29" s="827">
        <f>Application!$G720</f>
        <v>0</v>
      </c>
      <c r="C29" s="508">
        <f>Application!$O720</f>
        <v>0</v>
      </c>
      <c r="D29" s="509"/>
      <c r="E29" s="826"/>
      <c r="F29" s="508">
        <f t="shared" si="0"/>
        <v>0</v>
      </c>
      <c r="G29" s="509"/>
      <c r="H29" s="508">
        <f t="shared" si="1"/>
        <v>0</v>
      </c>
      <c r="I29" s="508">
        <f t="shared" si="2"/>
        <v>0</v>
      </c>
    </row>
    <row r="30" spans="1:9">
      <c r="A30" s="508">
        <f>Application!$B721</f>
        <v>0</v>
      </c>
      <c r="B30" s="827">
        <f>Application!$G721</f>
        <v>0</v>
      </c>
      <c r="C30" s="508">
        <f>Application!$O721</f>
        <v>0</v>
      </c>
      <c r="D30" s="509"/>
      <c r="E30" s="826"/>
      <c r="F30" s="508">
        <f t="shared" si="0"/>
        <v>0</v>
      </c>
      <c r="G30" s="509"/>
      <c r="H30" s="508">
        <f t="shared" si="1"/>
        <v>0</v>
      </c>
      <c r="I30" s="508">
        <f t="shared" si="2"/>
        <v>0</v>
      </c>
    </row>
    <row r="31" spans="1:9">
      <c r="A31" s="508">
        <f>Application!$B722</f>
        <v>0</v>
      </c>
      <c r="B31" s="827">
        <f>Application!$G722</f>
        <v>0</v>
      </c>
      <c r="C31" s="508">
        <f>Application!$O722</f>
        <v>0</v>
      </c>
      <c r="D31" s="509"/>
      <c r="E31" s="826"/>
      <c r="F31" s="508">
        <f t="shared" si="0"/>
        <v>0</v>
      </c>
      <c r="G31" s="509"/>
      <c r="H31" s="508">
        <f t="shared" si="1"/>
        <v>0</v>
      </c>
      <c r="I31" s="508">
        <f t="shared" si="2"/>
        <v>0</v>
      </c>
    </row>
    <row r="32" spans="1:9">
      <c r="A32" s="508">
        <f>Application!$B723</f>
        <v>0</v>
      </c>
      <c r="B32" s="827">
        <f>Application!$G723</f>
        <v>0</v>
      </c>
      <c r="C32" s="508">
        <f>Application!$O723</f>
        <v>0</v>
      </c>
      <c r="D32" s="509"/>
      <c r="E32" s="826"/>
      <c r="F32" s="508">
        <f t="shared" si="0"/>
        <v>0</v>
      </c>
      <c r="G32" s="509"/>
      <c r="H32" s="508">
        <f t="shared" si="1"/>
        <v>0</v>
      </c>
      <c r="I32" s="508">
        <f t="shared" si="2"/>
        <v>0</v>
      </c>
    </row>
    <row r="33" spans="1:9">
      <c r="A33" s="508">
        <f>Application!$B724</f>
        <v>0</v>
      </c>
      <c r="B33" s="827">
        <f>Application!$G724</f>
        <v>0</v>
      </c>
      <c r="C33" s="508">
        <f>Application!$O724</f>
        <v>0</v>
      </c>
      <c r="D33" s="509"/>
      <c r="E33" s="826"/>
      <c r="F33" s="508">
        <f t="shared" si="0"/>
        <v>0</v>
      </c>
      <c r="G33" s="509"/>
      <c r="H33" s="508">
        <f t="shared" si="1"/>
        <v>0</v>
      </c>
      <c r="I33" s="508">
        <f t="shared" si="2"/>
        <v>0</v>
      </c>
    </row>
    <row r="34" spans="1:9">
      <c r="A34" s="508">
        <f>Application!$B725</f>
        <v>0</v>
      </c>
      <c r="B34" s="827">
        <f>Application!$G725</f>
        <v>0</v>
      </c>
      <c r="C34" s="508">
        <f>Application!$O725</f>
        <v>0</v>
      </c>
      <c r="D34" s="509"/>
      <c r="E34" s="826"/>
      <c r="F34" s="508">
        <f t="shared" si="0"/>
        <v>0</v>
      </c>
      <c r="G34" s="509"/>
      <c r="H34" s="508">
        <f t="shared" si="1"/>
        <v>0</v>
      </c>
      <c r="I34" s="508">
        <f t="shared" si="2"/>
        <v>0</v>
      </c>
    </row>
    <row r="35" spans="1:9">
      <c r="A35" s="508">
        <f>Application!$B726</f>
        <v>0</v>
      </c>
      <c r="B35" s="827">
        <f>Application!$G726</f>
        <v>0</v>
      </c>
      <c r="C35" s="508">
        <f>Application!$O726</f>
        <v>0</v>
      </c>
      <c r="D35" s="509"/>
      <c r="E35" s="826"/>
      <c r="F35" s="508">
        <f t="shared" si="0"/>
        <v>0</v>
      </c>
      <c r="G35" s="509"/>
      <c r="H35" s="508">
        <f t="shared" si="1"/>
        <v>0</v>
      </c>
      <c r="I35" s="508">
        <f t="shared" si="2"/>
        <v>0</v>
      </c>
    </row>
    <row r="36" spans="1:9">
      <c r="A36" s="508">
        <f>Application!$B727</f>
        <v>0</v>
      </c>
      <c r="B36" s="827">
        <f>Application!$G727</f>
        <v>0</v>
      </c>
      <c r="C36" s="508">
        <f>Application!$O727</f>
        <v>0</v>
      </c>
      <c r="D36" s="509"/>
      <c r="E36" s="826"/>
      <c r="F36" s="508">
        <f t="shared" si="0"/>
        <v>0</v>
      </c>
      <c r="G36" s="509"/>
      <c r="H36" s="508">
        <f t="shared" si="1"/>
        <v>0</v>
      </c>
      <c r="I36" s="508">
        <f t="shared" si="2"/>
        <v>0</v>
      </c>
    </row>
    <row r="37" spans="1:9">
      <c r="A37" s="508">
        <f>Application!$B728</f>
        <v>0</v>
      </c>
      <c r="B37" s="827">
        <f>Application!$G728</f>
        <v>0</v>
      </c>
      <c r="C37" s="508">
        <f>Application!$O728</f>
        <v>0</v>
      </c>
      <c r="D37" s="509"/>
      <c r="E37" s="826"/>
      <c r="F37" s="508">
        <f t="shared" si="0"/>
        <v>0</v>
      </c>
      <c r="G37" s="509"/>
      <c r="H37" s="508">
        <f t="shared" si="1"/>
        <v>0</v>
      </c>
      <c r="I37" s="508">
        <f t="shared" si="2"/>
        <v>0</v>
      </c>
    </row>
    <row r="38" spans="1:9">
      <c r="A38" s="508">
        <f>Application!$B729</f>
        <v>0</v>
      </c>
      <c r="B38" s="827">
        <f>Application!$G729</f>
        <v>0</v>
      </c>
      <c r="C38" s="508">
        <f>Application!$O729</f>
        <v>0</v>
      </c>
      <c r="D38" s="509"/>
      <c r="E38" s="826"/>
      <c r="F38" s="508">
        <f t="shared" si="0"/>
        <v>0</v>
      </c>
      <c r="G38" s="509"/>
      <c r="H38" s="508">
        <f t="shared" si="1"/>
        <v>0</v>
      </c>
      <c r="I38" s="508">
        <f t="shared" si="2"/>
        <v>0</v>
      </c>
    </row>
    <row r="39" spans="1:9">
      <c r="A39" s="505"/>
      <c r="B39" s="505"/>
      <c r="C39" s="509"/>
      <c r="D39" s="509"/>
      <c r="E39" s="509"/>
      <c r="F39" s="509"/>
      <c r="G39" s="509"/>
      <c r="H39" s="509"/>
      <c r="I39" s="505"/>
    </row>
    <row r="40" spans="1:9">
      <c r="A40" s="510" t="s">
        <v>2437</v>
      </c>
      <c r="B40" s="511"/>
      <c r="C40" s="512">
        <f>Application!$T$730*12</f>
        <v>198000</v>
      </c>
      <c r="D40" s="509"/>
      <c r="E40" s="509"/>
      <c r="F40" s="512">
        <f>SUM(F4:F38)*12</f>
        <v>333960</v>
      </c>
      <c r="G40" s="513"/>
      <c r="H40" s="511"/>
      <c r="I40" s="512">
        <f>SUM(I4:I38)*12</f>
        <v>135960</v>
      </c>
    </row>
    <row r="41" spans="1:9">
      <c r="A41" s="510"/>
      <c r="B41" s="511"/>
      <c r="C41" s="513"/>
      <c r="D41" s="509"/>
      <c r="E41" s="509"/>
      <c r="F41" s="513"/>
      <c r="G41" s="513"/>
      <c r="H41" s="511"/>
      <c r="I41" s="513"/>
    </row>
    <row r="42" spans="1:9">
      <c r="A42" s="505" t="s">
        <v>2438</v>
      </c>
      <c r="B42" s="505"/>
      <c r="C42" s="505"/>
      <c r="D42" s="505"/>
      <c r="E42" s="505"/>
      <c r="F42" s="505"/>
      <c r="G42" s="505"/>
      <c r="H42" s="505"/>
      <c r="I42" s="505"/>
    </row>
    <row r="43" spans="1:9">
      <c r="A43" s="505" t="s">
        <v>2439</v>
      </c>
      <c r="B43" s="505"/>
      <c r="C43" s="505"/>
      <c r="D43" s="505"/>
      <c r="E43" s="505"/>
      <c r="F43" s="505"/>
      <c r="G43" s="505"/>
      <c r="H43" s="505"/>
      <c r="I43" s="505"/>
    </row>
    <row r="44" spans="1:9">
      <c r="A44" s="505" t="s">
        <v>2440</v>
      </c>
      <c r="B44" s="505"/>
      <c r="C44" s="505"/>
      <c r="D44" s="505"/>
      <c r="E44" s="505"/>
      <c r="F44" s="505"/>
      <c r="G44" s="505"/>
      <c r="H44" s="505"/>
      <c r="I44" s="505"/>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399" t="s">
        <v>2441</v>
      </c>
    </row>
    <row r="2" spans="1:1" ht="15.6">
      <c r="A2" s="397"/>
    </row>
    <row r="3" spans="1:1" ht="15.6">
      <c r="A3" s="398" t="s">
        <v>2442</v>
      </c>
    </row>
    <row r="4" spans="1:1" ht="15.6">
      <c r="A4" s="398" t="s">
        <v>2443</v>
      </c>
    </row>
    <row r="5" spans="1:1" ht="15.6">
      <c r="A5" s="398" t="s">
        <v>2444</v>
      </c>
    </row>
    <row r="6" spans="1:1" ht="15.6">
      <c r="A6" s="398" t="s">
        <v>2445</v>
      </c>
    </row>
    <row r="7" spans="1:1" ht="15.6">
      <c r="A7" s="398" t="s">
        <v>2446</v>
      </c>
    </row>
    <row r="8" spans="1:1" ht="15.6">
      <c r="A8" s="471" t="s">
        <v>2447</v>
      </c>
    </row>
    <row r="9" spans="1:1" ht="15.6">
      <c r="A9" s="398" t="s">
        <v>2448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19" t="s">
        <v>2449</v>
      </c>
      <c r="B1" s="1520"/>
      <c r="C1" s="1520"/>
      <c r="D1" s="1520"/>
      <c r="E1" s="1520"/>
      <c r="F1" s="1520"/>
      <c r="G1" s="1520"/>
      <c r="H1" s="1520"/>
      <c r="I1" s="1520"/>
      <c r="J1" s="1520"/>
      <c r="K1" s="1520"/>
      <c r="L1" s="1520"/>
      <c r="M1" s="1520"/>
      <c r="N1" s="1520"/>
      <c r="O1" s="1520"/>
      <c r="P1" s="1520"/>
      <c r="Q1" s="1520"/>
      <c r="R1" s="1520"/>
      <c r="S1" s="1520"/>
      <c r="T1" s="1520"/>
      <c r="U1" s="1520"/>
      <c r="V1" s="1520"/>
      <c r="W1" s="1520"/>
      <c r="X1" s="1520"/>
      <c r="Y1" s="1520"/>
      <c r="Z1" s="1520"/>
      <c r="AA1" s="1520"/>
      <c r="AB1" s="1520"/>
      <c r="AC1" s="1520"/>
      <c r="AD1" s="1520"/>
      <c r="AE1" s="1520"/>
      <c r="AF1" s="1520"/>
      <c r="AG1" s="1520"/>
      <c r="AH1" s="1520"/>
      <c r="AI1" s="1520"/>
      <c r="AJ1" s="1520"/>
      <c r="AK1" s="1520"/>
      <c r="AL1" s="1520"/>
      <c r="AM1" s="1520"/>
      <c r="AN1" s="1520"/>
    </row>
    <row r="2" spans="1:40" ht="12.9" customHeight="1" thickBot="1">
      <c r="A2" s="1521"/>
      <c r="B2" s="1521"/>
      <c r="C2" s="1521"/>
      <c r="D2" s="1521"/>
      <c r="E2" s="1521"/>
      <c r="F2" s="1521"/>
      <c r="G2" s="1521"/>
      <c r="H2" s="1521"/>
      <c r="I2" s="1521"/>
      <c r="J2" s="1521"/>
      <c r="K2" s="1521"/>
      <c r="L2" s="1521"/>
      <c r="M2" s="1521"/>
      <c r="N2" s="1521"/>
      <c r="O2" s="1521"/>
      <c r="P2" s="1521"/>
      <c r="Q2" s="1521"/>
      <c r="R2" s="1521"/>
      <c r="S2" s="1521"/>
      <c r="T2" s="1521"/>
      <c r="U2" s="1521"/>
      <c r="V2" s="1521"/>
      <c r="W2" s="1521"/>
      <c r="X2" s="1521"/>
      <c r="Y2" s="1521"/>
      <c r="Z2" s="1521"/>
      <c r="AA2" s="1521"/>
      <c r="AB2" s="1521"/>
      <c r="AC2" s="1521"/>
      <c r="AD2" s="1521"/>
      <c r="AE2" s="1521"/>
      <c r="AF2" s="1521"/>
      <c r="AG2" s="1521"/>
      <c r="AH2" s="1521"/>
      <c r="AI2" s="1521"/>
      <c r="AJ2" s="1521"/>
      <c r="AK2" s="1521"/>
      <c r="AL2" s="1521"/>
      <c r="AM2" s="1521"/>
      <c r="AN2" s="1521"/>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791</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08" t="s">
        <v>2450</v>
      </c>
      <c r="U7" s="1508"/>
      <c r="V7" s="1508"/>
      <c r="W7" s="1508"/>
      <c r="X7" s="1508"/>
      <c r="Y7" s="1508" t="s">
        <v>2451</v>
      </c>
      <c r="Z7" s="1508"/>
      <c r="AA7" s="1508"/>
      <c r="AB7" s="1508"/>
      <c r="AC7" s="1508"/>
      <c r="AD7" s="1508" t="s">
        <v>2452</v>
      </c>
      <c r="AE7" s="1508"/>
      <c r="AF7" s="1508"/>
      <c r="AG7" s="1508"/>
      <c r="AH7" s="1508"/>
      <c r="AI7" s="1508" t="s">
        <v>2453</v>
      </c>
      <c r="AJ7" s="1508"/>
      <c r="AK7" s="1508"/>
      <c r="AL7" s="1508"/>
      <c r="AM7" s="1508"/>
    </row>
    <row r="8" spans="1:40" ht="12.9" customHeight="1">
      <c r="B8" s="175"/>
      <c r="T8" s="1508"/>
      <c r="U8" s="1508"/>
      <c r="V8" s="1508"/>
      <c r="W8" s="1508"/>
      <c r="X8" s="1508"/>
      <c r="Y8" s="1508"/>
      <c r="Z8" s="1508"/>
      <c r="AA8" s="1508"/>
      <c r="AB8" s="1508"/>
      <c r="AC8" s="1508"/>
      <c r="AD8" s="1508"/>
      <c r="AE8" s="1508"/>
      <c r="AF8" s="1508"/>
      <c r="AG8" s="1508"/>
      <c r="AH8" s="1508"/>
      <c r="AI8" s="1508"/>
      <c r="AJ8" s="1508"/>
      <c r="AK8" s="1508"/>
      <c r="AL8" s="1508"/>
      <c r="AM8" s="1508"/>
    </row>
    <row r="9" spans="1:40" ht="12.9" customHeight="1">
      <c r="B9" s="175"/>
      <c r="T9" s="1508"/>
      <c r="U9" s="1508"/>
      <c r="V9" s="1508"/>
      <c r="W9" s="1508"/>
      <c r="X9" s="1508"/>
      <c r="Y9" s="1508"/>
      <c r="Z9" s="1508"/>
      <c r="AA9" s="1508"/>
      <c r="AB9" s="1508"/>
      <c r="AC9" s="1508"/>
      <c r="AD9" s="1508"/>
      <c r="AE9" s="1508"/>
      <c r="AF9" s="1508"/>
      <c r="AG9" s="1508"/>
      <c r="AH9" s="1508"/>
      <c r="AI9" s="1508"/>
      <c r="AJ9" s="1508"/>
      <c r="AK9" s="1508"/>
      <c r="AL9" s="1508"/>
      <c r="AM9" s="1508"/>
    </row>
    <row r="10" spans="1:40" ht="12.9" customHeight="1">
      <c r="B10" s="46"/>
      <c r="C10" s="47"/>
      <c r="D10" s="47"/>
      <c r="E10" s="47"/>
      <c r="F10" s="47"/>
      <c r="G10" s="47"/>
      <c r="H10" s="47"/>
      <c r="I10" s="47"/>
      <c r="J10" s="47"/>
      <c r="K10" s="47"/>
      <c r="L10" s="47"/>
      <c r="M10" s="47"/>
      <c r="N10" s="47"/>
      <c r="O10" s="47"/>
      <c r="P10" s="47"/>
      <c r="Q10" s="47"/>
      <c r="R10" s="47"/>
      <c r="S10" s="47"/>
      <c r="T10" s="1508"/>
      <c r="U10" s="1508"/>
      <c r="V10" s="1508"/>
      <c r="W10" s="1508"/>
      <c r="X10" s="1508"/>
      <c r="Y10" s="1508"/>
      <c r="Z10" s="1508"/>
      <c r="AA10" s="1508"/>
      <c r="AB10" s="1508"/>
      <c r="AC10" s="1508"/>
      <c r="AD10" s="1508"/>
      <c r="AE10" s="1508"/>
      <c r="AF10" s="1508"/>
      <c r="AG10" s="1508"/>
      <c r="AH10" s="1508"/>
      <c r="AI10" s="1508"/>
      <c r="AJ10" s="1508"/>
      <c r="AK10" s="1508"/>
      <c r="AL10" s="1508"/>
      <c r="AM10" s="1508"/>
    </row>
    <row r="11" spans="1:40" ht="12.9" customHeight="1">
      <c r="B11" s="1050" t="s">
        <v>1748</v>
      </c>
      <c r="C11" s="1051"/>
      <c r="D11" s="1051"/>
      <c r="E11" s="1051"/>
      <c r="F11" s="1051"/>
      <c r="G11" s="1051"/>
      <c r="H11" s="1051"/>
      <c r="I11" s="1051"/>
      <c r="J11" s="1051"/>
      <c r="K11" s="1051"/>
      <c r="L11" s="1051"/>
      <c r="M11" s="1051"/>
      <c r="N11" s="1051"/>
      <c r="O11" s="1051"/>
      <c r="P11" s="1051"/>
      <c r="Q11" s="1051"/>
      <c r="R11" s="1051"/>
      <c r="S11" s="1053"/>
      <c r="T11" s="1533">
        <f>IF('Sources and Basis Breakdown'!F105=0,'Sources and Basis Breakdown'!E105,'Sources and Basis Breakdown'!F105)</f>
        <v>4810800.75</v>
      </c>
      <c r="U11" s="1524"/>
      <c r="V11" s="1524"/>
      <c r="W11" s="1524"/>
      <c r="X11" s="1524"/>
      <c r="Y11" s="1523">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2.9" customHeight="1">
      <c r="B12" s="1529" t="s">
        <v>1749</v>
      </c>
      <c r="C12" s="956"/>
      <c r="D12" s="956"/>
      <c r="E12" s="956"/>
      <c r="F12" s="956"/>
      <c r="G12" s="956"/>
      <c r="H12" s="956"/>
      <c r="I12" s="956"/>
      <c r="J12" s="956"/>
      <c r="K12" s="956"/>
      <c r="L12" s="956"/>
      <c r="M12" s="956"/>
      <c r="N12" s="956"/>
      <c r="O12" s="956"/>
      <c r="P12" s="956"/>
      <c r="Q12" s="956"/>
      <c r="R12" s="956"/>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2.9" customHeight="1">
      <c r="B13" s="8"/>
      <c r="C13" s="1531" t="s">
        <v>1750</v>
      </c>
      <c r="D13" s="1531"/>
      <c r="E13" s="1531"/>
      <c r="F13" s="1531"/>
      <c r="G13" s="1531"/>
      <c r="H13" s="1531"/>
      <c r="I13" s="1531"/>
      <c r="J13" s="1531"/>
      <c r="K13" s="1531"/>
      <c r="L13" s="1531"/>
      <c r="M13" s="1531"/>
      <c r="N13" s="1531"/>
      <c r="O13" s="1531"/>
      <c r="P13" s="1531"/>
      <c r="Q13" s="1531"/>
      <c r="R13" s="1531"/>
      <c r="S13" s="1532"/>
      <c r="T13" s="1525">
        <f>'Basis &amp; Credits'!T13</f>
        <v>0</v>
      </c>
      <c r="U13" s="1522"/>
      <c r="V13" s="1522"/>
      <c r="W13" s="1522"/>
      <c r="X13" s="1522"/>
      <c r="Y13" s="1525">
        <f>'Basis &amp; Credits'!Y13</f>
        <v>0</v>
      </c>
      <c r="Z13" s="1522"/>
      <c r="AA13" s="1522"/>
      <c r="AB13" s="1522"/>
      <c r="AC13" s="1522"/>
      <c r="AD13" s="1522">
        <f>'Basis &amp; Credits'!AD13</f>
        <v>0</v>
      </c>
      <c r="AE13" s="1522"/>
      <c r="AF13" s="1522"/>
      <c r="AG13" s="1522"/>
      <c r="AH13" s="1522"/>
      <c r="AI13" s="1522">
        <f>'Basis &amp; Credits'!AI13</f>
        <v>0</v>
      </c>
      <c r="AJ13" s="1522"/>
      <c r="AK13" s="1522"/>
      <c r="AL13" s="1522"/>
      <c r="AM13" s="1522"/>
    </row>
    <row r="14" spans="1:40" ht="12.9" customHeight="1">
      <c r="B14" s="8"/>
      <c r="C14" s="1531" t="s">
        <v>1751</v>
      </c>
      <c r="D14" s="1531"/>
      <c r="E14" s="1531"/>
      <c r="F14" s="1531"/>
      <c r="G14" s="1531"/>
      <c r="H14" s="1531"/>
      <c r="I14" s="1531"/>
      <c r="J14" s="1531"/>
      <c r="K14" s="1531"/>
      <c r="L14" s="1531"/>
      <c r="M14" s="1531"/>
      <c r="N14" s="1531"/>
      <c r="O14" s="1531"/>
      <c r="P14" s="1531"/>
      <c r="Q14" s="1531"/>
      <c r="R14" s="1531"/>
      <c r="S14" s="1532"/>
      <c r="T14" s="1112">
        <f>'Basis &amp; Credits'!T14</f>
        <v>0</v>
      </c>
      <c r="U14" s="1127"/>
      <c r="V14" s="1127"/>
      <c r="W14" s="1127"/>
      <c r="X14" s="1127"/>
      <c r="Y14" s="1112">
        <f>'Basis &amp; Credits'!Y14</f>
        <v>0</v>
      </c>
      <c r="Z14" s="1127"/>
      <c r="AA14" s="1127"/>
      <c r="AB14" s="1127"/>
      <c r="AC14" s="1127"/>
      <c r="AD14" s="1127">
        <f>'Basis &amp; Credits'!AD14</f>
        <v>0</v>
      </c>
      <c r="AE14" s="1127"/>
      <c r="AF14" s="1127"/>
      <c r="AG14" s="1127"/>
      <c r="AH14" s="1127"/>
      <c r="AI14" s="1127">
        <f>'Basis &amp; Credits'!AI14</f>
        <v>0</v>
      </c>
      <c r="AJ14" s="1127"/>
      <c r="AK14" s="1127"/>
      <c r="AL14" s="1127"/>
      <c r="AM14" s="1127"/>
    </row>
    <row r="15" spans="1:40" ht="12.9" customHeight="1">
      <c r="B15" s="8"/>
      <c r="C15" s="1531" t="s">
        <v>1752</v>
      </c>
      <c r="D15" s="1531"/>
      <c r="E15" s="1531"/>
      <c r="F15" s="1531"/>
      <c r="G15" s="1531"/>
      <c r="H15" s="1531"/>
      <c r="I15" s="1531"/>
      <c r="J15" s="1531"/>
      <c r="K15" s="1531"/>
      <c r="L15" s="1531"/>
      <c r="M15" s="1531"/>
      <c r="N15" s="1531"/>
      <c r="O15" s="1531"/>
      <c r="P15" s="1531"/>
      <c r="Q15" s="1531"/>
      <c r="R15" s="1531"/>
      <c r="S15" s="1532"/>
      <c r="T15" s="1112">
        <f>'Basis &amp; Credits'!T15</f>
        <v>0</v>
      </c>
      <c r="U15" s="1127"/>
      <c r="V15" s="1127"/>
      <c r="W15" s="1127"/>
      <c r="X15" s="1127"/>
      <c r="Y15" s="1112">
        <f>'Basis &amp; Credits'!Y15</f>
        <v>0</v>
      </c>
      <c r="Z15" s="1127"/>
      <c r="AA15" s="1127"/>
      <c r="AB15" s="1127"/>
      <c r="AC15" s="1127"/>
      <c r="AD15" s="1127">
        <f>'Basis &amp; Credits'!AD15</f>
        <v>0</v>
      </c>
      <c r="AE15" s="1127"/>
      <c r="AF15" s="1127"/>
      <c r="AG15" s="1127"/>
      <c r="AH15" s="1127"/>
      <c r="AI15" s="1127">
        <f>'Basis &amp; Credits'!AI15</f>
        <v>0</v>
      </c>
      <c r="AJ15" s="1127"/>
      <c r="AK15" s="1127"/>
      <c r="AL15" s="1127"/>
      <c r="AM15" s="1127"/>
    </row>
    <row r="16" spans="1:40" ht="12.9" customHeight="1">
      <c r="B16" s="8"/>
      <c r="C16" s="1531" t="s">
        <v>1753</v>
      </c>
      <c r="D16" s="1531"/>
      <c r="E16" s="1531"/>
      <c r="F16" s="1531"/>
      <c r="G16" s="1531"/>
      <c r="H16" s="1531"/>
      <c r="I16" s="1531"/>
      <c r="J16" s="1531"/>
      <c r="K16" s="1531"/>
      <c r="L16" s="1531"/>
      <c r="M16" s="1531"/>
      <c r="N16" s="1531"/>
      <c r="O16" s="1531"/>
      <c r="P16" s="1531"/>
      <c r="Q16" s="1531"/>
      <c r="R16" s="1531"/>
      <c r="S16" s="1532"/>
      <c r="T16" s="1112">
        <f>'Basis &amp; Credits'!T16</f>
        <v>0</v>
      </c>
      <c r="U16" s="1127"/>
      <c r="V16" s="1127"/>
      <c r="W16" s="1127"/>
      <c r="X16" s="1127"/>
      <c r="Y16" s="1112">
        <f>'Basis &amp; Credits'!Y16</f>
        <v>0</v>
      </c>
      <c r="Z16" s="1127"/>
      <c r="AA16" s="1127"/>
      <c r="AB16" s="1127"/>
      <c r="AC16" s="1127"/>
      <c r="AD16" s="1127">
        <f>'Basis &amp; Credits'!AD16</f>
        <v>0</v>
      </c>
      <c r="AE16" s="1127"/>
      <c r="AF16" s="1127"/>
      <c r="AG16" s="1127"/>
      <c r="AH16" s="1127"/>
      <c r="AI16" s="1127">
        <f>'Basis &amp; Credits'!AI16</f>
        <v>0</v>
      </c>
      <c r="AJ16" s="1127"/>
      <c r="AK16" s="1127"/>
      <c r="AL16" s="1127"/>
      <c r="AM16" s="1127"/>
    </row>
    <row r="17" spans="1:39" ht="12.9" customHeight="1">
      <c r="B17" s="8"/>
      <c r="C17" s="1531" t="s">
        <v>1754</v>
      </c>
      <c r="D17" s="1531"/>
      <c r="E17" s="1531"/>
      <c r="F17" s="1531"/>
      <c r="G17" s="1531"/>
      <c r="H17" s="1531"/>
      <c r="I17" s="1531"/>
      <c r="J17" s="1531"/>
      <c r="K17" s="1531"/>
      <c r="L17" s="1531"/>
      <c r="M17" s="1531"/>
      <c r="N17" s="1531"/>
      <c r="O17" s="1531"/>
      <c r="P17" s="1531"/>
      <c r="Q17" s="1531"/>
      <c r="R17" s="1531"/>
      <c r="S17" s="1532"/>
      <c r="T17" s="1112">
        <f>'Basis &amp; Credits'!T17</f>
        <v>0</v>
      </c>
      <c r="U17" s="1127"/>
      <c r="V17" s="1127"/>
      <c r="W17" s="1127"/>
      <c r="X17" s="1127"/>
      <c r="Y17" s="1112">
        <f>'Basis &amp; Credits'!Y17</f>
        <v>0</v>
      </c>
      <c r="Z17" s="1127"/>
      <c r="AA17" s="1127"/>
      <c r="AB17" s="1127"/>
      <c r="AC17" s="1127"/>
      <c r="AD17" s="1127">
        <f>'Basis &amp; Credits'!AD17</f>
        <v>0</v>
      </c>
      <c r="AE17" s="1127"/>
      <c r="AF17" s="1127"/>
      <c r="AG17" s="1127"/>
      <c r="AH17" s="1127"/>
      <c r="AI17" s="1127">
        <f>'Basis &amp; Credits'!AI17</f>
        <v>0</v>
      </c>
      <c r="AJ17" s="1127"/>
      <c r="AK17" s="1127"/>
      <c r="AL17" s="1127"/>
      <c r="AM17" s="1127"/>
    </row>
    <row r="18" spans="1:39" ht="12.9" customHeight="1">
      <c r="B18" s="500"/>
      <c r="C18" s="1531" t="s">
        <v>2454</v>
      </c>
      <c r="D18" s="1531"/>
      <c r="E18" s="1531"/>
      <c r="F18" s="1531"/>
      <c r="G18" s="1531"/>
      <c r="H18" s="1531"/>
      <c r="I18" s="1531"/>
      <c r="J18" s="1531"/>
      <c r="K18" s="1531"/>
      <c r="L18" s="1531"/>
      <c r="M18" s="1531"/>
      <c r="N18" s="1531"/>
      <c r="O18" s="1531"/>
      <c r="P18" s="1531"/>
      <c r="Q18" s="1531"/>
      <c r="R18" s="1531"/>
      <c r="S18" s="1532"/>
      <c r="T18" s="1110">
        <f>'Basis &amp; Credits'!T18</f>
        <v>0</v>
      </c>
      <c r="U18" s="1111"/>
      <c r="V18" s="1111"/>
      <c r="W18" s="1111"/>
      <c r="X18" s="1112"/>
      <c r="Y18" s="1112">
        <f>'Basis &amp; Credits'!Y18</f>
        <v>0</v>
      </c>
      <c r="Z18" s="1127"/>
      <c r="AA18" s="1127"/>
      <c r="AB18" s="1127"/>
      <c r="AC18" s="1127"/>
      <c r="AD18" s="1127">
        <f>'Basis &amp; Credits'!AD18</f>
        <v>0</v>
      </c>
      <c r="AE18" s="1127"/>
      <c r="AF18" s="1127"/>
      <c r="AG18" s="1127"/>
      <c r="AH18" s="1127"/>
      <c r="AI18" s="1127">
        <f>'Basis &amp; Credits'!AI18</f>
        <v>0</v>
      </c>
      <c r="AJ18" s="1127"/>
      <c r="AK18" s="1127"/>
      <c r="AL18" s="1127"/>
      <c r="AM18" s="1127"/>
    </row>
    <row r="19" spans="1:39" ht="12.9" customHeight="1">
      <c r="B19" s="396"/>
      <c r="C19" s="1319" t="str">
        <f>'Basis &amp; Credits'!C19:S19</f>
        <v>Subtract (specify other ineligible amounts):</v>
      </c>
      <c r="D19" s="1319"/>
      <c r="E19" s="1319"/>
      <c r="F19" s="1319"/>
      <c r="G19" s="1319"/>
      <c r="H19" s="1319"/>
      <c r="I19" s="1319"/>
      <c r="J19" s="1319"/>
      <c r="K19" s="1319"/>
      <c r="L19" s="1319"/>
      <c r="M19" s="1319"/>
      <c r="N19" s="1319"/>
      <c r="O19" s="1319"/>
      <c r="P19" s="1319"/>
      <c r="Q19" s="1319"/>
      <c r="R19" s="1319"/>
      <c r="S19" s="1320"/>
      <c r="T19" s="1112">
        <f>'Basis &amp; Credits'!T19</f>
        <v>0</v>
      </c>
      <c r="U19" s="1127"/>
      <c r="V19" s="1127"/>
      <c r="W19" s="1127"/>
      <c r="X19" s="1127"/>
      <c r="Y19" s="1112">
        <f>'Basis &amp; Credits'!Y19</f>
        <v>0</v>
      </c>
      <c r="Z19" s="1127"/>
      <c r="AA19" s="1127"/>
      <c r="AB19" s="1127"/>
      <c r="AC19" s="1127"/>
      <c r="AD19" s="1127">
        <f>'Basis &amp; Credits'!AD19</f>
        <v>0</v>
      </c>
      <c r="AE19" s="1127"/>
      <c r="AF19" s="1127"/>
      <c r="AG19" s="1127"/>
      <c r="AH19" s="1127"/>
      <c r="AI19" s="1127">
        <f>'Basis &amp; Credits'!AI19</f>
        <v>0</v>
      </c>
      <c r="AJ19" s="1127"/>
      <c r="AK19" s="1127"/>
      <c r="AL19" s="1127"/>
      <c r="AM19" s="1127"/>
    </row>
    <row r="20" spans="1:39" ht="12.9" customHeight="1">
      <c r="B20" s="1050" t="s">
        <v>1756</v>
      </c>
      <c r="C20" s="1051"/>
      <c r="D20" s="1051"/>
      <c r="E20" s="1051"/>
      <c r="F20" s="1051"/>
      <c r="G20" s="1051"/>
      <c r="H20" s="1051"/>
      <c r="I20" s="1051"/>
      <c r="J20" s="1051"/>
      <c r="K20" s="1051"/>
      <c r="L20" s="1051"/>
      <c r="M20" s="1051"/>
      <c r="N20" s="1051"/>
      <c r="O20" s="1051"/>
      <c r="P20" s="1051"/>
      <c r="Q20" s="1051"/>
      <c r="R20" s="1051"/>
      <c r="S20" s="1053"/>
      <c r="T20" s="1505">
        <f>SUM(T13:X19)</f>
        <v>0</v>
      </c>
      <c r="U20" s="1236"/>
      <c r="V20" s="1236"/>
      <c r="W20" s="1236"/>
      <c r="X20" s="1236"/>
      <c r="Y20" s="1505">
        <f>SUM(Y13:AC19)</f>
        <v>0</v>
      </c>
      <c r="Z20" s="1236"/>
      <c r="AA20" s="1236"/>
      <c r="AB20" s="1236"/>
      <c r="AC20" s="1236"/>
      <c r="AD20" s="1236">
        <f>SUM(AD13:AH19)</f>
        <v>0</v>
      </c>
      <c r="AE20" s="1236"/>
      <c r="AF20" s="1236"/>
      <c r="AG20" s="1236"/>
      <c r="AH20" s="1236"/>
      <c r="AI20" s="1236">
        <f>SUM(AI13:AM19)</f>
        <v>0</v>
      </c>
      <c r="AJ20" s="1236"/>
      <c r="AK20" s="1236"/>
      <c r="AL20" s="1236"/>
      <c r="AM20" s="1236"/>
    </row>
    <row r="21" spans="1:39" ht="12.9" customHeight="1">
      <c r="B21" s="1050" t="s">
        <v>1757</v>
      </c>
      <c r="C21" s="1051"/>
      <c r="D21" s="1051"/>
      <c r="E21" s="1051"/>
      <c r="F21" s="1051"/>
      <c r="G21" s="1051"/>
      <c r="H21" s="1051"/>
      <c r="I21" s="1051"/>
      <c r="J21" s="1051"/>
      <c r="K21" s="1051"/>
      <c r="L21" s="1051"/>
      <c r="M21" s="1051"/>
      <c r="N21" s="1051"/>
      <c r="O21" s="1051"/>
      <c r="P21" s="1051"/>
      <c r="Q21" s="1051"/>
      <c r="R21" s="1051"/>
      <c r="S21" s="1053"/>
      <c r="T21" s="1112">
        <f>'Basis &amp; Credits'!E21</f>
        <v>0</v>
      </c>
      <c r="U21" s="1127"/>
      <c r="V21" s="1127"/>
      <c r="W21" s="1127"/>
      <c r="X21" s="1127"/>
      <c r="Y21" s="1112">
        <f>'Basis &amp; Credits'!J21</f>
        <v>0</v>
      </c>
      <c r="Z21" s="1127"/>
      <c r="AA21" s="1127"/>
      <c r="AB21" s="1127"/>
      <c r="AC21" s="1127"/>
      <c r="AD21" s="1127">
        <f>'Basis &amp; Credits'!O21</f>
        <v>0</v>
      </c>
      <c r="AE21" s="1127"/>
      <c r="AF21" s="1127"/>
      <c r="AG21" s="1127"/>
      <c r="AH21" s="1127"/>
      <c r="AI21" s="1127">
        <f>'Basis &amp; Credits'!T21</f>
        <v>0</v>
      </c>
      <c r="AJ21" s="1127"/>
      <c r="AK21" s="1127"/>
      <c r="AL21" s="1127"/>
      <c r="AM21" s="1127"/>
    </row>
    <row r="22" spans="1:39" ht="12.9" customHeight="1">
      <c r="B22" s="1050" t="s">
        <v>1758</v>
      </c>
      <c r="C22" s="1051"/>
      <c r="D22" s="1051"/>
      <c r="E22" s="1051"/>
      <c r="F22" s="1051"/>
      <c r="G22" s="1051"/>
      <c r="H22" s="1051"/>
      <c r="I22" s="1051"/>
      <c r="J22" s="1051"/>
      <c r="K22" s="1051"/>
      <c r="L22" s="1051"/>
      <c r="M22" s="1051"/>
      <c r="N22" s="1051"/>
      <c r="O22" s="1051"/>
      <c r="P22" s="1051"/>
      <c r="Q22" s="1051"/>
      <c r="R22" s="1051"/>
      <c r="S22" s="1053"/>
      <c r="T22" s="1534">
        <f>(T20+T21)*-1</f>
        <v>0</v>
      </c>
      <c r="U22" s="1535"/>
      <c r="V22" s="1535"/>
      <c r="W22" s="1535"/>
      <c r="X22" s="1535"/>
      <c r="Y22" s="1534">
        <f>(Y20+Y21)*-1</f>
        <v>0</v>
      </c>
      <c r="Z22" s="1535"/>
      <c r="AA22" s="1535"/>
      <c r="AB22" s="1535"/>
      <c r="AC22" s="1535"/>
      <c r="AD22" s="1534">
        <f>(AD20+AD21)*-1</f>
        <v>0</v>
      </c>
      <c r="AE22" s="1535"/>
      <c r="AF22" s="1535"/>
      <c r="AG22" s="1535"/>
      <c r="AH22" s="1535"/>
      <c r="AI22" s="1534">
        <f>(AI20+AI21)*-1</f>
        <v>0</v>
      </c>
      <c r="AJ22" s="1535"/>
      <c r="AK22" s="1535"/>
      <c r="AL22" s="1535"/>
      <c r="AM22" s="1535"/>
    </row>
    <row r="23" spans="1:39" ht="12.9" customHeight="1">
      <c r="B23" s="1050" t="s">
        <v>2455</v>
      </c>
      <c r="C23" s="1051"/>
      <c r="D23" s="1051"/>
      <c r="E23" s="1051"/>
      <c r="F23" s="1051"/>
      <c r="G23" s="1051"/>
      <c r="H23" s="1051"/>
      <c r="I23" s="1051"/>
      <c r="J23" s="1051"/>
      <c r="K23" s="1051"/>
      <c r="L23" s="1051"/>
      <c r="M23" s="1051"/>
      <c r="N23" s="1051"/>
      <c r="O23" s="1051"/>
      <c r="P23" s="1051"/>
      <c r="Q23" s="1051"/>
      <c r="R23" s="1051"/>
      <c r="S23" s="1053"/>
      <c r="T23" s="1505">
        <f>T11+T22</f>
        <v>4810800.75</v>
      </c>
      <c r="U23" s="1236"/>
      <c r="V23" s="1236"/>
      <c r="W23" s="1236"/>
      <c r="X23" s="1236"/>
      <c r="Y23" s="1505">
        <f>Y11+Y22</f>
        <v>0</v>
      </c>
      <c r="Z23" s="1236"/>
      <c r="AA23" s="1236"/>
      <c r="AB23" s="1236"/>
      <c r="AC23" s="1236"/>
      <c r="AD23" s="1505">
        <f>AD11+AD22</f>
        <v>0</v>
      </c>
      <c r="AE23" s="1236"/>
      <c r="AF23" s="1236"/>
      <c r="AG23" s="1236"/>
      <c r="AH23" s="1236"/>
      <c r="AI23" s="1505">
        <f>AI11+AI22</f>
        <v>0</v>
      </c>
      <c r="AJ23" s="1236"/>
      <c r="AK23" s="1236"/>
      <c r="AL23" s="1236"/>
      <c r="AM23" s="1236"/>
    </row>
    <row r="24" spans="1:39" ht="12.9" customHeight="1">
      <c r="B24" s="1050" t="s">
        <v>1760</v>
      </c>
      <c r="C24" s="1051"/>
      <c r="D24" s="1051"/>
      <c r="E24" s="1051"/>
      <c r="F24" s="1051"/>
      <c r="G24" s="1051"/>
      <c r="H24" s="1051"/>
      <c r="I24" s="1051"/>
      <c r="J24" s="1051"/>
      <c r="K24" s="1051"/>
      <c r="L24" s="1051"/>
      <c r="M24" s="1051"/>
      <c r="N24" s="1051"/>
      <c r="O24" s="1051"/>
      <c r="P24" s="1051"/>
      <c r="Q24" s="1051"/>
      <c r="R24" s="1051"/>
      <c r="S24" s="1053"/>
      <c r="T24" s="1506">
        <f>Application!AD1011</f>
        <v>0</v>
      </c>
      <c r="U24" s="1507"/>
      <c r="V24" s="1507"/>
      <c r="W24" s="1507"/>
      <c r="X24" s="1507"/>
      <c r="Y24" s="1507"/>
      <c r="Z24" s="1507"/>
      <c r="AA24" s="1507"/>
      <c r="AB24" s="1507"/>
      <c r="AC24" s="1507"/>
      <c r="AD24" s="1507"/>
      <c r="AE24" s="1507"/>
      <c r="AF24" s="1507"/>
      <c r="AG24" s="1507"/>
      <c r="AH24" s="1507"/>
      <c r="AI24" s="1507"/>
      <c r="AJ24" s="1507"/>
      <c r="AK24" s="1507"/>
      <c r="AL24" s="1507"/>
      <c r="AM24" s="1505"/>
    </row>
    <row r="25" spans="1:39" ht="12.9" customHeight="1">
      <c r="B25" s="1541" t="s">
        <v>2456</v>
      </c>
      <c r="C25" s="1542"/>
      <c r="D25" s="1542"/>
      <c r="E25" s="1542"/>
      <c r="F25" s="1542"/>
      <c r="G25" s="1542"/>
      <c r="H25" s="1542"/>
      <c r="I25" s="1542"/>
      <c r="J25" s="1542"/>
      <c r="K25" s="1542"/>
      <c r="L25" s="1542"/>
      <c r="M25" s="1542"/>
      <c r="N25" s="1542"/>
      <c r="O25" s="1542"/>
      <c r="P25" s="1542"/>
      <c r="Q25" s="1542"/>
      <c r="R25" s="1542"/>
      <c r="S25" s="1543"/>
      <c r="T25" s="1536">
        <v>1</v>
      </c>
      <c r="U25" s="1537"/>
      <c r="V25" s="1537"/>
      <c r="W25" s="1537"/>
      <c r="X25" s="1540"/>
      <c r="Y25" s="1536">
        <v>1</v>
      </c>
      <c r="Z25" s="1537"/>
      <c r="AA25" s="1537"/>
      <c r="AB25" s="1537"/>
      <c r="AC25" s="1540"/>
      <c r="AD25" s="1536">
        <v>1</v>
      </c>
      <c r="AE25" s="1537"/>
      <c r="AF25" s="1537"/>
      <c r="AG25" s="1537"/>
      <c r="AH25" s="1540"/>
      <c r="AI25" s="1536">
        <v>1</v>
      </c>
      <c r="AJ25" s="1537"/>
      <c r="AK25" s="1537"/>
      <c r="AL25" s="1537"/>
      <c r="AM25" s="1540"/>
    </row>
    <row r="26" spans="1:39" ht="12.9" customHeight="1">
      <c r="B26" s="1050" t="s">
        <v>1762</v>
      </c>
      <c r="C26" s="1051"/>
      <c r="D26" s="1051"/>
      <c r="E26" s="1051"/>
      <c r="F26" s="1051"/>
      <c r="G26" s="1051"/>
      <c r="H26" s="1051"/>
      <c r="I26" s="1051"/>
      <c r="J26" s="1051"/>
      <c r="K26" s="1051"/>
      <c r="L26" s="1051"/>
      <c r="M26" s="1051"/>
      <c r="N26" s="1051"/>
      <c r="O26" s="1051"/>
      <c r="P26" s="1051"/>
      <c r="Q26" s="1051"/>
      <c r="R26" s="1051"/>
      <c r="S26" s="1053"/>
      <c r="T26" s="1041">
        <f>T23*T25</f>
        <v>4810800.75</v>
      </c>
      <c r="U26" s="1103"/>
      <c r="V26" s="1103"/>
      <c r="W26" s="1103"/>
      <c r="X26" s="1103"/>
      <c r="Y26" s="1041">
        <f>Y23*Y25</f>
        <v>0</v>
      </c>
      <c r="Z26" s="1103"/>
      <c r="AA26" s="1103"/>
      <c r="AB26" s="1103"/>
      <c r="AC26" s="1103"/>
      <c r="AD26" s="1041">
        <f>AD23*AD25</f>
        <v>0</v>
      </c>
      <c r="AE26" s="1103"/>
      <c r="AF26" s="1103"/>
      <c r="AG26" s="1103"/>
      <c r="AH26" s="1103"/>
      <c r="AI26" s="1041">
        <f>AI23*AI25</f>
        <v>0</v>
      </c>
      <c r="AJ26" s="1103"/>
      <c r="AK26" s="1103"/>
      <c r="AL26" s="1103"/>
      <c r="AM26" s="1103"/>
    </row>
    <row r="27" spans="1:39" ht="12.9" customHeight="1">
      <c r="A27" s="4"/>
      <c r="B27" s="1541" t="s">
        <v>1763</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2.9" customHeight="1">
      <c r="A28" s="3"/>
      <c r="B28" s="1050" t="s">
        <v>1764</v>
      </c>
      <c r="C28" s="1051"/>
      <c r="D28" s="1051"/>
      <c r="E28" s="1051"/>
      <c r="F28" s="1051"/>
      <c r="G28" s="1051"/>
      <c r="H28" s="1051"/>
      <c r="I28" s="1051"/>
      <c r="J28" s="1051"/>
      <c r="K28" s="1051"/>
      <c r="L28" s="1051"/>
      <c r="M28" s="1051"/>
      <c r="N28" s="1051"/>
      <c r="O28" s="1051"/>
      <c r="P28" s="1051"/>
      <c r="Q28" s="1051"/>
      <c r="R28" s="1051"/>
      <c r="S28" s="1053"/>
      <c r="T28" s="1041">
        <f>IF(ISERROR((T26*T27)),0,(T26*T27))</f>
        <v>4810800.75</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0</v>
      </c>
      <c r="AJ28" s="1103"/>
      <c r="AK28" s="1103"/>
      <c r="AL28" s="1103"/>
      <c r="AM28" s="1103"/>
    </row>
    <row r="29" spans="1:39" ht="12.9" customHeight="1">
      <c r="B29" s="1050" t="s">
        <v>1765</v>
      </c>
      <c r="C29" s="1051"/>
      <c r="D29" s="1051"/>
      <c r="E29" s="1051"/>
      <c r="F29" s="1051"/>
      <c r="G29" s="1051"/>
      <c r="H29" s="1051"/>
      <c r="I29" s="1051"/>
      <c r="J29" s="1051"/>
      <c r="K29" s="1051"/>
      <c r="L29" s="1051"/>
      <c r="M29" s="1051"/>
      <c r="N29" s="1051"/>
      <c r="O29" s="1051"/>
      <c r="P29" s="1051"/>
      <c r="Q29" s="1051"/>
      <c r="R29" s="1051"/>
      <c r="S29" s="1053"/>
      <c r="T29" s="1506">
        <f>T28+Y28+AD28+AI28</f>
        <v>4810800.75</v>
      </c>
      <c r="U29" s="1507"/>
      <c r="V29" s="1507"/>
      <c r="W29" s="1507"/>
      <c r="X29" s="1507"/>
      <c r="Y29" s="1507"/>
      <c r="Z29" s="1507"/>
      <c r="AA29" s="1507"/>
      <c r="AB29" s="1507"/>
      <c r="AC29" s="1507"/>
      <c r="AD29" s="1507"/>
      <c r="AE29" s="1507"/>
      <c r="AF29" s="1507"/>
      <c r="AG29" s="1507"/>
      <c r="AH29" s="1507"/>
      <c r="AI29" s="1507"/>
      <c r="AJ29" s="1507"/>
      <c r="AK29" s="1507"/>
      <c r="AL29" s="1507"/>
      <c r="AM29" s="1505"/>
    </row>
    <row r="30" spans="1:39" ht="12.9" customHeight="1">
      <c r="B30" s="1854"/>
      <c r="C30" s="1854"/>
      <c r="D30" s="1854"/>
      <c r="E30" s="1854"/>
      <c r="F30" s="1854"/>
      <c r="G30" s="1854"/>
      <c r="H30" s="1854"/>
      <c r="I30" s="1854"/>
      <c r="J30" s="1854"/>
      <c r="K30" s="1854"/>
      <c r="L30" s="1854"/>
      <c r="M30" s="1854"/>
      <c r="N30" s="1854"/>
      <c r="O30" s="1854"/>
      <c r="P30" s="1854"/>
      <c r="Q30" s="1854"/>
      <c r="R30" s="1854"/>
      <c r="S30" s="1854"/>
      <c r="T30" s="1854"/>
      <c r="U30" s="1854"/>
      <c r="V30" s="1854"/>
      <c r="W30" s="1854"/>
      <c r="X30" s="1854"/>
      <c r="Y30" s="1854"/>
      <c r="Z30" s="1854"/>
      <c r="AA30" s="1854"/>
      <c r="AB30" s="1854"/>
      <c r="AC30" s="1854"/>
      <c r="AD30" s="1854"/>
      <c r="AE30" s="1854"/>
      <c r="AF30" s="1854"/>
      <c r="AG30" s="1854"/>
      <c r="AH30" s="1854"/>
      <c r="AI30" s="1854"/>
      <c r="AJ30" s="1854"/>
      <c r="AK30" s="1854"/>
      <c r="AL30" s="1854"/>
      <c r="AM30" s="185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08" t="s">
        <v>1768</v>
      </c>
      <c r="Z35" s="1508"/>
      <c r="AA35" s="1508"/>
      <c r="AB35" s="1508"/>
      <c r="AC35" s="1508"/>
      <c r="AD35" s="1172" t="s">
        <v>1769</v>
      </c>
      <c r="AE35" s="1172"/>
      <c r="AF35" s="1172"/>
      <c r="AG35" s="1172"/>
      <c r="AH35" s="1172"/>
    </row>
    <row r="36" spans="1:40" ht="12.9" customHeight="1">
      <c r="B36" s="175"/>
      <c r="X36" s="63"/>
      <c r="Y36" s="1508"/>
      <c r="Z36" s="1508"/>
      <c r="AA36" s="1508"/>
      <c r="AB36" s="1508"/>
      <c r="AC36" s="1508"/>
      <c r="AD36" s="1172"/>
      <c r="AE36" s="1172"/>
      <c r="AF36" s="1172"/>
      <c r="AG36" s="1172"/>
      <c r="AH36" s="1172"/>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8"/>
      <c r="Z37" s="1508"/>
      <c r="AA37" s="1508"/>
      <c r="AB37" s="1508"/>
      <c r="AC37" s="1508"/>
      <c r="AD37" s="1172"/>
      <c r="AE37" s="1172"/>
      <c r="AF37" s="1172"/>
      <c r="AG37" s="1172"/>
      <c r="AH37" s="1172"/>
    </row>
    <row r="38" spans="1:40" ht="12.9" customHeight="1">
      <c r="A38" s="3"/>
      <c r="B38" s="1050" t="s">
        <v>1764</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36">
        <f>IF(T24&gt;=(T23+Y23+AD23+AI23),T28+Y28,0)</f>
        <v>0</v>
      </c>
      <c r="Z38" s="1236"/>
      <c r="AA38" s="1236"/>
      <c r="AB38" s="1236"/>
      <c r="AC38" s="1236"/>
      <c r="AD38" s="1236">
        <f>IF(T24&gt;=(T23+Y23+AD23+AI23),AD28+AI28,0)</f>
        <v>0</v>
      </c>
      <c r="AE38" s="1236"/>
      <c r="AF38" s="1236"/>
      <c r="AG38" s="1236"/>
      <c r="AH38" s="1236"/>
    </row>
    <row r="39" spans="1:40" ht="12.9" customHeight="1">
      <c r="B39" s="1050" t="s">
        <v>2457</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855">
        <v>0.09</v>
      </c>
      <c r="Z39" s="1855"/>
      <c r="AA39" s="1855"/>
      <c r="AB39" s="1855"/>
      <c r="AC39" s="1855"/>
      <c r="AD39" s="1504">
        <v>0.04</v>
      </c>
      <c r="AE39" s="1504"/>
      <c r="AF39" s="1504"/>
      <c r="AG39" s="1504"/>
      <c r="AH39" s="1504"/>
    </row>
    <row r="40" spans="1:40" ht="12.9" customHeight="1">
      <c r="A40" s="3"/>
      <c r="B40" s="1050" t="s">
        <v>1771</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36">
        <f>ROUND(Y38*Y39,0)</f>
        <v>0</v>
      </c>
      <c r="Z40" s="1236"/>
      <c r="AA40" s="1236"/>
      <c r="AB40" s="1236"/>
      <c r="AC40" s="1236"/>
      <c r="AD40" s="1505">
        <f>ROUND(AD38*AD39,0)</f>
        <v>0</v>
      </c>
      <c r="AE40" s="1236"/>
      <c r="AF40" s="1236"/>
      <c r="AG40" s="1236"/>
      <c r="AH40" s="1236"/>
    </row>
    <row r="41" spans="1:40" ht="12.9" customHeight="1">
      <c r="B41" s="1050" t="s">
        <v>1772</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506">
        <f>IF((Y40+AD40)&gt;2500000,2500000,Y40+AD40)</f>
        <v>0</v>
      </c>
      <c r="Z41" s="1507"/>
      <c r="AA41" s="1507"/>
      <c r="AB41" s="1507"/>
      <c r="AC41" s="1507"/>
      <c r="AD41" s="1507"/>
      <c r="AE41" s="1507"/>
      <c r="AF41" s="1507"/>
      <c r="AG41" s="1507"/>
      <c r="AH41" s="1505"/>
    </row>
    <row r="42" spans="1:40" ht="12.9" customHeight="1">
      <c r="A42" s="3"/>
      <c r="B42" s="1516" t="s">
        <v>2458</v>
      </c>
      <c r="C42" s="1516"/>
      <c r="D42" s="1516"/>
      <c r="E42" s="1516"/>
      <c r="F42" s="1516"/>
      <c r="G42" s="1516"/>
      <c r="H42" s="1516"/>
      <c r="I42" s="1516"/>
      <c r="J42" s="1516"/>
      <c r="K42" s="1516"/>
      <c r="L42" s="1516"/>
      <c r="M42" s="1516"/>
      <c r="N42" s="1516"/>
      <c r="O42" s="1516"/>
      <c r="P42" s="1516"/>
      <c r="Q42" s="1516"/>
      <c r="R42" s="1516"/>
      <c r="S42" s="1516"/>
      <c r="T42" s="1516"/>
      <c r="U42" s="1516"/>
      <c r="V42" s="1516"/>
      <c r="W42" s="1516"/>
      <c r="X42" s="1516"/>
      <c r="Y42" s="1516"/>
      <c r="Z42" s="1516"/>
      <c r="AA42" s="1516"/>
      <c r="AB42" s="1516"/>
      <c r="AC42" s="1516"/>
      <c r="AD42" s="1516"/>
      <c r="AE42" s="1516"/>
      <c r="AF42" s="1516"/>
      <c r="AG42" s="1516"/>
      <c r="AH42" s="1516"/>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1774</v>
      </c>
      <c r="AB46" s="1173">
        <f>'Sources and Uses Budget'!B104-'Sources and Uses Budget'!$B$15</f>
        <v>7425654.6644075764</v>
      </c>
      <c r="AC46" s="1174"/>
      <c r="AD46" s="1174"/>
      <c r="AE46" s="1174"/>
      <c r="AF46" s="1175"/>
    </row>
    <row r="47" spans="1:40" ht="12.9" customHeight="1">
      <c r="D47" s="3" t="s">
        <v>184</v>
      </c>
      <c r="AB47" s="1173">
        <f>Application!AG633-MIN('Sources and Uses Budget'!B15,Application!AG385)</f>
        <v>0</v>
      </c>
      <c r="AC47" s="1174"/>
      <c r="AD47" s="1174"/>
      <c r="AE47" s="1174"/>
      <c r="AF47" s="1175"/>
    </row>
    <row r="48" spans="1:40" ht="12.9" customHeight="1">
      <c r="D48" s="3" t="s">
        <v>1775</v>
      </c>
      <c r="AB48" s="1173">
        <f>AB46-AB47</f>
        <v>7425654.6644075764</v>
      </c>
      <c r="AC48" s="1174"/>
      <c r="AD48" s="1174"/>
      <c r="AE48" s="1174"/>
      <c r="AF48" s="1175"/>
    </row>
    <row r="49" spans="1:40" ht="12.9" customHeight="1">
      <c r="D49" s="3" t="s">
        <v>1776</v>
      </c>
      <c r="AA49" s="31"/>
      <c r="AB49" s="1511"/>
      <c r="AC49" s="1512"/>
      <c r="AD49" s="1512"/>
      <c r="AE49" s="1512"/>
      <c r="AF49" s="1513"/>
    </row>
    <row r="50" spans="1:40" s="271" customFormat="1" ht="12.9" customHeight="1">
      <c r="A50"/>
      <c r="B50"/>
      <c r="C50"/>
      <c r="D50"/>
      <c r="E50" s="1517" t="s">
        <v>2459</v>
      </c>
      <c r="F50" s="1517"/>
      <c r="G50" s="1517"/>
      <c r="H50" s="1517"/>
      <c r="I50" s="1517"/>
      <c r="J50" s="1517"/>
      <c r="K50" s="1517"/>
      <c r="L50" s="1517"/>
      <c r="M50" s="1517"/>
      <c r="N50" s="1517"/>
      <c r="O50" s="1517"/>
      <c r="P50" s="1517"/>
      <c r="Q50" s="1517"/>
      <c r="R50" s="1517"/>
      <c r="S50" s="1517"/>
      <c r="T50" s="1517"/>
      <c r="U50" s="1517"/>
      <c r="V50" s="1517"/>
      <c r="W50" s="1517"/>
      <c r="X50" s="1517"/>
      <c r="Y50" s="1517"/>
      <c r="Z50" s="1517"/>
      <c r="AA50" s="703"/>
      <c r="AB50" s="703"/>
      <c r="AC50" s="703"/>
      <c r="AD50" s="703"/>
      <c r="AE50" s="703"/>
      <c r="AF50" s="703"/>
      <c r="AG50"/>
      <c r="AH50"/>
      <c r="AI50"/>
      <c r="AJ50"/>
      <c r="AK50"/>
      <c r="AL50"/>
      <c r="AM50"/>
      <c r="AN50"/>
    </row>
    <row r="51" spans="1:40" s="271" customFormat="1" ht="12.9" customHeight="1">
      <c r="A51"/>
      <c r="B51"/>
      <c r="C51"/>
      <c r="D51"/>
      <c r="E51" s="1517"/>
      <c r="F51" s="1517"/>
      <c r="G51" s="1517"/>
      <c r="H51" s="1517"/>
      <c r="I51" s="1517"/>
      <c r="J51" s="1517"/>
      <c r="K51" s="1517"/>
      <c r="L51" s="1517"/>
      <c r="M51" s="1517"/>
      <c r="N51" s="1517"/>
      <c r="O51" s="1517"/>
      <c r="P51" s="1517"/>
      <c r="Q51" s="1517"/>
      <c r="R51" s="1517"/>
      <c r="S51" s="1517"/>
      <c r="T51" s="1517"/>
      <c r="U51" s="1517"/>
      <c r="V51" s="1517"/>
      <c r="W51" s="1517"/>
      <c r="X51" s="1517"/>
      <c r="Y51" s="1517"/>
      <c r="Z51" s="1517"/>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1778</v>
      </c>
      <c r="AB53" s="1173">
        <f>ROUND(IF(ISERROR((AB48/AB49)),0,(AB48/AB49)),0)</f>
        <v>0</v>
      </c>
      <c r="AC53" s="1174"/>
      <c r="AD53" s="1174"/>
      <c r="AE53" s="1174"/>
      <c r="AF53" s="1175"/>
    </row>
    <row r="54" spans="1:40" ht="12.9" customHeight="1">
      <c r="D54" s="3" t="s">
        <v>1779</v>
      </c>
      <c r="AB54" s="1173">
        <f>(AB53/10)</f>
        <v>0</v>
      </c>
      <c r="AC54" s="1174"/>
      <c r="AD54" s="1174"/>
      <c r="AE54" s="1174"/>
      <c r="AF54" s="1175"/>
    </row>
    <row r="55" spans="1:40" ht="12.9" customHeight="1">
      <c r="D55" s="3" t="s">
        <v>1780</v>
      </c>
      <c r="AB55" s="1173">
        <f>(IF((Y41&lt;AB54),Y41,AB54))</f>
        <v>0</v>
      </c>
      <c r="AC55" s="1174"/>
      <c r="AD55" s="1174"/>
      <c r="AE55" s="1174"/>
      <c r="AF55" s="1175"/>
    </row>
    <row r="56" spans="1:40" ht="12.9" customHeight="1">
      <c r="D56" s="3" t="s">
        <v>1781</v>
      </c>
      <c r="AB56" s="1173">
        <f>ROUND((10*AB55*AB49),0)</f>
        <v>0</v>
      </c>
      <c r="AC56" s="1174"/>
      <c r="AD56" s="1174"/>
      <c r="AE56" s="1174"/>
      <c r="AF56" s="1175"/>
    </row>
    <row r="57" spans="1:40" ht="12.9" customHeight="1">
      <c r="D57" s="3"/>
      <c r="AB57" s="238"/>
      <c r="AC57" s="238"/>
      <c r="AD57" s="238"/>
      <c r="AE57" s="238"/>
      <c r="AF57" s="238"/>
    </row>
    <row r="58" spans="1:40" ht="12.9" customHeight="1">
      <c r="D58" s="3" t="s">
        <v>1782</v>
      </c>
      <c r="AB58" s="1240">
        <f>AB48-AB56</f>
        <v>7425654.6644075764</v>
      </c>
      <c r="AC58" s="1240"/>
      <c r="AD58" s="1240"/>
      <c r="AE58" s="1240"/>
      <c r="AF58" s="1240"/>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2" t="s">
        <v>1783</v>
      </c>
      <c r="B60" s="1502"/>
      <c r="C60" s="1502"/>
      <c r="D60" s="1502"/>
      <c r="E60" s="1502"/>
      <c r="F60" s="1502"/>
      <c r="G60" s="1502"/>
      <c r="H60" s="1502"/>
      <c r="I60" s="1502"/>
      <c r="J60" s="1502"/>
      <c r="K60" s="1502"/>
      <c r="L60" s="1502"/>
      <c r="M60" s="1502"/>
      <c r="N60" s="1502"/>
      <c r="O60" s="1502"/>
      <c r="P60" s="1502"/>
      <c r="Q60" s="1502"/>
      <c r="R60" s="1502"/>
      <c r="S60" s="1502"/>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929</v>
      </c>
      <c r="C62" s="3" t="s">
        <v>285</v>
      </c>
      <c r="Y62" s="1459" t="s">
        <v>1784</v>
      </c>
      <c r="Z62" s="1459"/>
      <c r="AA62" s="1459"/>
      <c r="AB62" s="1459"/>
      <c r="AC62" s="1459"/>
      <c r="AD62" s="1459" t="s">
        <v>1769</v>
      </c>
      <c r="AE62" s="1459"/>
      <c r="AF62" s="1459"/>
      <c r="AG62" s="1459"/>
      <c r="AH62" s="1459"/>
    </row>
    <row r="63" spans="1:40" ht="12.9" customHeight="1">
      <c r="C63" s="3"/>
      <c r="D63" s="107" t="s">
        <v>1785</v>
      </c>
      <c r="E63" s="15"/>
      <c r="F63" s="15"/>
      <c r="G63" s="15"/>
      <c r="H63" s="15"/>
      <c r="I63" s="15"/>
      <c r="J63" s="15"/>
      <c r="K63" s="15"/>
      <c r="L63" s="15"/>
      <c r="M63" s="15"/>
      <c r="N63" s="15"/>
      <c r="O63" s="15"/>
      <c r="P63" s="15"/>
      <c r="Q63" s="15"/>
      <c r="R63" s="15"/>
      <c r="S63" s="15"/>
      <c r="T63" s="15"/>
      <c r="U63" s="15"/>
      <c r="V63" s="15"/>
      <c r="W63" s="15"/>
      <c r="X63" s="15"/>
      <c r="Y63" s="1236">
        <f>Y28</f>
        <v>0</v>
      </c>
      <c r="Z63" s="1514"/>
      <c r="AA63" s="1514"/>
      <c r="AB63" s="1514"/>
      <c r="AC63" s="1514"/>
      <c r="AD63" s="1236">
        <f>AI28</f>
        <v>0</v>
      </c>
      <c r="AE63" s="1514"/>
      <c r="AF63" s="1514"/>
      <c r="AG63" s="1514"/>
      <c r="AH63" s="1514"/>
    </row>
    <row r="64" spans="1:40" ht="12.9" customHeight="1">
      <c r="C64" s="3"/>
      <c r="E64" s="1503" t="s">
        <v>1786</v>
      </c>
      <c r="F64" s="1503"/>
      <c r="G64" s="1503"/>
      <c r="H64" s="1503"/>
      <c r="I64" s="1503"/>
      <c r="J64" s="1503"/>
      <c r="K64" s="1503"/>
      <c r="L64" s="1503"/>
      <c r="M64" s="1503"/>
      <c r="N64" s="1503"/>
      <c r="O64" s="1503"/>
      <c r="P64" s="1503"/>
      <c r="Q64" s="1503"/>
      <c r="R64" s="1503"/>
      <c r="S64" s="1503"/>
      <c r="T64" s="1503"/>
      <c r="U64" s="1503"/>
      <c r="V64" s="1503"/>
      <c r="W64" s="1503"/>
      <c r="X64" s="1503"/>
      <c r="Y64" s="1503"/>
      <c r="Z64" s="1503"/>
      <c r="AA64" s="1503"/>
      <c r="AB64" s="1503"/>
      <c r="AC64" s="1503"/>
      <c r="AD64" s="1503"/>
      <c r="AE64" s="1503"/>
      <c r="AF64" s="1503"/>
      <c r="AG64" s="1503"/>
      <c r="AH64" s="1503"/>
    </row>
    <row r="65" spans="1:34" ht="32.25" customHeight="1">
      <c r="C65" s="3"/>
      <c r="E65" s="1503"/>
      <c r="F65" s="1503"/>
      <c r="G65" s="1503"/>
      <c r="H65" s="1503"/>
      <c r="I65" s="1503"/>
      <c r="J65" s="1503"/>
      <c r="K65" s="1503"/>
      <c r="L65" s="1503"/>
      <c r="M65" s="1503"/>
      <c r="N65" s="1503"/>
      <c r="O65" s="1503"/>
      <c r="P65" s="1503"/>
      <c r="Q65" s="1503"/>
      <c r="R65" s="1503"/>
      <c r="S65" s="1503"/>
      <c r="T65" s="1503"/>
      <c r="U65" s="1503"/>
      <c r="V65" s="1503"/>
      <c r="W65" s="1503"/>
      <c r="X65" s="1503"/>
      <c r="Y65" s="1503"/>
      <c r="Z65" s="1503"/>
      <c r="AA65" s="1503"/>
      <c r="AB65" s="1503"/>
      <c r="AC65" s="1503"/>
      <c r="AD65" s="1503"/>
      <c r="AE65" s="1503"/>
      <c r="AF65" s="1503"/>
      <c r="AG65" s="1503"/>
      <c r="AH65" s="1503"/>
    </row>
    <row r="66" spans="1:34" ht="12.9" customHeight="1">
      <c r="C66" s="3"/>
      <c r="D66" s="3" t="s">
        <v>1787</v>
      </c>
      <c r="E66" s="83"/>
      <c r="F66" s="83"/>
      <c r="G66" s="83"/>
      <c r="H66" s="83"/>
      <c r="I66" s="83"/>
      <c r="J66" s="83"/>
      <c r="K66" s="83"/>
      <c r="L66" s="83"/>
      <c r="M66" s="83"/>
      <c r="N66" s="83"/>
      <c r="O66" s="83"/>
      <c r="P66" s="83"/>
      <c r="Q66" s="83"/>
      <c r="R66" s="83"/>
      <c r="S66" s="83"/>
      <c r="T66" s="83"/>
      <c r="U66" s="83"/>
      <c r="V66" s="83"/>
      <c r="W66" s="83"/>
      <c r="X66" s="83"/>
      <c r="Y66" s="1510">
        <v>0.3</v>
      </c>
      <c r="Z66" s="1510"/>
      <c r="AA66" s="1510"/>
      <c r="AB66" s="1510"/>
      <c r="AC66" s="1510"/>
      <c r="AD66" s="1510">
        <v>0.13</v>
      </c>
      <c r="AE66" s="1510"/>
      <c r="AF66" s="1510"/>
      <c r="AG66" s="1510"/>
      <c r="AH66" s="1510"/>
    </row>
    <row r="67" spans="1:34" ht="12.9" customHeight="1">
      <c r="C67" s="3"/>
      <c r="D67" s="3" t="s">
        <v>1788</v>
      </c>
      <c r="Y67" s="1236">
        <f>ROUND(Y63*Y66,0)</f>
        <v>0</v>
      </c>
      <c r="Z67" s="1514"/>
      <c r="AA67" s="1514"/>
      <c r="AB67" s="1514"/>
      <c r="AC67" s="1514"/>
      <c r="AD67" s="1236" t="str">
        <f>IF(OR(Application!D211="At-Risk",Application!D211="At-Risk/Located in Rural Census Tract",Application!D214="At-Risk"),ROUND(AD63*AD66,0),"$0")</f>
        <v>$0</v>
      </c>
      <c r="AE67" s="1236"/>
      <c r="AF67" s="1236"/>
      <c r="AG67" s="1236"/>
      <c r="AH67" s="1236"/>
    </row>
    <row r="68" spans="1:34" ht="12.9" customHeight="1">
      <c r="C68" s="3"/>
      <c r="E68" s="3"/>
      <c r="AB68" s="2"/>
      <c r="AC68" s="2"/>
      <c r="AD68" s="2"/>
      <c r="AE68" s="2"/>
      <c r="AF68" s="2"/>
    </row>
    <row r="69" spans="1:34" ht="12.9" customHeight="1">
      <c r="A69" s="3" t="s">
        <v>941</v>
      </c>
      <c r="C69" s="3" t="s">
        <v>288</v>
      </c>
    </row>
    <row r="70" spans="1:34" ht="12.9" customHeight="1">
      <c r="A70" s="3"/>
      <c r="C70" s="3"/>
      <c r="D70" s="3" t="s">
        <v>1790</v>
      </c>
      <c r="AB70" s="1511"/>
      <c r="AC70" s="1512"/>
      <c r="AD70" s="1512"/>
      <c r="AE70" s="1512"/>
      <c r="AF70" s="1513"/>
    </row>
    <row r="71" spans="1:34" ht="12.9" customHeight="1">
      <c r="A71" s="3"/>
      <c r="C71" s="3"/>
      <c r="D71" s="3"/>
      <c r="E71" s="1515" t="s">
        <v>2460</v>
      </c>
      <c r="F71" s="1515"/>
      <c r="G71" s="1515"/>
      <c r="H71" s="1515"/>
      <c r="I71" s="1515"/>
      <c r="J71" s="1515"/>
      <c r="K71" s="1515"/>
      <c r="L71" s="1515"/>
      <c r="M71" s="1515"/>
      <c r="N71" s="1515"/>
      <c r="O71" s="1515"/>
      <c r="P71" s="1515"/>
      <c r="Q71" s="1515"/>
      <c r="R71" s="1515"/>
      <c r="S71" s="1515"/>
      <c r="T71" s="1515"/>
      <c r="U71" s="1515"/>
      <c r="V71" s="1515"/>
      <c r="W71" s="1515"/>
      <c r="X71" s="1515"/>
      <c r="Y71" s="1515"/>
      <c r="Z71" s="1515"/>
      <c r="AA71" s="219"/>
      <c r="AB71" s="219"/>
      <c r="AC71" s="219"/>
    </row>
    <row r="72" spans="1:34" ht="12.9" customHeight="1">
      <c r="A72" s="3"/>
      <c r="C72" s="3"/>
      <c r="D72" s="3"/>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219"/>
      <c r="AB72" s="219"/>
      <c r="AC72" s="219"/>
    </row>
    <row r="73" spans="1:34" ht="12.9" customHeight="1">
      <c r="A73" s="3"/>
      <c r="C73" s="3"/>
      <c r="D73" s="3"/>
      <c r="E73" s="1515"/>
      <c r="F73" s="1515"/>
      <c r="G73" s="1515"/>
      <c r="H73" s="1515"/>
      <c r="I73" s="1515"/>
      <c r="J73" s="1515"/>
      <c r="K73" s="1515"/>
      <c r="L73" s="1515"/>
      <c r="M73" s="1515"/>
      <c r="N73" s="1515"/>
      <c r="O73" s="1515"/>
      <c r="P73" s="1515"/>
      <c r="Q73" s="1515"/>
      <c r="R73" s="1515"/>
      <c r="S73" s="1515"/>
      <c r="T73" s="1515"/>
      <c r="U73" s="1515"/>
      <c r="V73" s="1515"/>
      <c r="W73" s="1515"/>
      <c r="X73" s="1515"/>
      <c r="Y73" s="1515"/>
      <c r="Z73" s="151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1792</v>
      </c>
      <c r="AB75" s="1217">
        <f>ROUND(IF(ISERROR((AB58/AB70)),0,(AB58/AB70)),0)</f>
        <v>0</v>
      </c>
      <c r="AC75" s="1217"/>
      <c r="AD75" s="1217"/>
      <c r="AE75" s="1217"/>
      <c r="AF75" s="1217"/>
    </row>
    <row r="76" spans="1:34" ht="12.9" customHeight="1">
      <c r="C76" s="3"/>
      <c r="D76" s="3" t="s">
        <v>1793</v>
      </c>
      <c r="AB76" s="1122">
        <f>IF((Y67+AD67&lt;AB75),Y67+AD67,AB75)</f>
        <v>0</v>
      </c>
      <c r="AC76" s="1123"/>
      <c r="AD76" s="1123"/>
      <c r="AE76" s="1123"/>
      <c r="AF76" s="1124"/>
    </row>
    <row r="77" spans="1:34" ht="12.9" customHeight="1">
      <c r="C77" s="3"/>
      <c r="D77" s="3" t="s">
        <v>1794</v>
      </c>
      <c r="AB77" s="1509">
        <f>AB76*AB70</f>
        <v>0</v>
      </c>
      <c r="AC77" s="1509"/>
      <c r="AD77" s="1509"/>
      <c r="AE77" s="1509"/>
      <c r="AF77" s="1509"/>
    </row>
    <row r="78" spans="1:34" ht="12.9" customHeight="1">
      <c r="C78" s="3"/>
      <c r="D78" s="3"/>
      <c r="AB78" s="504"/>
      <c r="AC78" s="504"/>
      <c r="AD78" s="504"/>
      <c r="AE78" s="504"/>
      <c r="AF78" s="504"/>
    </row>
    <row r="79" spans="1:34" ht="12.9" customHeight="1">
      <c r="D79" s="3" t="s">
        <v>1782</v>
      </c>
      <c r="AB79" s="1240">
        <f>AB48-(AB56+AB77)</f>
        <v>7425654.6644075764</v>
      </c>
      <c r="AC79" s="1240"/>
      <c r="AD79" s="1240"/>
      <c r="AE79" s="1240"/>
      <c r="AF79" s="1240"/>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19" t="s">
        <v>2461</v>
      </c>
      <c r="B1" s="1520"/>
      <c r="C1" s="1520"/>
      <c r="D1" s="1520"/>
      <c r="E1" s="1520"/>
      <c r="F1" s="1520"/>
      <c r="G1" s="1520"/>
      <c r="H1" s="1520"/>
      <c r="I1" s="1520"/>
      <c r="J1" s="1520"/>
      <c r="K1" s="1520"/>
      <c r="L1" s="1520"/>
      <c r="M1" s="1520"/>
      <c r="N1" s="1520"/>
      <c r="O1" s="1520"/>
      <c r="P1" s="1520"/>
      <c r="Q1" s="1520"/>
      <c r="R1" s="1520"/>
      <c r="S1" s="1520"/>
      <c r="T1" s="1520"/>
      <c r="U1" s="1520"/>
      <c r="V1" s="1520"/>
      <c r="W1" s="1520"/>
      <c r="X1" s="1520"/>
      <c r="Y1" s="1520"/>
      <c r="Z1" s="1520"/>
      <c r="AA1" s="1520"/>
      <c r="AB1" s="1520"/>
      <c r="AC1" s="1520"/>
      <c r="AD1" s="1520"/>
      <c r="AE1" s="1520"/>
      <c r="AF1" s="1520"/>
      <c r="AG1" s="1520"/>
      <c r="AH1" s="1520"/>
      <c r="AI1" s="1520"/>
      <c r="AJ1" s="1520"/>
      <c r="AK1" s="1520"/>
      <c r="AL1" s="1520"/>
      <c r="AM1" s="1520"/>
      <c r="AN1" s="1520"/>
    </row>
    <row r="2" spans="1:40" ht="12.9" customHeight="1" thickBot="1">
      <c r="A2" s="1521"/>
      <c r="B2" s="1521"/>
      <c r="C2" s="1521"/>
      <c r="D2" s="1521"/>
      <c r="E2" s="1521"/>
      <c r="F2" s="1521"/>
      <c r="G2" s="1521"/>
      <c r="H2" s="1521"/>
      <c r="I2" s="1521"/>
      <c r="J2" s="1521"/>
      <c r="K2" s="1521"/>
      <c r="L2" s="1521"/>
      <c r="M2" s="1521"/>
      <c r="N2" s="1521"/>
      <c r="O2" s="1521"/>
      <c r="P2" s="1521"/>
      <c r="Q2" s="1521"/>
      <c r="R2" s="1521"/>
      <c r="S2" s="1521"/>
      <c r="T2" s="1521"/>
      <c r="U2" s="1521"/>
      <c r="V2" s="1521"/>
      <c r="W2" s="1521"/>
      <c r="X2" s="1521"/>
      <c r="Y2" s="1521"/>
      <c r="Z2" s="1521"/>
      <c r="AA2" s="1521"/>
      <c r="AB2" s="1521"/>
      <c r="AC2" s="1521"/>
      <c r="AD2" s="1521"/>
      <c r="AE2" s="1521"/>
      <c r="AF2" s="1521"/>
      <c r="AG2" s="1521"/>
      <c r="AH2" s="1521"/>
      <c r="AI2" s="1521"/>
      <c r="AJ2" s="1521"/>
      <c r="AK2" s="1521"/>
      <c r="AL2" s="1521"/>
      <c r="AM2" s="1521"/>
      <c r="AN2" s="1521"/>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791</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08" t="s">
        <v>2450</v>
      </c>
      <c r="U7" s="1508"/>
      <c r="V7" s="1508"/>
      <c r="W7" s="1508"/>
      <c r="X7" s="1508"/>
      <c r="Y7" s="1508" t="s">
        <v>2451</v>
      </c>
      <c r="Z7" s="1508"/>
      <c r="AA7" s="1508"/>
      <c r="AB7" s="1508"/>
      <c r="AC7" s="1508"/>
      <c r="AD7" s="1508" t="s">
        <v>2452</v>
      </c>
      <c r="AE7" s="1508"/>
      <c r="AF7" s="1508"/>
      <c r="AG7" s="1508"/>
      <c r="AH7" s="1508"/>
      <c r="AI7" s="1508" t="s">
        <v>2453</v>
      </c>
      <c r="AJ7" s="1508"/>
      <c r="AK7" s="1508"/>
      <c r="AL7" s="1508"/>
      <c r="AM7" s="1508"/>
    </row>
    <row r="8" spans="1:40" ht="12.9" customHeight="1">
      <c r="B8" s="175"/>
      <c r="T8" s="1508"/>
      <c r="U8" s="1508"/>
      <c r="V8" s="1508"/>
      <c r="W8" s="1508"/>
      <c r="X8" s="1508"/>
      <c r="Y8" s="1508"/>
      <c r="Z8" s="1508"/>
      <c r="AA8" s="1508"/>
      <c r="AB8" s="1508"/>
      <c r="AC8" s="1508"/>
      <c r="AD8" s="1508"/>
      <c r="AE8" s="1508"/>
      <c r="AF8" s="1508"/>
      <c r="AG8" s="1508"/>
      <c r="AH8" s="1508"/>
      <c r="AI8" s="1508"/>
      <c r="AJ8" s="1508"/>
      <c r="AK8" s="1508"/>
      <c r="AL8" s="1508"/>
      <c r="AM8" s="1508"/>
    </row>
    <row r="9" spans="1:40" ht="12.9" customHeight="1">
      <c r="B9" s="175"/>
      <c r="T9" s="1508"/>
      <c r="U9" s="1508"/>
      <c r="V9" s="1508"/>
      <c r="W9" s="1508"/>
      <c r="X9" s="1508"/>
      <c r="Y9" s="1508"/>
      <c r="Z9" s="1508"/>
      <c r="AA9" s="1508"/>
      <c r="AB9" s="1508"/>
      <c r="AC9" s="1508"/>
      <c r="AD9" s="1508"/>
      <c r="AE9" s="1508"/>
      <c r="AF9" s="1508"/>
      <c r="AG9" s="1508"/>
      <c r="AH9" s="1508"/>
      <c r="AI9" s="1508"/>
      <c r="AJ9" s="1508"/>
      <c r="AK9" s="1508"/>
      <c r="AL9" s="1508"/>
      <c r="AM9" s="1508"/>
    </row>
    <row r="10" spans="1:40" ht="40.5" customHeight="1">
      <c r="B10" s="46"/>
      <c r="C10" s="47"/>
      <c r="D10" s="47"/>
      <c r="E10" s="47"/>
      <c r="F10" s="47"/>
      <c r="G10" s="47"/>
      <c r="H10" s="47"/>
      <c r="I10" s="47"/>
      <c r="J10" s="47"/>
      <c r="K10" s="47"/>
      <c r="L10" s="47"/>
      <c r="M10" s="47"/>
      <c r="N10" s="47"/>
      <c r="O10" s="47"/>
      <c r="P10" s="47"/>
      <c r="Q10" s="47"/>
      <c r="R10" s="47"/>
      <c r="S10" s="47"/>
      <c r="T10" s="1508"/>
      <c r="U10" s="1508"/>
      <c r="V10" s="1508"/>
      <c r="W10" s="1508"/>
      <c r="X10" s="1508"/>
      <c r="Y10" s="1508"/>
      <c r="Z10" s="1508"/>
      <c r="AA10" s="1508"/>
      <c r="AB10" s="1508"/>
      <c r="AC10" s="1508"/>
      <c r="AD10" s="1508"/>
      <c r="AE10" s="1508"/>
      <c r="AF10" s="1508"/>
      <c r="AG10" s="1508"/>
      <c r="AH10" s="1508"/>
      <c r="AI10" s="1508"/>
      <c r="AJ10" s="1508"/>
      <c r="AK10" s="1508"/>
      <c r="AL10" s="1508"/>
      <c r="AM10" s="1508"/>
    </row>
    <row r="11" spans="1:40" ht="12.9" customHeight="1">
      <c r="B11" s="1050" t="s">
        <v>1748</v>
      </c>
      <c r="C11" s="1051"/>
      <c r="D11" s="1051"/>
      <c r="E11" s="1051"/>
      <c r="F11" s="1051"/>
      <c r="G11" s="1051"/>
      <c r="H11" s="1051"/>
      <c r="I11" s="1051"/>
      <c r="J11" s="1051"/>
      <c r="K11" s="1051"/>
      <c r="L11" s="1051"/>
      <c r="M11" s="1051"/>
      <c r="N11" s="1051"/>
      <c r="O11" s="1051"/>
      <c r="P11" s="1051"/>
      <c r="Q11" s="1051"/>
      <c r="R11" s="1051"/>
      <c r="S11" s="1053"/>
      <c r="T11" s="1533">
        <f>IF('Sources and Basis Breakdown'!F105=0,'Sources and Basis Breakdown'!E105,'Sources and Basis Breakdown'!F105)</f>
        <v>4810800.75</v>
      </c>
      <c r="U11" s="1524"/>
      <c r="V11" s="1524"/>
      <c r="W11" s="1524"/>
      <c r="X11" s="1524"/>
      <c r="Y11" s="1523">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2.9" customHeight="1">
      <c r="B12" s="1529" t="s">
        <v>1749</v>
      </c>
      <c r="C12" s="956"/>
      <c r="D12" s="956"/>
      <c r="E12" s="956"/>
      <c r="F12" s="956"/>
      <c r="G12" s="956"/>
      <c r="H12" s="956"/>
      <c r="I12" s="956"/>
      <c r="J12" s="956"/>
      <c r="K12" s="956"/>
      <c r="L12" s="956"/>
      <c r="M12" s="956"/>
      <c r="N12" s="956"/>
      <c r="O12" s="956"/>
      <c r="P12" s="956"/>
      <c r="Q12" s="956"/>
      <c r="R12" s="956"/>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2.9" customHeight="1">
      <c r="B13" s="8"/>
      <c r="C13" s="1531" t="s">
        <v>1750</v>
      </c>
      <c r="D13" s="1531"/>
      <c r="E13" s="1531"/>
      <c r="F13" s="1531"/>
      <c r="G13" s="1531"/>
      <c r="H13" s="1531"/>
      <c r="I13" s="1531"/>
      <c r="J13" s="1531"/>
      <c r="K13" s="1531"/>
      <c r="L13" s="1531"/>
      <c r="M13" s="1531"/>
      <c r="N13" s="1531"/>
      <c r="O13" s="1531"/>
      <c r="P13" s="1531"/>
      <c r="Q13" s="1531"/>
      <c r="R13" s="1531"/>
      <c r="S13" s="1532"/>
      <c r="T13" s="1525">
        <f>'Basis &amp; Credits'!T13</f>
        <v>0</v>
      </c>
      <c r="U13" s="1522"/>
      <c r="V13" s="1522"/>
      <c r="W13" s="1522"/>
      <c r="X13" s="1522"/>
      <c r="Y13" s="1525">
        <f>'Basis &amp; Credits'!Y13</f>
        <v>0</v>
      </c>
      <c r="Z13" s="1522"/>
      <c r="AA13" s="1522"/>
      <c r="AB13" s="1522"/>
      <c r="AC13" s="1522"/>
      <c r="AD13" s="1522">
        <f>'Basis &amp; Credits'!AD13</f>
        <v>0</v>
      </c>
      <c r="AE13" s="1522"/>
      <c r="AF13" s="1522"/>
      <c r="AG13" s="1522"/>
      <c r="AH13" s="1522"/>
      <c r="AI13" s="1522">
        <f>'Basis &amp; Credits'!AI13</f>
        <v>0</v>
      </c>
      <c r="AJ13" s="1522"/>
      <c r="AK13" s="1522"/>
      <c r="AL13" s="1522"/>
      <c r="AM13" s="1522"/>
    </row>
    <row r="14" spans="1:40" ht="12.9" customHeight="1">
      <c r="B14" s="8"/>
      <c r="C14" s="1531" t="s">
        <v>1751</v>
      </c>
      <c r="D14" s="1531"/>
      <c r="E14" s="1531"/>
      <c r="F14" s="1531"/>
      <c r="G14" s="1531"/>
      <c r="H14" s="1531"/>
      <c r="I14" s="1531"/>
      <c r="J14" s="1531"/>
      <c r="K14" s="1531"/>
      <c r="L14" s="1531"/>
      <c r="M14" s="1531"/>
      <c r="N14" s="1531"/>
      <c r="O14" s="1531"/>
      <c r="P14" s="1531"/>
      <c r="Q14" s="1531"/>
      <c r="R14" s="1531"/>
      <c r="S14" s="1532"/>
      <c r="T14" s="1112">
        <f>'Basis &amp; Credits'!T14</f>
        <v>0</v>
      </c>
      <c r="U14" s="1127"/>
      <c r="V14" s="1127"/>
      <c r="W14" s="1127"/>
      <c r="X14" s="1127"/>
      <c r="Y14" s="1112">
        <f>'Basis &amp; Credits'!Y14</f>
        <v>0</v>
      </c>
      <c r="Z14" s="1127"/>
      <c r="AA14" s="1127"/>
      <c r="AB14" s="1127"/>
      <c r="AC14" s="1127"/>
      <c r="AD14" s="1127">
        <f>'Basis &amp; Credits'!AD14</f>
        <v>0</v>
      </c>
      <c r="AE14" s="1127"/>
      <c r="AF14" s="1127"/>
      <c r="AG14" s="1127"/>
      <c r="AH14" s="1127"/>
      <c r="AI14" s="1127">
        <f>'Basis &amp; Credits'!AI14</f>
        <v>0</v>
      </c>
      <c r="AJ14" s="1127"/>
      <c r="AK14" s="1127"/>
      <c r="AL14" s="1127"/>
      <c r="AM14" s="1127"/>
    </row>
    <row r="15" spans="1:40" ht="12.9" customHeight="1">
      <c r="B15" s="8"/>
      <c r="C15" s="1531" t="s">
        <v>1752</v>
      </c>
      <c r="D15" s="1531"/>
      <c r="E15" s="1531"/>
      <c r="F15" s="1531"/>
      <c r="G15" s="1531"/>
      <c r="H15" s="1531"/>
      <c r="I15" s="1531"/>
      <c r="J15" s="1531"/>
      <c r="K15" s="1531"/>
      <c r="L15" s="1531"/>
      <c r="M15" s="1531"/>
      <c r="N15" s="1531"/>
      <c r="O15" s="1531"/>
      <c r="P15" s="1531"/>
      <c r="Q15" s="1531"/>
      <c r="R15" s="1531"/>
      <c r="S15" s="1532"/>
      <c r="T15" s="1112">
        <f>'Basis &amp; Credits'!T15</f>
        <v>0</v>
      </c>
      <c r="U15" s="1127"/>
      <c r="V15" s="1127"/>
      <c r="W15" s="1127"/>
      <c r="X15" s="1127"/>
      <c r="Y15" s="1112">
        <f>'Basis &amp; Credits'!Y15</f>
        <v>0</v>
      </c>
      <c r="Z15" s="1127"/>
      <c r="AA15" s="1127"/>
      <c r="AB15" s="1127"/>
      <c r="AC15" s="1127"/>
      <c r="AD15" s="1127">
        <f>'Basis &amp; Credits'!AD15</f>
        <v>0</v>
      </c>
      <c r="AE15" s="1127"/>
      <c r="AF15" s="1127"/>
      <c r="AG15" s="1127"/>
      <c r="AH15" s="1127"/>
      <c r="AI15" s="1127">
        <f>'Basis &amp; Credits'!AI15</f>
        <v>0</v>
      </c>
      <c r="AJ15" s="1127"/>
      <c r="AK15" s="1127"/>
      <c r="AL15" s="1127"/>
      <c r="AM15" s="1127"/>
    </row>
    <row r="16" spans="1:40" ht="12.9" customHeight="1">
      <c r="B16" s="8"/>
      <c r="C16" s="1531" t="s">
        <v>1753</v>
      </c>
      <c r="D16" s="1531"/>
      <c r="E16" s="1531"/>
      <c r="F16" s="1531"/>
      <c r="G16" s="1531"/>
      <c r="H16" s="1531"/>
      <c r="I16" s="1531"/>
      <c r="J16" s="1531"/>
      <c r="K16" s="1531"/>
      <c r="L16" s="1531"/>
      <c r="M16" s="1531"/>
      <c r="N16" s="1531"/>
      <c r="O16" s="1531"/>
      <c r="P16" s="1531"/>
      <c r="Q16" s="1531"/>
      <c r="R16" s="1531"/>
      <c r="S16" s="1532"/>
      <c r="T16" s="1112">
        <f>'Basis &amp; Credits'!T16</f>
        <v>0</v>
      </c>
      <c r="U16" s="1127"/>
      <c r="V16" s="1127"/>
      <c r="W16" s="1127"/>
      <c r="X16" s="1127"/>
      <c r="Y16" s="1112">
        <f>'Basis &amp; Credits'!Y16</f>
        <v>0</v>
      </c>
      <c r="Z16" s="1127"/>
      <c r="AA16" s="1127"/>
      <c r="AB16" s="1127"/>
      <c r="AC16" s="1127"/>
      <c r="AD16" s="1127">
        <f>'Basis &amp; Credits'!AD16</f>
        <v>0</v>
      </c>
      <c r="AE16" s="1127"/>
      <c r="AF16" s="1127"/>
      <c r="AG16" s="1127"/>
      <c r="AH16" s="1127"/>
      <c r="AI16" s="1127">
        <f>'Basis &amp; Credits'!AI16</f>
        <v>0</v>
      </c>
      <c r="AJ16" s="1127"/>
      <c r="AK16" s="1127"/>
      <c r="AL16" s="1127"/>
      <c r="AM16" s="1127"/>
    </row>
    <row r="17" spans="1:39" ht="12.9" customHeight="1">
      <c r="B17" s="8"/>
      <c r="C17" s="1531" t="s">
        <v>1754</v>
      </c>
      <c r="D17" s="1531"/>
      <c r="E17" s="1531"/>
      <c r="F17" s="1531"/>
      <c r="G17" s="1531"/>
      <c r="H17" s="1531"/>
      <c r="I17" s="1531"/>
      <c r="J17" s="1531"/>
      <c r="K17" s="1531"/>
      <c r="L17" s="1531"/>
      <c r="M17" s="1531"/>
      <c r="N17" s="1531"/>
      <c r="O17" s="1531"/>
      <c r="P17" s="1531"/>
      <c r="Q17" s="1531"/>
      <c r="R17" s="1531"/>
      <c r="S17" s="1532"/>
      <c r="T17" s="1112">
        <f>'Basis &amp; Credits'!T17</f>
        <v>0</v>
      </c>
      <c r="U17" s="1127"/>
      <c r="V17" s="1127"/>
      <c r="W17" s="1127"/>
      <c r="X17" s="1127"/>
      <c r="Y17" s="1112">
        <f>'Basis &amp; Credits'!Y17</f>
        <v>0</v>
      </c>
      <c r="Z17" s="1127"/>
      <c r="AA17" s="1127"/>
      <c r="AB17" s="1127"/>
      <c r="AC17" s="1127"/>
      <c r="AD17" s="1127">
        <f>'Basis &amp; Credits'!AD17</f>
        <v>0</v>
      </c>
      <c r="AE17" s="1127"/>
      <c r="AF17" s="1127"/>
      <c r="AG17" s="1127"/>
      <c r="AH17" s="1127"/>
      <c r="AI17" s="1127">
        <f>'Basis &amp; Credits'!AI17</f>
        <v>0</v>
      </c>
      <c r="AJ17" s="1127"/>
      <c r="AK17" s="1127"/>
      <c r="AL17" s="1127"/>
      <c r="AM17" s="1127"/>
    </row>
    <row r="18" spans="1:39" ht="12.9" customHeight="1">
      <c r="B18" s="500"/>
      <c r="C18" s="1531" t="s">
        <v>2454</v>
      </c>
      <c r="D18" s="1531"/>
      <c r="E18" s="1531"/>
      <c r="F18" s="1531"/>
      <c r="G18" s="1531"/>
      <c r="H18" s="1531"/>
      <c r="I18" s="1531"/>
      <c r="J18" s="1531"/>
      <c r="K18" s="1531"/>
      <c r="L18" s="1531"/>
      <c r="M18" s="1531"/>
      <c r="N18" s="1531"/>
      <c r="O18" s="1531"/>
      <c r="P18" s="1531"/>
      <c r="Q18" s="1531"/>
      <c r="R18" s="1531"/>
      <c r="S18" s="1532"/>
      <c r="T18" s="1110">
        <f>'Basis &amp; Credits'!T18</f>
        <v>0</v>
      </c>
      <c r="U18" s="1111"/>
      <c r="V18" s="1111"/>
      <c r="W18" s="1111"/>
      <c r="X18" s="1112"/>
      <c r="Y18" s="1112">
        <f>'Basis &amp; Credits'!Y18</f>
        <v>0</v>
      </c>
      <c r="Z18" s="1127"/>
      <c r="AA18" s="1127"/>
      <c r="AB18" s="1127"/>
      <c r="AC18" s="1127"/>
      <c r="AD18" s="1127">
        <f>'Basis &amp; Credits'!AD18</f>
        <v>0</v>
      </c>
      <c r="AE18" s="1127"/>
      <c r="AF18" s="1127"/>
      <c r="AG18" s="1127"/>
      <c r="AH18" s="1127"/>
      <c r="AI18" s="1127">
        <f>'Basis &amp; Credits'!AI18</f>
        <v>0</v>
      </c>
      <c r="AJ18" s="1127"/>
      <c r="AK18" s="1127"/>
      <c r="AL18" s="1127"/>
      <c r="AM18" s="1127"/>
    </row>
    <row r="19" spans="1:39" ht="12.9" customHeight="1">
      <c r="B19" s="396"/>
      <c r="C19" s="1319" t="str">
        <f>'Basis &amp; Credits'!C19:S19</f>
        <v>Subtract (specify other ineligible amounts):</v>
      </c>
      <c r="D19" s="1319"/>
      <c r="E19" s="1319"/>
      <c r="F19" s="1319"/>
      <c r="G19" s="1319"/>
      <c r="H19" s="1319"/>
      <c r="I19" s="1319"/>
      <c r="J19" s="1319"/>
      <c r="K19" s="1319"/>
      <c r="L19" s="1319"/>
      <c r="M19" s="1319"/>
      <c r="N19" s="1319"/>
      <c r="O19" s="1319"/>
      <c r="P19" s="1319"/>
      <c r="Q19" s="1319"/>
      <c r="R19" s="1319"/>
      <c r="S19" s="1320"/>
      <c r="T19" s="1112">
        <f>'Basis &amp; Credits'!T19</f>
        <v>0</v>
      </c>
      <c r="U19" s="1127"/>
      <c r="V19" s="1127"/>
      <c r="W19" s="1127"/>
      <c r="X19" s="1127"/>
      <c r="Y19" s="1112">
        <f>'Basis &amp; Credits'!Y19</f>
        <v>0</v>
      </c>
      <c r="Z19" s="1127"/>
      <c r="AA19" s="1127"/>
      <c r="AB19" s="1127"/>
      <c r="AC19" s="1127"/>
      <c r="AD19" s="1127">
        <f>'Basis &amp; Credits'!AD19</f>
        <v>0</v>
      </c>
      <c r="AE19" s="1127"/>
      <c r="AF19" s="1127"/>
      <c r="AG19" s="1127"/>
      <c r="AH19" s="1127"/>
      <c r="AI19" s="1127">
        <f>'Basis &amp; Credits'!AI19</f>
        <v>0</v>
      </c>
      <c r="AJ19" s="1127"/>
      <c r="AK19" s="1127"/>
      <c r="AL19" s="1127"/>
      <c r="AM19" s="1127"/>
    </row>
    <row r="20" spans="1:39" ht="12.9" customHeight="1">
      <c r="B20" s="1050" t="s">
        <v>1756</v>
      </c>
      <c r="C20" s="1051"/>
      <c r="D20" s="1051"/>
      <c r="E20" s="1051"/>
      <c r="F20" s="1051"/>
      <c r="G20" s="1051"/>
      <c r="H20" s="1051"/>
      <c r="I20" s="1051"/>
      <c r="J20" s="1051"/>
      <c r="K20" s="1051"/>
      <c r="L20" s="1051"/>
      <c r="M20" s="1051"/>
      <c r="N20" s="1051"/>
      <c r="O20" s="1051"/>
      <c r="P20" s="1051"/>
      <c r="Q20" s="1051"/>
      <c r="R20" s="1051"/>
      <c r="S20" s="1053"/>
      <c r="T20" s="1505">
        <f>SUM(T13:X19)</f>
        <v>0</v>
      </c>
      <c r="U20" s="1236"/>
      <c r="V20" s="1236"/>
      <c r="W20" s="1236"/>
      <c r="X20" s="1236"/>
      <c r="Y20" s="1505">
        <f>SUM(Y13:AC19)</f>
        <v>0</v>
      </c>
      <c r="Z20" s="1236"/>
      <c r="AA20" s="1236"/>
      <c r="AB20" s="1236"/>
      <c r="AC20" s="1236"/>
      <c r="AD20" s="1236">
        <f>SUM(AD13:AH19)</f>
        <v>0</v>
      </c>
      <c r="AE20" s="1236"/>
      <c r="AF20" s="1236"/>
      <c r="AG20" s="1236"/>
      <c r="AH20" s="1236"/>
      <c r="AI20" s="1236">
        <f>SUM(AI13:AM19)</f>
        <v>0</v>
      </c>
      <c r="AJ20" s="1236"/>
      <c r="AK20" s="1236"/>
      <c r="AL20" s="1236"/>
      <c r="AM20" s="1236"/>
    </row>
    <row r="21" spans="1:39" ht="12.9" customHeight="1">
      <c r="B21" s="1050" t="s">
        <v>1757</v>
      </c>
      <c r="C21" s="1051"/>
      <c r="D21" s="1051"/>
      <c r="E21" s="1051"/>
      <c r="F21" s="1051"/>
      <c r="G21" s="1051"/>
      <c r="H21" s="1051"/>
      <c r="I21" s="1051"/>
      <c r="J21" s="1051"/>
      <c r="K21" s="1051"/>
      <c r="L21" s="1051"/>
      <c r="M21" s="1051"/>
      <c r="N21" s="1051"/>
      <c r="O21" s="1051"/>
      <c r="P21" s="1051"/>
      <c r="Q21" s="1051"/>
      <c r="R21" s="1051"/>
      <c r="S21" s="1053"/>
      <c r="T21" s="1112">
        <f>'Basis &amp; Credits'!T21</f>
        <v>0</v>
      </c>
      <c r="U21" s="1127"/>
      <c r="V21" s="1127"/>
      <c r="W21" s="1127"/>
      <c r="X21" s="1127"/>
      <c r="Y21" s="1112">
        <f>'Basis &amp; Credits'!Y21</f>
        <v>0</v>
      </c>
      <c r="Z21" s="1127"/>
      <c r="AA21" s="1127"/>
      <c r="AB21" s="1127"/>
      <c r="AC21" s="1127"/>
      <c r="AD21" s="1127">
        <f>'Basis &amp; Credits'!AD21</f>
        <v>0</v>
      </c>
      <c r="AE21" s="1127"/>
      <c r="AF21" s="1127"/>
      <c r="AG21" s="1127"/>
      <c r="AH21" s="1127"/>
      <c r="AI21" s="1127">
        <f>'Basis &amp; Credits'!AI21</f>
        <v>0</v>
      </c>
      <c r="AJ21" s="1127"/>
      <c r="AK21" s="1127"/>
      <c r="AL21" s="1127"/>
      <c r="AM21" s="1127"/>
    </row>
    <row r="22" spans="1:39" ht="12.9" customHeight="1">
      <c r="B22" s="1050" t="s">
        <v>1758</v>
      </c>
      <c r="C22" s="1051"/>
      <c r="D22" s="1051"/>
      <c r="E22" s="1051"/>
      <c r="F22" s="1051"/>
      <c r="G22" s="1051"/>
      <c r="H22" s="1051"/>
      <c r="I22" s="1051"/>
      <c r="J22" s="1051"/>
      <c r="K22" s="1051"/>
      <c r="L22" s="1051"/>
      <c r="M22" s="1051"/>
      <c r="N22" s="1051"/>
      <c r="O22" s="1051"/>
      <c r="P22" s="1051"/>
      <c r="Q22" s="1051"/>
      <c r="R22" s="1051"/>
      <c r="S22" s="1053"/>
      <c r="T22" s="1534">
        <f>(T20+T21)*-1</f>
        <v>0</v>
      </c>
      <c r="U22" s="1535"/>
      <c r="V22" s="1535"/>
      <c r="W22" s="1535"/>
      <c r="X22" s="1535"/>
      <c r="Y22" s="1534">
        <f>(Y20+Y21)*-1</f>
        <v>0</v>
      </c>
      <c r="Z22" s="1535"/>
      <c r="AA22" s="1535"/>
      <c r="AB22" s="1535"/>
      <c r="AC22" s="1535"/>
      <c r="AD22" s="1534">
        <f>(AD20+AD21)*-1</f>
        <v>0</v>
      </c>
      <c r="AE22" s="1535"/>
      <c r="AF22" s="1535"/>
      <c r="AG22" s="1535"/>
      <c r="AH22" s="1535"/>
      <c r="AI22" s="1534">
        <f>(AI20+AI21)*-1</f>
        <v>0</v>
      </c>
      <c r="AJ22" s="1535"/>
      <c r="AK22" s="1535"/>
      <c r="AL22" s="1535"/>
      <c r="AM22" s="1535"/>
    </row>
    <row r="23" spans="1:39" ht="12.9" customHeight="1">
      <c r="B23" s="1050" t="s">
        <v>2455</v>
      </c>
      <c r="C23" s="1051"/>
      <c r="D23" s="1051"/>
      <c r="E23" s="1051"/>
      <c r="F23" s="1051"/>
      <c r="G23" s="1051"/>
      <c r="H23" s="1051"/>
      <c r="I23" s="1051"/>
      <c r="J23" s="1051"/>
      <c r="K23" s="1051"/>
      <c r="L23" s="1051"/>
      <c r="M23" s="1051"/>
      <c r="N23" s="1051"/>
      <c r="O23" s="1051"/>
      <c r="P23" s="1051"/>
      <c r="Q23" s="1051"/>
      <c r="R23" s="1051"/>
      <c r="S23" s="1053"/>
      <c r="T23" s="1505">
        <f>T11+T22</f>
        <v>4810800.75</v>
      </c>
      <c r="U23" s="1236"/>
      <c r="V23" s="1236"/>
      <c r="W23" s="1236"/>
      <c r="X23" s="1236"/>
      <c r="Y23" s="1505">
        <f>Y11+Y22</f>
        <v>0</v>
      </c>
      <c r="Z23" s="1236"/>
      <c r="AA23" s="1236"/>
      <c r="AB23" s="1236"/>
      <c r="AC23" s="1236"/>
      <c r="AD23" s="1505">
        <f>AD11+AD22</f>
        <v>0</v>
      </c>
      <c r="AE23" s="1236"/>
      <c r="AF23" s="1236"/>
      <c r="AG23" s="1236"/>
      <c r="AH23" s="1236"/>
      <c r="AI23" s="1505">
        <f>AI11+AI22</f>
        <v>0</v>
      </c>
      <c r="AJ23" s="1236"/>
      <c r="AK23" s="1236"/>
      <c r="AL23" s="1236"/>
      <c r="AM23" s="1236"/>
    </row>
    <row r="24" spans="1:39" ht="12.9" customHeight="1">
      <c r="B24" s="1050" t="s">
        <v>1760</v>
      </c>
      <c r="C24" s="1051"/>
      <c r="D24" s="1051"/>
      <c r="E24" s="1051"/>
      <c r="F24" s="1051"/>
      <c r="G24" s="1051"/>
      <c r="H24" s="1051"/>
      <c r="I24" s="1051"/>
      <c r="J24" s="1051"/>
      <c r="K24" s="1051"/>
      <c r="L24" s="1051"/>
      <c r="M24" s="1051"/>
      <c r="N24" s="1051"/>
      <c r="O24" s="1051"/>
      <c r="P24" s="1051"/>
      <c r="Q24" s="1051"/>
      <c r="R24" s="1051"/>
      <c r="S24" s="1053"/>
      <c r="T24" s="1506">
        <f>Application!AD1011</f>
        <v>0</v>
      </c>
      <c r="U24" s="1507"/>
      <c r="V24" s="1507"/>
      <c r="W24" s="1507"/>
      <c r="X24" s="1507"/>
      <c r="Y24" s="1507"/>
      <c r="Z24" s="1507"/>
      <c r="AA24" s="1507"/>
      <c r="AB24" s="1507"/>
      <c r="AC24" s="1507"/>
      <c r="AD24" s="1507"/>
      <c r="AE24" s="1507"/>
      <c r="AF24" s="1507"/>
      <c r="AG24" s="1507"/>
      <c r="AH24" s="1507"/>
      <c r="AI24" s="1507"/>
      <c r="AJ24" s="1507"/>
      <c r="AK24" s="1507"/>
      <c r="AL24" s="1507"/>
      <c r="AM24" s="1505"/>
    </row>
    <row r="25" spans="1:39" ht="12.9" customHeight="1">
      <c r="B25" s="1541" t="s">
        <v>2456</v>
      </c>
      <c r="C25" s="1542"/>
      <c r="D25" s="1542"/>
      <c r="E25" s="1542"/>
      <c r="F25" s="1542"/>
      <c r="G25" s="1542"/>
      <c r="H25" s="1542"/>
      <c r="I25" s="1542"/>
      <c r="J25" s="1542"/>
      <c r="K25" s="1542"/>
      <c r="L25" s="1542"/>
      <c r="M25" s="1542"/>
      <c r="N25" s="1542"/>
      <c r="O25" s="1542"/>
      <c r="P25" s="1542"/>
      <c r="Q25" s="1542"/>
      <c r="R25" s="1542"/>
      <c r="S25" s="1543"/>
      <c r="T25" s="1536">
        <v>1</v>
      </c>
      <c r="U25" s="1537"/>
      <c r="V25" s="1537"/>
      <c r="W25" s="1537"/>
      <c r="X25" s="1537"/>
      <c r="Y25" s="1536">
        <v>1</v>
      </c>
      <c r="Z25" s="1537"/>
      <c r="AA25" s="1537"/>
      <c r="AB25" s="1537"/>
      <c r="AC25" s="1540"/>
      <c r="AD25" s="1536">
        <v>1</v>
      </c>
      <c r="AE25" s="1537"/>
      <c r="AF25" s="1537"/>
      <c r="AG25" s="1537"/>
      <c r="AH25" s="1540"/>
      <c r="AI25" s="1536">
        <v>1</v>
      </c>
      <c r="AJ25" s="1537"/>
      <c r="AK25" s="1537"/>
      <c r="AL25" s="1537"/>
      <c r="AM25" s="1540"/>
    </row>
    <row r="26" spans="1:39" ht="12.9" customHeight="1">
      <c r="B26" s="1050" t="s">
        <v>1762</v>
      </c>
      <c r="C26" s="1051"/>
      <c r="D26" s="1051"/>
      <c r="E26" s="1051"/>
      <c r="F26" s="1051"/>
      <c r="G26" s="1051"/>
      <c r="H26" s="1051"/>
      <c r="I26" s="1051"/>
      <c r="J26" s="1051"/>
      <c r="K26" s="1051"/>
      <c r="L26" s="1051"/>
      <c r="M26" s="1051"/>
      <c r="N26" s="1051"/>
      <c r="O26" s="1051"/>
      <c r="P26" s="1051"/>
      <c r="Q26" s="1051"/>
      <c r="R26" s="1051"/>
      <c r="S26" s="1053"/>
      <c r="T26" s="1041">
        <f>T23*T25</f>
        <v>4810800.75</v>
      </c>
      <c r="U26" s="1103"/>
      <c r="V26" s="1103"/>
      <c r="W26" s="1103"/>
      <c r="X26" s="1103"/>
      <c r="Y26" s="1041">
        <f>Y23*Y25</f>
        <v>0</v>
      </c>
      <c r="Z26" s="1103"/>
      <c r="AA26" s="1103"/>
      <c r="AB26" s="1103"/>
      <c r="AC26" s="1103"/>
      <c r="AD26" s="1041">
        <f>AD23*AD25</f>
        <v>0</v>
      </c>
      <c r="AE26" s="1103"/>
      <c r="AF26" s="1103"/>
      <c r="AG26" s="1103"/>
      <c r="AH26" s="1103"/>
      <c r="AI26" s="1041">
        <f>AI23*AI25</f>
        <v>0</v>
      </c>
      <c r="AJ26" s="1103"/>
      <c r="AK26" s="1103"/>
      <c r="AL26" s="1103"/>
      <c r="AM26" s="1103"/>
    </row>
    <row r="27" spans="1:39" ht="12.9" customHeight="1">
      <c r="A27" s="4"/>
      <c r="B27" s="1541" t="s">
        <v>1763</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2.9" customHeight="1">
      <c r="A28" s="3"/>
      <c r="B28" s="1050" t="s">
        <v>1764</v>
      </c>
      <c r="C28" s="1051"/>
      <c r="D28" s="1051"/>
      <c r="E28" s="1051"/>
      <c r="F28" s="1051"/>
      <c r="G28" s="1051"/>
      <c r="H28" s="1051"/>
      <c r="I28" s="1051"/>
      <c r="J28" s="1051"/>
      <c r="K28" s="1051"/>
      <c r="L28" s="1051"/>
      <c r="M28" s="1051"/>
      <c r="N28" s="1051"/>
      <c r="O28" s="1051"/>
      <c r="P28" s="1051"/>
      <c r="Q28" s="1051"/>
      <c r="R28" s="1051"/>
      <c r="S28" s="1053"/>
      <c r="T28" s="1041">
        <f>IF(ISERROR((T26*T27)),0,(T26*T27))</f>
        <v>4810800.75</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0</v>
      </c>
      <c r="AJ28" s="1103"/>
      <c r="AK28" s="1103"/>
      <c r="AL28" s="1103"/>
      <c r="AM28" s="1103"/>
    </row>
    <row r="29" spans="1:39" ht="12.9" customHeight="1">
      <c r="B29" s="1050" t="s">
        <v>1765</v>
      </c>
      <c r="C29" s="1051"/>
      <c r="D29" s="1051"/>
      <c r="E29" s="1051"/>
      <c r="F29" s="1051"/>
      <c r="G29" s="1051"/>
      <c r="H29" s="1051"/>
      <c r="I29" s="1051"/>
      <c r="J29" s="1051"/>
      <c r="K29" s="1051"/>
      <c r="L29" s="1051"/>
      <c r="M29" s="1051"/>
      <c r="N29" s="1051"/>
      <c r="O29" s="1051"/>
      <c r="P29" s="1051"/>
      <c r="Q29" s="1051"/>
      <c r="R29" s="1051"/>
      <c r="S29" s="1053"/>
      <c r="T29" s="1506">
        <f>T28+Y28+AD28+AI28</f>
        <v>4810800.75</v>
      </c>
      <c r="U29" s="1507"/>
      <c r="V29" s="1507"/>
      <c r="W29" s="1507"/>
      <c r="X29" s="1507"/>
      <c r="Y29" s="1507"/>
      <c r="Z29" s="1507"/>
      <c r="AA29" s="1507"/>
      <c r="AB29" s="1507"/>
      <c r="AC29" s="1507"/>
      <c r="AD29" s="1507"/>
      <c r="AE29" s="1507"/>
      <c r="AF29" s="1507"/>
      <c r="AG29" s="1507"/>
      <c r="AH29" s="1507"/>
      <c r="AI29" s="1507"/>
      <c r="AJ29" s="1507"/>
      <c r="AK29" s="1507"/>
      <c r="AL29" s="1507"/>
      <c r="AM29" s="1505"/>
    </row>
    <row r="30" spans="1:39" ht="12.9" customHeight="1">
      <c r="B30" s="1854"/>
      <c r="C30" s="1854"/>
      <c r="D30" s="1854"/>
      <c r="E30" s="1854"/>
      <c r="F30" s="1854"/>
      <c r="G30" s="1854"/>
      <c r="H30" s="1854"/>
      <c r="I30" s="1854"/>
      <c r="J30" s="1854"/>
      <c r="K30" s="1854"/>
      <c r="L30" s="1854"/>
      <c r="M30" s="1854"/>
      <c r="N30" s="1854"/>
      <c r="O30" s="1854"/>
      <c r="P30" s="1854"/>
      <c r="Q30" s="1854"/>
      <c r="R30" s="1854"/>
      <c r="S30" s="1854"/>
      <c r="T30" s="1854"/>
      <c r="U30" s="1854"/>
      <c r="V30" s="1854"/>
      <c r="W30" s="1854"/>
      <c r="X30" s="1854"/>
      <c r="Y30" s="1854"/>
      <c r="Z30" s="1854"/>
      <c r="AA30" s="1854"/>
      <c r="AB30" s="1854"/>
      <c r="AC30" s="1854"/>
      <c r="AD30" s="1854"/>
      <c r="AE30" s="1854"/>
      <c r="AF30" s="1854"/>
      <c r="AG30" s="1854"/>
      <c r="AH30" s="1854"/>
      <c r="AI30" s="1854"/>
      <c r="AJ30" s="1854"/>
      <c r="AK30" s="1854"/>
      <c r="AL30" s="1854"/>
      <c r="AM30" s="185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08" t="s">
        <v>1768</v>
      </c>
      <c r="Z35" s="1508"/>
      <c r="AA35" s="1508"/>
      <c r="AB35" s="1508"/>
      <c r="AC35" s="1508"/>
      <c r="AD35" s="1172" t="s">
        <v>1769</v>
      </c>
      <c r="AE35" s="1172"/>
      <c r="AF35" s="1172"/>
      <c r="AG35" s="1172"/>
      <c r="AH35" s="1172"/>
    </row>
    <row r="36" spans="1:40" ht="12.9" customHeight="1">
      <c r="B36" s="175"/>
      <c r="X36" s="63"/>
      <c r="Y36" s="1508"/>
      <c r="Z36" s="1508"/>
      <c r="AA36" s="1508"/>
      <c r="AB36" s="1508"/>
      <c r="AC36" s="1508"/>
      <c r="AD36" s="1172"/>
      <c r="AE36" s="1172"/>
      <c r="AF36" s="1172"/>
      <c r="AG36" s="1172"/>
      <c r="AH36" s="1172"/>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8"/>
      <c r="Z37" s="1508"/>
      <c r="AA37" s="1508"/>
      <c r="AB37" s="1508"/>
      <c r="AC37" s="1508"/>
      <c r="AD37" s="1172"/>
      <c r="AE37" s="1172"/>
      <c r="AF37" s="1172"/>
      <c r="AG37" s="1172"/>
      <c r="AH37" s="1172"/>
    </row>
    <row r="38" spans="1:40" ht="12.9" customHeight="1">
      <c r="A38" s="3"/>
      <c r="B38" s="1050" t="s">
        <v>1764</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36">
        <f>IF(T24&gt;=(T23+Y23+AD23+AI23),T28+Y28,0)</f>
        <v>0</v>
      </c>
      <c r="Z38" s="1236"/>
      <c r="AA38" s="1236"/>
      <c r="AB38" s="1236"/>
      <c r="AC38" s="1236"/>
      <c r="AD38" s="1236">
        <f>IF(T24&gt;=(T23+Y23+AD23+AI23),AD28+AI28,0)</f>
        <v>0</v>
      </c>
      <c r="AE38" s="1236"/>
      <c r="AF38" s="1236"/>
      <c r="AG38" s="1236"/>
      <c r="AH38" s="1236"/>
    </row>
    <row r="39" spans="1:40" ht="12.9" customHeight="1">
      <c r="B39" s="1050" t="s">
        <v>2457</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855">
        <v>0.09</v>
      </c>
      <c r="Z39" s="1855"/>
      <c r="AA39" s="1855"/>
      <c r="AB39" s="1855"/>
      <c r="AC39" s="1855"/>
      <c r="AD39" s="1855">
        <f>'Basis &amp; Credits'!AD39:AH39</f>
        <v>0.04</v>
      </c>
      <c r="AE39" s="1855"/>
      <c r="AF39" s="1855"/>
      <c r="AG39" s="1855"/>
      <c r="AH39" s="1855"/>
    </row>
    <row r="40" spans="1:40" ht="12.9" customHeight="1">
      <c r="A40" s="3"/>
      <c r="B40" s="1050" t="s">
        <v>1771</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36">
        <f>ROUND(Y38*Y39,0)</f>
        <v>0</v>
      </c>
      <c r="Z40" s="1236"/>
      <c r="AA40" s="1236"/>
      <c r="AB40" s="1236"/>
      <c r="AC40" s="1236"/>
      <c r="AD40" s="1505">
        <f>ROUND(AD38*AD39,0)</f>
        <v>0</v>
      </c>
      <c r="AE40" s="1236"/>
      <c r="AF40" s="1236"/>
      <c r="AG40" s="1236"/>
      <c r="AH40" s="1236"/>
    </row>
    <row r="41" spans="1:40" ht="12.9" customHeight="1">
      <c r="B41" s="1050" t="s">
        <v>1772</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506">
        <f>IF((Y40+AD40)&gt;2500000,2500000,Y40+AD40)</f>
        <v>0</v>
      </c>
      <c r="Z41" s="1507"/>
      <c r="AA41" s="1507"/>
      <c r="AB41" s="1507"/>
      <c r="AC41" s="1507"/>
      <c r="AD41" s="1507"/>
      <c r="AE41" s="1507"/>
      <c r="AF41" s="1507"/>
      <c r="AG41" s="1507"/>
      <c r="AH41" s="1505"/>
    </row>
    <row r="42" spans="1:40" ht="12.9" customHeight="1">
      <c r="A42" s="3"/>
      <c r="B42" s="1516" t="s">
        <v>2458</v>
      </c>
      <c r="C42" s="1516"/>
      <c r="D42" s="1516"/>
      <c r="E42" s="1516"/>
      <c r="F42" s="1516"/>
      <c r="G42" s="1516"/>
      <c r="H42" s="1516"/>
      <c r="I42" s="1516"/>
      <c r="J42" s="1516"/>
      <c r="K42" s="1516"/>
      <c r="L42" s="1516"/>
      <c r="M42" s="1516"/>
      <c r="N42" s="1516"/>
      <c r="O42" s="1516"/>
      <c r="P42" s="1516"/>
      <c r="Q42" s="1516"/>
      <c r="R42" s="1516"/>
      <c r="S42" s="1516"/>
      <c r="T42" s="1516"/>
      <c r="U42" s="1516"/>
      <c r="V42" s="1516"/>
      <c r="W42" s="1516"/>
      <c r="X42" s="1516"/>
      <c r="Y42" s="1516"/>
      <c r="Z42" s="1516"/>
      <c r="AA42" s="1516"/>
      <c r="AB42" s="1516"/>
      <c r="AC42" s="1516"/>
      <c r="AD42" s="1516"/>
      <c r="AE42" s="1516"/>
      <c r="AF42" s="1516"/>
      <c r="AG42" s="1516"/>
      <c r="AH42" s="1516"/>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1774</v>
      </c>
      <c r="AB46" s="1173">
        <f>'Sources and Uses Budget'!B104-'Sources and Uses Budget'!$B$15</f>
        <v>7425654.6644075764</v>
      </c>
      <c r="AC46" s="1174"/>
      <c r="AD46" s="1174"/>
      <c r="AE46" s="1174"/>
      <c r="AF46" s="1175"/>
    </row>
    <row r="47" spans="1:40" ht="12.9" customHeight="1">
      <c r="D47" s="3" t="s">
        <v>184</v>
      </c>
      <c r="AB47" s="1173">
        <f>Application!AG633-MIN('Sources and Uses Budget'!B15,Application!AG385)</f>
        <v>0</v>
      </c>
      <c r="AC47" s="1174"/>
      <c r="AD47" s="1174"/>
      <c r="AE47" s="1174"/>
      <c r="AF47" s="1175"/>
    </row>
    <row r="48" spans="1:40" ht="12.9" customHeight="1">
      <c r="D48" s="3" t="s">
        <v>1775</v>
      </c>
      <c r="AB48" s="1173">
        <f>AB46-AB47</f>
        <v>7425654.6644075764</v>
      </c>
      <c r="AC48" s="1174"/>
      <c r="AD48" s="1174"/>
      <c r="AE48" s="1174"/>
      <c r="AF48" s="1175"/>
    </row>
    <row r="49" spans="1:40" ht="12.9" customHeight="1">
      <c r="D49" s="3" t="s">
        <v>1776</v>
      </c>
      <c r="AA49" s="31"/>
      <c r="AB49" s="1511"/>
      <c r="AC49" s="1512"/>
      <c r="AD49" s="1512"/>
      <c r="AE49" s="1512"/>
      <c r="AF49" s="1513"/>
    </row>
    <row r="50" spans="1:40" s="271" customFormat="1" ht="12.9" customHeight="1">
      <c r="A50"/>
      <c r="B50"/>
      <c r="C50"/>
      <c r="D50"/>
      <c r="E50" s="1517" t="s">
        <v>2459</v>
      </c>
      <c r="F50" s="1517"/>
      <c r="G50" s="1517"/>
      <c r="H50" s="1517"/>
      <c r="I50" s="1517"/>
      <c r="J50" s="1517"/>
      <c r="K50" s="1517"/>
      <c r="L50" s="1517"/>
      <c r="M50" s="1517"/>
      <c r="N50" s="1517"/>
      <c r="O50" s="1517"/>
      <c r="P50" s="1517"/>
      <c r="Q50" s="1517"/>
      <c r="R50" s="1517"/>
      <c r="S50" s="1517"/>
      <c r="T50" s="1517"/>
      <c r="U50" s="1517"/>
      <c r="V50" s="1517"/>
      <c r="W50" s="1517"/>
      <c r="X50" s="1517"/>
      <c r="Y50" s="1517"/>
      <c r="Z50" s="1517"/>
      <c r="AA50" s="703"/>
      <c r="AB50" s="703"/>
      <c r="AC50" s="703"/>
      <c r="AD50" s="703"/>
      <c r="AE50" s="703"/>
      <c r="AF50" s="703"/>
      <c r="AG50"/>
      <c r="AH50"/>
      <c r="AI50"/>
      <c r="AJ50"/>
      <c r="AK50"/>
      <c r="AL50"/>
      <c r="AM50"/>
      <c r="AN50"/>
    </row>
    <row r="51" spans="1:40" s="271" customFormat="1" ht="12.9" customHeight="1">
      <c r="A51"/>
      <c r="B51"/>
      <c r="C51"/>
      <c r="D51"/>
      <c r="E51" s="1517"/>
      <c r="F51" s="1517"/>
      <c r="G51" s="1517"/>
      <c r="H51" s="1517"/>
      <c r="I51" s="1517"/>
      <c r="J51" s="1517"/>
      <c r="K51" s="1517"/>
      <c r="L51" s="1517"/>
      <c r="M51" s="1517"/>
      <c r="N51" s="1517"/>
      <c r="O51" s="1517"/>
      <c r="P51" s="1517"/>
      <c r="Q51" s="1517"/>
      <c r="R51" s="1517"/>
      <c r="S51" s="1517"/>
      <c r="T51" s="1517"/>
      <c r="U51" s="1517"/>
      <c r="V51" s="1517"/>
      <c r="W51" s="1517"/>
      <c r="X51" s="1517"/>
      <c r="Y51" s="1517"/>
      <c r="Z51" s="1517"/>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1778</v>
      </c>
      <c r="AB53" s="1173">
        <f>ROUND(IF(ISERROR((AB48/AB49)),0,(AB48/AB49)),0)</f>
        <v>0</v>
      </c>
      <c r="AC53" s="1174"/>
      <c r="AD53" s="1174"/>
      <c r="AE53" s="1174"/>
      <c r="AF53" s="1175"/>
    </row>
    <row r="54" spans="1:40" ht="12.9" customHeight="1">
      <c r="D54" s="3" t="s">
        <v>1779</v>
      </c>
      <c r="AB54" s="1173">
        <f>(AB53/10)</f>
        <v>0</v>
      </c>
      <c r="AC54" s="1174"/>
      <c r="AD54" s="1174"/>
      <c r="AE54" s="1174"/>
      <c r="AF54" s="1175"/>
    </row>
    <row r="55" spans="1:40" ht="12.9" customHeight="1">
      <c r="D55" s="3" t="s">
        <v>1780</v>
      </c>
      <c r="AB55" s="1856">
        <f>(IF((Y41&lt;AB54),Y41,AB54))</f>
        <v>0</v>
      </c>
      <c r="AC55" s="1857"/>
      <c r="AD55" s="1857"/>
      <c r="AE55" s="1857"/>
      <c r="AF55" s="1858"/>
    </row>
    <row r="56" spans="1:40" ht="12.9" customHeight="1">
      <c r="D56" s="3" t="s">
        <v>1781</v>
      </c>
      <c r="AB56" s="1173">
        <f>ROUND((10*AB55*AB49),0)</f>
        <v>0</v>
      </c>
      <c r="AC56" s="1174"/>
      <c r="AD56" s="1174"/>
      <c r="AE56" s="1174"/>
      <c r="AF56" s="1175"/>
    </row>
    <row r="57" spans="1:40" ht="12.9" customHeight="1">
      <c r="D57" s="3"/>
      <c r="AB57" s="238"/>
      <c r="AC57" s="238"/>
      <c r="AD57" s="238"/>
      <c r="AE57" s="238"/>
      <c r="AF57" s="238"/>
    </row>
    <row r="58" spans="1:40" ht="12.9" customHeight="1">
      <c r="D58" s="3" t="s">
        <v>1782</v>
      </c>
      <c r="AB58" s="1240">
        <f>AB48-AB56</f>
        <v>7425654.6644075764</v>
      </c>
      <c r="AC58" s="1240"/>
      <c r="AD58" s="1240"/>
      <c r="AE58" s="1240"/>
      <c r="AF58" s="1240"/>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2" t="s">
        <v>1783</v>
      </c>
      <c r="B60" s="1502"/>
      <c r="C60" s="1502"/>
      <c r="D60" s="1502"/>
      <c r="E60" s="1502"/>
      <c r="F60" s="1502"/>
      <c r="G60" s="1502"/>
      <c r="H60" s="1502"/>
      <c r="I60" s="1502"/>
      <c r="J60" s="1502"/>
      <c r="K60" s="1502"/>
      <c r="L60" s="1502"/>
      <c r="M60" s="1502"/>
      <c r="N60" s="1502"/>
      <c r="O60" s="1502"/>
      <c r="P60" s="1502"/>
      <c r="Q60" s="1502"/>
      <c r="R60" s="1502"/>
      <c r="S60" s="1502"/>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929</v>
      </c>
      <c r="C62" s="3" t="s">
        <v>285</v>
      </c>
      <c r="Y62" s="1459" t="s">
        <v>1784</v>
      </c>
      <c r="Z62" s="1459"/>
      <c r="AA62" s="1459"/>
      <c r="AB62" s="1459"/>
      <c r="AC62" s="1459"/>
      <c r="AD62" s="1459" t="s">
        <v>1769</v>
      </c>
      <c r="AE62" s="1459"/>
      <c r="AF62" s="1459"/>
      <c r="AG62" s="1459"/>
      <c r="AH62" s="1459"/>
    </row>
    <row r="63" spans="1:40" ht="12.9" customHeight="1">
      <c r="C63" s="3"/>
      <c r="D63" s="107" t="s">
        <v>1785</v>
      </c>
      <c r="E63" s="15"/>
      <c r="F63" s="15"/>
      <c r="G63" s="15"/>
      <c r="H63" s="15"/>
      <c r="I63" s="15"/>
      <c r="J63" s="15"/>
      <c r="K63" s="15"/>
      <c r="L63" s="15"/>
      <c r="M63" s="15"/>
      <c r="N63" s="15"/>
      <c r="O63" s="15"/>
      <c r="P63" s="15"/>
      <c r="Q63" s="15"/>
      <c r="R63" s="15"/>
      <c r="S63" s="15"/>
      <c r="T63" s="15"/>
      <c r="U63" s="15"/>
      <c r="V63" s="15"/>
      <c r="W63" s="15"/>
      <c r="X63" s="15"/>
      <c r="Y63" s="1236">
        <f>Y28</f>
        <v>0</v>
      </c>
      <c r="Z63" s="1514"/>
      <c r="AA63" s="1514"/>
      <c r="AB63" s="1514"/>
      <c r="AC63" s="1514"/>
      <c r="AD63" s="1236">
        <f>AI28</f>
        <v>0</v>
      </c>
      <c r="AE63" s="1514"/>
      <c r="AF63" s="1514"/>
      <c r="AG63" s="1514"/>
      <c r="AH63" s="1514"/>
    </row>
    <row r="64" spans="1:40" ht="12.9" customHeight="1">
      <c r="C64" s="3"/>
      <c r="E64" s="1503" t="s">
        <v>1786</v>
      </c>
      <c r="F64" s="1503"/>
      <c r="G64" s="1503"/>
      <c r="H64" s="1503"/>
      <c r="I64" s="1503"/>
      <c r="J64" s="1503"/>
      <c r="K64" s="1503"/>
      <c r="L64" s="1503"/>
      <c r="M64" s="1503"/>
      <c r="N64" s="1503"/>
      <c r="O64" s="1503"/>
      <c r="P64" s="1503"/>
      <c r="Q64" s="1503"/>
      <c r="R64" s="1503"/>
      <c r="S64" s="1503"/>
      <c r="T64" s="1503"/>
      <c r="U64" s="1503"/>
      <c r="V64" s="1503"/>
      <c r="W64" s="1503"/>
      <c r="X64" s="1503"/>
      <c r="Y64" s="1503"/>
      <c r="Z64" s="1503"/>
      <c r="AA64" s="1503"/>
      <c r="AB64" s="1503"/>
      <c r="AC64" s="1503"/>
      <c r="AD64" s="1503"/>
      <c r="AE64" s="1503"/>
      <c r="AF64" s="1503"/>
      <c r="AG64" s="1503"/>
      <c r="AH64" s="1503"/>
    </row>
    <row r="65" spans="1:34" ht="30.75" customHeight="1">
      <c r="C65" s="3"/>
      <c r="E65" s="1503"/>
      <c r="F65" s="1503"/>
      <c r="G65" s="1503"/>
      <c r="H65" s="1503"/>
      <c r="I65" s="1503"/>
      <c r="J65" s="1503"/>
      <c r="K65" s="1503"/>
      <c r="L65" s="1503"/>
      <c r="M65" s="1503"/>
      <c r="N65" s="1503"/>
      <c r="O65" s="1503"/>
      <c r="P65" s="1503"/>
      <c r="Q65" s="1503"/>
      <c r="R65" s="1503"/>
      <c r="S65" s="1503"/>
      <c r="T65" s="1503"/>
      <c r="U65" s="1503"/>
      <c r="V65" s="1503"/>
      <c r="W65" s="1503"/>
      <c r="X65" s="1503"/>
      <c r="Y65" s="1503"/>
      <c r="Z65" s="1503"/>
      <c r="AA65" s="1503"/>
      <c r="AB65" s="1503"/>
      <c r="AC65" s="1503"/>
      <c r="AD65" s="1503"/>
      <c r="AE65" s="1503"/>
      <c r="AF65" s="1503"/>
      <c r="AG65" s="1503"/>
      <c r="AH65" s="1503"/>
    </row>
    <row r="66" spans="1:34" ht="12.9" customHeight="1">
      <c r="C66" s="3"/>
      <c r="D66" s="3" t="s">
        <v>1787</v>
      </c>
      <c r="E66" s="83"/>
      <c r="F66" s="83"/>
      <c r="G66" s="83"/>
      <c r="H66" s="83"/>
      <c r="I66" s="83"/>
      <c r="J66" s="83"/>
      <c r="K66" s="83"/>
      <c r="L66" s="83"/>
      <c r="M66" s="83"/>
      <c r="N66" s="83"/>
      <c r="O66" s="83"/>
      <c r="P66" s="83"/>
      <c r="Q66" s="83"/>
      <c r="R66" s="83"/>
      <c r="S66" s="83"/>
      <c r="T66" s="83"/>
      <c r="U66" s="83"/>
      <c r="V66" s="83"/>
      <c r="W66" s="83"/>
      <c r="X66" s="83"/>
      <c r="Y66" s="1510">
        <v>0.3</v>
      </c>
      <c r="Z66" s="1510"/>
      <c r="AA66" s="1510"/>
      <c r="AB66" s="1510"/>
      <c r="AC66" s="1510"/>
      <c r="AD66" s="1510">
        <v>0.13</v>
      </c>
      <c r="AE66" s="1510"/>
      <c r="AF66" s="1510"/>
      <c r="AG66" s="1510"/>
      <c r="AH66" s="1510"/>
    </row>
    <row r="67" spans="1:34" ht="12.9" customHeight="1">
      <c r="C67" s="3"/>
      <c r="D67" s="3" t="s">
        <v>1788</v>
      </c>
      <c r="Y67" s="1236">
        <f>ROUND(Y63*Y66,0)</f>
        <v>0</v>
      </c>
      <c r="Z67" s="1514"/>
      <c r="AA67" s="1514"/>
      <c r="AB67" s="1514"/>
      <c r="AC67" s="1514"/>
      <c r="AD67" s="1236" t="str">
        <f>IF(OR(Application!D211="At-Risk",Application!D211="At-Risk/Located in Rural Census Tract",Application!D214="At-Risk"),ROUND(AD63*AD66,0),"$0")</f>
        <v>$0</v>
      </c>
      <c r="AE67" s="1236"/>
      <c r="AF67" s="1236"/>
      <c r="AG67" s="1236"/>
      <c r="AH67" s="1236"/>
    </row>
    <row r="68" spans="1:34" ht="12.9" customHeight="1">
      <c r="C68" s="3"/>
      <c r="E68" s="3"/>
      <c r="AB68" s="2"/>
      <c r="AC68" s="2"/>
      <c r="AD68" s="2"/>
      <c r="AE68" s="2"/>
      <c r="AF68" s="2"/>
    </row>
    <row r="69" spans="1:34" ht="12.9" customHeight="1">
      <c r="A69" s="3" t="s">
        <v>941</v>
      </c>
      <c r="C69" s="3" t="s">
        <v>288</v>
      </c>
    </row>
    <row r="70" spans="1:34" ht="12.9" customHeight="1">
      <c r="A70" s="3"/>
      <c r="C70" s="3"/>
      <c r="D70" s="3" t="s">
        <v>1790</v>
      </c>
      <c r="AB70" s="1511"/>
      <c r="AC70" s="1512"/>
      <c r="AD70" s="1512"/>
      <c r="AE70" s="1512"/>
      <c r="AF70" s="1513"/>
    </row>
    <row r="71" spans="1:34" ht="12.9" customHeight="1">
      <c r="A71" s="3"/>
      <c r="C71" s="3"/>
      <c r="D71" s="3"/>
      <c r="E71" s="1515" t="s">
        <v>2460</v>
      </c>
      <c r="F71" s="1515"/>
      <c r="G71" s="1515"/>
      <c r="H71" s="1515"/>
      <c r="I71" s="1515"/>
      <c r="J71" s="1515"/>
      <c r="K71" s="1515"/>
      <c r="L71" s="1515"/>
      <c r="M71" s="1515"/>
      <c r="N71" s="1515"/>
      <c r="O71" s="1515"/>
      <c r="P71" s="1515"/>
      <c r="Q71" s="1515"/>
      <c r="R71" s="1515"/>
      <c r="S71" s="1515"/>
      <c r="T71" s="1515"/>
      <c r="U71" s="1515"/>
      <c r="V71" s="1515"/>
      <c r="W71" s="1515"/>
      <c r="X71" s="1515"/>
      <c r="Y71" s="1515"/>
      <c r="Z71" s="1515"/>
      <c r="AA71" s="219"/>
      <c r="AB71" s="219"/>
      <c r="AC71" s="219"/>
    </row>
    <row r="72" spans="1:34" ht="12.9" customHeight="1">
      <c r="A72" s="3"/>
      <c r="C72" s="3"/>
      <c r="D72" s="3"/>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219"/>
      <c r="AB72" s="219"/>
      <c r="AC72" s="219"/>
    </row>
    <row r="73" spans="1:34" ht="12.9" customHeight="1">
      <c r="A73" s="3"/>
      <c r="C73" s="3"/>
      <c r="D73" s="3"/>
      <c r="E73" s="1515"/>
      <c r="F73" s="1515"/>
      <c r="G73" s="1515"/>
      <c r="H73" s="1515"/>
      <c r="I73" s="1515"/>
      <c r="J73" s="1515"/>
      <c r="K73" s="1515"/>
      <c r="L73" s="1515"/>
      <c r="M73" s="1515"/>
      <c r="N73" s="1515"/>
      <c r="O73" s="1515"/>
      <c r="P73" s="1515"/>
      <c r="Q73" s="1515"/>
      <c r="R73" s="1515"/>
      <c r="S73" s="1515"/>
      <c r="T73" s="1515"/>
      <c r="U73" s="1515"/>
      <c r="V73" s="1515"/>
      <c r="W73" s="1515"/>
      <c r="X73" s="1515"/>
      <c r="Y73" s="1515"/>
      <c r="Z73" s="151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1792</v>
      </c>
      <c r="AB75" s="1217">
        <f>ROUND(IF(ISERROR((AB58/AB70)),0,(AB58/AB70)),0)</f>
        <v>0</v>
      </c>
      <c r="AC75" s="1217"/>
      <c r="AD75" s="1217"/>
      <c r="AE75" s="1217"/>
      <c r="AF75" s="1217"/>
    </row>
    <row r="76" spans="1:34" ht="12.9" customHeight="1">
      <c r="C76" s="3"/>
      <c r="D76" s="3" t="s">
        <v>1793</v>
      </c>
      <c r="AB76" s="1122">
        <f>IF((Y67+AD67&lt;AB75),Y67+AD67,AB75)</f>
        <v>0</v>
      </c>
      <c r="AC76" s="1123"/>
      <c r="AD76" s="1123"/>
      <c r="AE76" s="1123"/>
      <c r="AF76" s="1124"/>
    </row>
    <row r="77" spans="1:34" ht="12.9" customHeight="1">
      <c r="C77" s="3"/>
      <c r="D77" s="3" t="s">
        <v>1794</v>
      </c>
      <c r="AB77" s="1509">
        <f>AB76*AB70</f>
        <v>0</v>
      </c>
      <c r="AC77" s="1509"/>
      <c r="AD77" s="1509"/>
      <c r="AE77" s="1509"/>
      <c r="AF77" s="1509"/>
    </row>
    <row r="78" spans="1:34" ht="12.9" customHeight="1">
      <c r="C78" s="3"/>
      <c r="D78" s="3"/>
      <c r="AB78" s="504"/>
      <c r="AC78" s="504"/>
      <c r="AD78" s="504"/>
      <c r="AE78" s="504"/>
      <c r="AF78" s="504"/>
    </row>
    <row r="79" spans="1:34" ht="12.9" customHeight="1">
      <c r="D79" s="3" t="s">
        <v>1782</v>
      </c>
      <c r="AB79" s="1240">
        <f>AB48-(AB56+AB77)</f>
        <v>7425654.6644075764</v>
      </c>
      <c r="AC79" s="1240"/>
      <c r="AD79" s="1240"/>
      <c r="AE79" s="1240"/>
      <c r="AF79" s="1240"/>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5" t="s">
        <v>2462</v>
      </c>
      <c r="G1" s="473"/>
    </row>
    <row r="2" spans="1:7" ht="13.2">
      <c r="A2" s="226" t="s">
        <v>2463</v>
      </c>
      <c r="B2" s="193"/>
      <c r="C2" s="272"/>
      <c r="D2" s="272"/>
      <c r="E2" s="193"/>
      <c r="F2" s="273"/>
      <c r="G2" s="273"/>
    </row>
    <row r="3" spans="1:7" s="474" customFormat="1" ht="80.25" customHeight="1">
      <c r="A3" s="279"/>
      <c r="B3" s="274" t="s">
        <v>2464</v>
      </c>
      <c r="C3" s="274" t="s">
        <v>2465</v>
      </c>
      <c r="D3" s="274" t="s">
        <v>2466</v>
      </c>
      <c r="E3" s="274" t="s">
        <v>2467</v>
      </c>
      <c r="F3" s="270" t="s">
        <v>2468</v>
      </c>
      <c r="G3" s="274"/>
    </row>
    <row r="4" spans="1:7" s="475" customFormat="1" ht="13.2">
      <c r="A4" s="769" t="s">
        <v>1631</v>
      </c>
      <c r="B4" s="275"/>
      <c r="C4" s="275"/>
      <c r="D4" s="275"/>
      <c r="E4" s="275"/>
      <c r="F4" s="275"/>
      <c r="G4" s="275"/>
    </row>
    <row r="5" spans="1:7" s="475" customFormat="1" ht="13.2">
      <c r="A5" s="770" t="s">
        <v>2469</v>
      </c>
      <c r="B5" s="916">
        <f>'Sources and Uses Budget'!C4</f>
        <v>284074</v>
      </c>
      <c r="C5" s="916">
        <f>'Sources and Uses Budget'!C4</f>
        <v>284074</v>
      </c>
      <c r="D5" s="916">
        <f>'Sources and Uses Budget'!C4</f>
        <v>284074</v>
      </c>
      <c r="E5" s="917">
        <f>C5-B5</f>
        <v>0</v>
      </c>
      <c r="F5" s="918"/>
      <c r="G5" s="918"/>
    </row>
    <row r="6" spans="1:7" s="475" customFormat="1" ht="13.2">
      <c r="A6" s="770" t="s">
        <v>2470</v>
      </c>
      <c r="B6" s="916">
        <f>'Sources and Uses Budget'!C5</f>
        <v>0</v>
      </c>
      <c r="C6" s="916">
        <f>'Sources and Uses Budget'!C5</f>
        <v>0</v>
      </c>
      <c r="D6" s="916">
        <f>'Sources and Uses Budget'!C5</f>
        <v>0</v>
      </c>
      <c r="E6" s="917">
        <f t="shared" ref="E6:E73" si="0">C6-B6</f>
        <v>0</v>
      </c>
      <c r="F6" s="918"/>
      <c r="G6" s="918"/>
    </row>
    <row r="7" spans="1:7" s="475" customFormat="1" ht="13.2">
      <c r="A7" s="770" t="s">
        <v>1634</v>
      </c>
      <c r="B7" s="916">
        <f>'Sources and Uses Budget'!C6</f>
        <v>2321</v>
      </c>
      <c r="C7" s="916">
        <f>'Sources and Uses Budget'!C6</f>
        <v>2321</v>
      </c>
      <c r="D7" s="916">
        <f>'Sources and Uses Budget'!C6</f>
        <v>2321</v>
      </c>
      <c r="E7" s="917">
        <f t="shared" si="0"/>
        <v>0</v>
      </c>
      <c r="F7" s="918"/>
      <c r="G7" s="918"/>
    </row>
    <row r="8" spans="1:7" s="475" customFormat="1" ht="13.2">
      <c r="A8" s="770" t="s">
        <v>1635</v>
      </c>
      <c r="B8" s="916">
        <f>'Sources and Uses Budget'!C7</f>
        <v>0</v>
      </c>
      <c r="C8" s="916">
        <f>'Sources and Uses Budget'!C7</f>
        <v>0</v>
      </c>
      <c r="D8" s="916">
        <f>'Sources and Uses Budget'!C7</f>
        <v>0</v>
      </c>
      <c r="E8" s="917">
        <f t="shared" si="0"/>
        <v>0</v>
      </c>
      <c r="F8" s="918"/>
      <c r="G8" s="918"/>
    </row>
    <row r="9" spans="1:7" s="475" customFormat="1" ht="13.2">
      <c r="A9" s="771" t="s">
        <v>2471</v>
      </c>
      <c r="B9" s="917">
        <f>SUM(B5:B8)</f>
        <v>286395</v>
      </c>
      <c r="C9" s="917">
        <f>SUM(C5:C8)</f>
        <v>286395</v>
      </c>
      <c r="D9" s="917">
        <f>SUM(D5:D8)</f>
        <v>286395</v>
      </c>
      <c r="E9" s="917">
        <f t="shared" si="0"/>
        <v>0</v>
      </c>
      <c r="F9" s="918"/>
      <c r="G9" s="918"/>
    </row>
    <row r="10" spans="1:7" s="475" customFormat="1" ht="13.2">
      <c r="A10" s="770" t="s">
        <v>2472</v>
      </c>
      <c r="B10" s="916">
        <f>'Sources and Uses Budget'!C9</f>
        <v>1825926</v>
      </c>
      <c r="C10" s="916">
        <f>'Sources and Uses Budget'!C9</f>
        <v>1825926</v>
      </c>
      <c r="D10" s="916">
        <f>'Sources and Uses Budget'!C9</f>
        <v>1825926</v>
      </c>
      <c r="E10" s="917">
        <f t="shared" si="0"/>
        <v>0</v>
      </c>
      <c r="F10" s="918"/>
      <c r="G10" s="918"/>
    </row>
    <row r="11" spans="1:7" s="475" customFormat="1" ht="13.2">
      <c r="A11" s="770" t="s">
        <v>2473</v>
      </c>
      <c r="B11" s="916">
        <f>'Sources and Uses Budget'!C10</f>
        <v>0</v>
      </c>
      <c r="C11" s="916">
        <f>'Sources and Uses Budget'!C10</f>
        <v>0</v>
      </c>
      <c r="D11" s="916">
        <f>'Sources and Uses Budget'!C10</f>
        <v>0</v>
      </c>
      <c r="E11" s="917">
        <f t="shared" si="0"/>
        <v>0</v>
      </c>
      <c r="F11" s="918"/>
      <c r="G11" s="918"/>
    </row>
    <row r="12" spans="1:7" s="475" customFormat="1" ht="13.2">
      <c r="A12" s="771" t="s">
        <v>1639</v>
      </c>
      <c r="B12" s="917">
        <f>SUM(B10:B11)</f>
        <v>1825926</v>
      </c>
      <c r="C12" s="917">
        <f>SUM(C10:C11)</f>
        <v>1825926</v>
      </c>
      <c r="D12" s="917">
        <f>SUM(D10:D11)</f>
        <v>1825926</v>
      </c>
      <c r="E12" s="917">
        <f t="shared" si="0"/>
        <v>0</v>
      </c>
      <c r="F12" s="918"/>
      <c r="G12" s="918"/>
    </row>
    <row r="13" spans="1:7" s="475" customFormat="1" ht="13.2">
      <c r="A13" s="771" t="s">
        <v>1640</v>
      </c>
      <c r="B13" s="917">
        <f>SUM(B9+B12)</f>
        <v>2112321</v>
      </c>
      <c r="C13" s="917">
        <f>SUM(C9+C12)</f>
        <v>2112321</v>
      </c>
      <c r="D13" s="917">
        <f>SUM(D9+D12)</f>
        <v>2112321</v>
      </c>
      <c r="E13" s="917">
        <f t="shared" si="0"/>
        <v>0</v>
      </c>
      <c r="F13" s="918"/>
      <c r="G13" s="918"/>
    </row>
    <row r="14" spans="1:7" s="475" customFormat="1" ht="13.2">
      <c r="A14" s="772" t="s">
        <v>1641</v>
      </c>
      <c r="B14" s="916">
        <f>'Sources and Uses Budget'!C13</f>
        <v>0</v>
      </c>
      <c r="C14" s="916">
        <f>'Sources and Uses Budget'!C13</f>
        <v>0</v>
      </c>
      <c r="D14" s="916">
        <f>'Sources and Uses Budget'!C13</f>
        <v>0</v>
      </c>
      <c r="E14" s="917">
        <f t="shared" si="0"/>
        <v>0</v>
      </c>
      <c r="F14" s="918"/>
      <c r="G14" s="918"/>
    </row>
    <row r="15" spans="1:7" s="475" customFormat="1" ht="22.8">
      <c r="A15" s="770" t="s">
        <v>1642</v>
      </c>
      <c r="B15" s="916">
        <f>'Sources and Uses Budget'!C14</f>
        <v>0</v>
      </c>
      <c r="C15" s="916">
        <f>'Sources and Uses Budget'!C14</f>
        <v>0</v>
      </c>
      <c r="D15" s="916">
        <f>'Sources and Uses Budget'!C14</f>
        <v>0</v>
      </c>
      <c r="E15" s="917">
        <f t="shared" si="0"/>
        <v>0</v>
      </c>
      <c r="F15" s="918"/>
      <c r="G15" s="918"/>
    </row>
    <row r="16" spans="1:7" s="475" customFormat="1" ht="13.2">
      <c r="A16" s="770" t="s">
        <v>1643</v>
      </c>
      <c r="B16" s="916">
        <f>'Sources and Uses Budget'!C15</f>
        <v>0</v>
      </c>
      <c r="C16" s="916">
        <f>'Sources and Uses Budget'!C15</f>
        <v>0</v>
      </c>
      <c r="D16" s="916">
        <f>'Sources and Uses Budget'!C15</f>
        <v>0</v>
      </c>
      <c r="E16" s="917">
        <f t="shared" si="0"/>
        <v>0</v>
      </c>
      <c r="F16" s="918"/>
      <c r="G16" s="918"/>
    </row>
    <row r="17" spans="1:7" s="475" customFormat="1" ht="13.2">
      <c r="A17" s="769" t="s">
        <v>1644</v>
      </c>
      <c r="B17" s="275"/>
      <c r="C17" s="275"/>
      <c r="D17" s="275"/>
      <c r="E17" s="275"/>
      <c r="F17" s="275"/>
      <c r="G17" s="275"/>
    </row>
    <row r="18" spans="1:7" s="475" customFormat="1" ht="13.2">
      <c r="A18" s="205" t="s">
        <v>1645</v>
      </c>
      <c r="B18" s="916">
        <f>'Sources and Uses Budget'!C17</f>
        <v>0</v>
      </c>
      <c r="C18" s="916">
        <f>'Sources and Uses Budget'!C17</f>
        <v>0</v>
      </c>
      <c r="D18" s="916">
        <f>'Sources and Uses Budget'!C17</f>
        <v>0</v>
      </c>
      <c r="E18" s="917">
        <f t="shared" si="0"/>
        <v>0</v>
      </c>
      <c r="F18" s="918"/>
      <c r="G18" s="918"/>
    </row>
    <row r="19" spans="1:7" s="475" customFormat="1" ht="13.2">
      <c r="A19" s="205" t="s">
        <v>1646</v>
      </c>
      <c r="B19" s="916">
        <f>'Sources and Uses Budget'!C18</f>
        <v>2535558</v>
      </c>
      <c r="C19" s="916">
        <f>'Sources and Uses Budget'!C18</f>
        <v>2535558</v>
      </c>
      <c r="D19" s="916">
        <f>'Sources and Uses Budget'!C18</f>
        <v>2535558</v>
      </c>
      <c r="E19" s="917">
        <f t="shared" ref="E19:E26" si="1">C19-B19</f>
        <v>0</v>
      </c>
      <c r="F19" s="918"/>
      <c r="G19" s="918"/>
    </row>
    <row r="20" spans="1:7" s="475" customFormat="1" ht="13.2">
      <c r="A20" s="205" t="s">
        <v>1647</v>
      </c>
      <c r="B20" s="916">
        <f>'Sources and Uses Budget'!C19</f>
        <v>152133</v>
      </c>
      <c r="C20" s="916">
        <f>'Sources and Uses Budget'!C19</f>
        <v>152133</v>
      </c>
      <c r="D20" s="916">
        <f>'Sources and Uses Budget'!C19</f>
        <v>152133</v>
      </c>
      <c r="E20" s="917">
        <f t="shared" si="1"/>
        <v>0</v>
      </c>
      <c r="F20" s="918"/>
      <c r="G20" s="918"/>
    </row>
    <row r="21" spans="1:7" s="475" customFormat="1" ht="13.2">
      <c r="A21" s="205" t="s">
        <v>1648</v>
      </c>
      <c r="B21" s="916">
        <f>'Sources and Uses Budget'!C20</f>
        <v>101422</v>
      </c>
      <c r="C21" s="916">
        <f>'Sources and Uses Budget'!C20</f>
        <v>101422</v>
      </c>
      <c r="D21" s="916">
        <f>'Sources and Uses Budget'!C20</f>
        <v>101422</v>
      </c>
      <c r="E21" s="917">
        <f t="shared" si="1"/>
        <v>0</v>
      </c>
      <c r="F21" s="918"/>
      <c r="G21" s="918"/>
    </row>
    <row r="22" spans="1:7" s="475" customFormat="1" ht="13.2">
      <c r="A22" s="205" t="s">
        <v>1649</v>
      </c>
      <c r="B22" s="916">
        <f>'Sources and Uses Budget'!C21</f>
        <v>101422</v>
      </c>
      <c r="C22" s="916">
        <f>'Sources and Uses Budget'!C21</f>
        <v>101422</v>
      </c>
      <c r="D22" s="916">
        <f>'Sources and Uses Budget'!C21</f>
        <v>101422</v>
      </c>
      <c r="E22" s="917">
        <f t="shared" si="1"/>
        <v>0</v>
      </c>
      <c r="F22" s="918"/>
      <c r="G22" s="918"/>
    </row>
    <row r="23" spans="1:7" s="475" customFormat="1" ht="13.2">
      <c r="A23" s="205" t="s">
        <v>1650</v>
      </c>
      <c r="B23" s="916">
        <f>'Sources and Uses Budget'!C22</f>
        <v>0</v>
      </c>
      <c r="C23" s="916">
        <f>'Sources and Uses Budget'!C22</f>
        <v>0</v>
      </c>
      <c r="D23" s="916">
        <f>'Sources and Uses Budget'!C22</f>
        <v>0</v>
      </c>
      <c r="E23" s="917">
        <f t="shared" si="1"/>
        <v>0</v>
      </c>
      <c r="F23" s="918"/>
      <c r="G23" s="918"/>
    </row>
    <row r="24" spans="1:7" s="475" customFormat="1" ht="13.2">
      <c r="A24" s="205" t="s">
        <v>1651</v>
      </c>
      <c r="B24" s="916">
        <f>'Sources and Uses Budget'!C23</f>
        <v>0</v>
      </c>
      <c r="C24" s="916">
        <f>'Sources and Uses Budget'!C23</f>
        <v>0</v>
      </c>
      <c r="D24" s="916">
        <f>'Sources and Uses Budget'!C23</f>
        <v>0</v>
      </c>
      <c r="E24" s="917">
        <f t="shared" si="1"/>
        <v>0</v>
      </c>
      <c r="F24" s="918"/>
      <c r="G24" s="918"/>
    </row>
    <row r="25" spans="1:7" s="475" customFormat="1" ht="13.2">
      <c r="A25" s="216" t="s">
        <v>1652</v>
      </c>
      <c r="B25" s="916">
        <f>'Sources and Uses Budget'!C24</f>
        <v>0</v>
      </c>
      <c r="C25" s="916">
        <f>'Sources and Uses Budget'!C24</f>
        <v>0</v>
      </c>
      <c r="D25" s="916">
        <f>'Sources and Uses Budget'!C24</f>
        <v>0</v>
      </c>
      <c r="E25" s="917">
        <f t="shared" si="1"/>
        <v>0</v>
      </c>
      <c r="F25" s="918"/>
      <c r="G25" s="918"/>
    </row>
    <row r="26" spans="1:7" s="475" customFormat="1" ht="13.2">
      <c r="A26" s="216" t="s">
        <v>1653</v>
      </c>
      <c r="B26" s="916">
        <f>'Sources and Uses Budget'!C25</f>
        <v>0</v>
      </c>
      <c r="C26" s="916">
        <f>'Sources and Uses Budget'!C25</f>
        <v>0</v>
      </c>
      <c r="D26" s="916">
        <f>'Sources and Uses Budget'!C25</f>
        <v>0</v>
      </c>
      <c r="E26" s="917">
        <f t="shared" si="1"/>
        <v>0</v>
      </c>
      <c r="F26" s="918"/>
      <c r="G26" s="918"/>
    </row>
    <row r="27" spans="1:7" s="475" customFormat="1" ht="13.2">
      <c r="A27" s="276" t="s">
        <v>1654</v>
      </c>
      <c r="B27" s="919">
        <f>'Sources and Uses Budget'!C26</f>
        <v>2890535</v>
      </c>
      <c r="C27" s="919">
        <f>'Sources and Uses Budget'!C26</f>
        <v>2890535</v>
      </c>
      <c r="D27" s="919">
        <f>'Sources and Uses Budget'!C26</f>
        <v>2890535</v>
      </c>
      <c r="E27" s="917">
        <f>C27-B27</f>
        <v>0</v>
      </c>
      <c r="F27" s="918"/>
      <c r="G27" s="918"/>
    </row>
    <row r="28" spans="1:7" s="475" customFormat="1" ht="13.2">
      <c r="A28" s="773" t="s">
        <v>1655</v>
      </c>
      <c r="B28" s="916">
        <f>'Sources and Uses Budget'!C27</f>
        <v>161000</v>
      </c>
      <c r="C28" s="916">
        <f>'Sources and Uses Budget'!C27</f>
        <v>161000</v>
      </c>
      <c r="D28" s="916">
        <f>'Sources and Uses Budget'!C27</f>
        <v>161000</v>
      </c>
      <c r="E28" s="917">
        <f>C28-B28</f>
        <v>0</v>
      </c>
      <c r="F28" s="918"/>
      <c r="G28" s="918"/>
    </row>
    <row r="29" spans="1:7" s="475" customFormat="1" ht="13.2">
      <c r="A29" s="769" t="s">
        <v>1656</v>
      </c>
      <c r="B29" s="275"/>
      <c r="C29" s="275"/>
      <c r="D29" s="275"/>
      <c r="E29" s="275"/>
      <c r="F29" s="275"/>
      <c r="G29" s="275"/>
    </row>
    <row r="30" spans="1:7" s="475" customFormat="1" ht="13.2">
      <c r="A30" s="205" t="s">
        <v>1645</v>
      </c>
      <c r="B30" s="916">
        <f>'Sources and Uses Budget'!C29</f>
        <v>0</v>
      </c>
      <c r="C30" s="916">
        <f>'Sources and Uses Budget'!C29</f>
        <v>0</v>
      </c>
      <c r="D30" s="916">
        <f>'Sources and Uses Budget'!C29</f>
        <v>0</v>
      </c>
      <c r="E30" s="917">
        <f t="shared" si="0"/>
        <v>0</v>
      </c>
      <c r="F30" s="918"/>
      <c r="G30" s="918"/>
    </row>
    <row r="31" spans="1:7" s="475" customFormat="1" ht="13.2">
      <c r="A31" s="205" t="s">
        <v>1646</v>
      </c>
      <c r="B31" s="916">
        <f>'Sources and Uses Budget'!C30</f>
        <v>0</v>
      </c>
      <c r="C31" s="916">
        <f>'Sources and Uses Budget'!C30</f>
        <v>0</v>
      </c>
      <c r="D31" s="916">
        <f>'Sources and Uses Budget'!C30</f>
        <v>0</v>
      </c>
      <c r="E31" s="917">
        <f t="shared" si="0"/>
        <v>0</v>
      </c>
      <c r="F31" s="918"/>
      <c r="G31" s="918"/>
    </row>
    <row r="32" spans="1:7" s="475" customFormat="1" ht="13.2">
      <c r="A32" s="205" t="s">
        <v>1647</v>
      </c>
      <c r="B32" s="916">
        <f>'Sources and Uses Budget'!C31</f>
        <v>0</v>
      </c>
      <c r="C32" s="916">
        <f>'Sources and Uses Budget'!C31</f>
        <v>0</v>
      </c>
      <c r="D32" s="916">
        <f>'Sources and Uses Budget'!C31</f>
        <v>0</v>
      </c>
      <c r="E32" s="917">
        <f t="shared" si="0"/>
        <v>0</v>
      </c>
      <c r="F32" s="918"/>
      <c r="G32" s="918"/>
    </row>
    <row r="33" spans="1:7" s="475" customFormat="1" ht="13.2">
      <c r="A33" s="205" t="s">
        <v>1648</v>
      </c>
      <c r="B33" s="916">
        <f>'Sources and Uses Budget'!C32</f>
        <v>0</v>
      </c>
      <c r="C33" s="916">
        <f>'Sources and Uses Budget'!C32</f>
        <v>0</v>
      </c>
      <c r="D33" s="916">
        <f>'Sources and Uses Budget'!C32</f>
        <v>0</v>
      </c>
      <c r="E33" s="917">
        <f t="shared" si="0"/>
        <v>0</v>
      </c>
      <c r="F33" s="918"/>
      <c r="G33" s="918"/>
    </row>
    <row r="34" spans="1:7" s="475" customFormat="1" ht="13.2">
      <c r="A34" s="205" t="s">
        <v>1649</v>
      </c>
      <c r="B34" s="916">
        <f>'Sources and Uses Budget'!C33</f>
        <v>0</v>
      </c>
      <c r="C34" s="916">
        <f>'Sources and Uses Budget'!C33</f>
        <v>0</v>
      </c>
      <c r="D34" s="916">
        <f>'Sources and Uses Budget'!C33</f>
        <v>0</v>
      </c>
      <c r="E34" s="917">
        <f t="shared" si="0"/>
        <v>0</v>
      </c>
      <c r="F34" s="918"/>
      <c r="G34" s="918"/>
    </row>
    <row r="35" spans="1:7" s="475" customFormat="1" ht="13.2">
      <c r="A35" s="205" t="s">
        <v>1650</v>
      </c>
      <c r="B35" s="916">
        <f>'Sources and Uses Budget'!C34</f>
        <v>0</v>
      </c>
      <c r="C35" s="916">
        <f>'Sources and Uses Budget'!C34</f>
        <v>0</v>
      </c>
      <c r="D35" s="916">
        <f>'Sources and Uses Budget'!C34</f>
        <v>0</v>
      </c>
      <c r="E35" s="917">
        <f t="shared" si="0"/>
        <v>0</v>
      </c>
      <c r="F35" s="918"/>
      <c r="G35" s="918"/>
    </row>
    <row r="36" spans="1:7" s="475" customFormat="1" ht="13.2">
      <c r="A36" s="205" t="s">
        <v>1651</v>
      </c>
      <c r="B36" s="916">
        <f>'Sources and Uses Budget'!C35</f>
        <v>0</v>
      </c>
      <c r="C36" s="916">
        <f>'Sources and Uses Budget'!C35</f>
        <v>0</v>
      </c>
      <c r="D36" s="916">
        <f>'Sources and Uses Budget'!C35</f>
        <v>0</v>
      </c>
      <c r="E36" s="917">
        <f t="shared" si="0"/>
        <v>0</v>
      </c>
      <c r="F36" s="918"/>
      <c r="G36" s="918"/>
    </row>
    <row r="37" spans="1:7" s="475" customFormat="1" ht="13.2">
      <c r="A37" s="205" t="s">
        <v>1652</v>
      </c>
      <c r="B37" s="916">
        <f>'Sources and Uses Budget'!C36</f>
        <v>0</v>
      </c>
      <c r="C37" s="916">
        <f>'Sources and Uses Budget'!C36</f>
        <v>0</v>
      </c>
      <c r="D37" s="916">
        <f>'Sources and Uses Budget'!C36</f>
        <v>0</v>
      </c>
      <c r="E37" s="917">
        <f t="shared" si="0"/>
        <v>0</v>
      </c>
      <c r="F37" s="918"/>
      <c r="G37" s="918"/>
    </row>
    <row r="38" spans="1:7" s="475" customFormat="1" ht="13.2">
      <c r="A38" s="216" t="s">
        <v>1653</v>
      </c>
      <c r="B38" s="916">
        <f>'Sources and Uses Budget'!C37</f>
        <v>0</v>
      </c>
      <c r="C38" s="916">
        <f>'Sources and Uses Budget'!C37</f>
        <v>0</v>
      </c>
      <c r="D38" s="916">
        <f>'Sources and Uses Budget'!C37</f>
        <v>0</v>
      </c>
      <c r="E38" s="917">
        <f>C38-B38</f>
        <v>0</v>
      </c>
      <c r="F38" s="918"/>
      <c r="G38" s="918"/>
    </row>
    <row r="39" spans="1:7" s="475" customFormat="1" ht="13.2">
      <c r="A39" s="773" t="s">
        <v>1657</v>
      </c>
      <c r="B39" s="919">
        <f>'Sources and Uses Budget'!C38</f>
        <v>0</v>
      </c>
      <c r="C39" s="919">
        <f>'Sources and Uses Budget'!C38</f>
        <v>0</v>
      </c>
      <c r="D39" s="919">
        <f>'Sources and Uses Budget'!C38</f>
        <v>0</v>
      </c>
      <c r="E39" s="917">
        <f>C39-B39</f>
        <v>0</v>
      </c>
      <c r="F39" s="918"/>
      <c r="G39" s="918"/>
    </row>
    <row r="40" spans="1:7" s="475" customFormat="1" ht="13.2">
      <c r="A40" s="769" t="s">
        <v>1658</v>
      </c>
      <c r="B40" s="275"/>
      <c r="C40" s="275"/>
      <c r="D40" s="275"/>
      <c r="E40" s="275"/>
      <c r="F40" s="275"/>
      <c r="G40" s="275"/>
    </row>
    <row r="41" spans="1:7" s="475" customFormat="1" ht="13.2">
      <c r="A41" s="774" t="s">
        <v>1659</v>
      </c>
      <c r="B41" s="916">
        <f>'Sources and Uses Budget'!C40</f>
        <v>100000</v>
      </c>
      <c r="C41" s="916">
        <f>'Sources and Uses Budget'!C40</f>
        <v>100000</v>
      </c>
      <c r="D41" s="916">
        <f>'Sources and Uses Budget'!C40</f>
        <v>100000</v>
      </c>
      <c r="E41" s="917">
        <f>C41-B41</f>
        <v>0</v>
      </c>
      <c r="F41" s="918"/>
      <c r="G41" s="918"/>
    </row>
    <row r="42" spans="1:7" s="475" customFormat="1" ht="13.2">
      <c r="A42" s="774" t="s">
        <v>1660</v>
      </c>
      <c r="B42" s="916">
        <f>'Sources and Uses Budget'!C41</f>
        <v>0</v>
      </c>
      <c r="C42" s="916">
        <f>'Sources and Uses Budget'!C41</f>
        <v>0</v>
      </c>
      <c r="D42" s="916">
        <f>'Sources and Uses Budget'!C41</f>
        <v>0</v>
      </c>
      <c r="E42" s="917">
        <f>C42-B42</f>
        <v>0</v>
      </c>
      <c r="F42" s="918"/>
      <c r="G42" s="918"/>
    </row>
    <row r="43" spans="1:7" s="475" customFormat="1" ht="12" customHeight="1">
      <c r="A43" s="773" t="s">
        <v>1661</v>
      </c>
      <c r="B43" s="919">
        <f>'Sources and Uses Budget'!C42</f>
        <v>100000</v>
      </c>
      <c r="C43" s="919">
        <f>'Sources and Uses Budget'!C42</f>
        <v>100000</v>
      </c>
      <c r="D43" s="919">
        <f>'Sources and Uses Budget'!C42</f>
        <v>100000</v>
      </c>
      <c r="E43" s="917">
        <f>C43-B43</f>
        <v>0</v>
      </c>
      <c r="F43" s="918"/>
      <c r="G43" s="918"/>
    </row>
    <row r="44" spans="1:7" s="475" customFormat="1" ht="13.2">
      <c r="A44" s="773" t="s">
        <v>1662</v>
      </c>
      <c r="B44" s="916">
        <f>'Sources and Uses Budget'!C43</f>
        <v>82500</v>
      </c>
      <c r="C44" s="916">
        <f>'Sources and Uses Budget'!C43</f>
        <v>82500</v>
      </c>
      <c r="D44" s="916">
        <f>'Sources and Uses Budget'!C43</f>
        <v>82500</v>
      </c>
      <c r="E44" s="917">
        <f>C44-B44</f>
        <v>0</v>
      </c>
      <c r="F44" s="918"/>
      <c r="G44" s="918"/>
    </row>
    <row r="45" spans="1:7" s="475" customFormat="1" ht="13.2">
      <c r="A45" s="201" t="s">
        <v>1663</v>
      </c>
      <c r="B45" s="275"/>
      <c r="C45" s="275"/>
      <c r="D45" s="275"/>
      <c r="E45" s="275"/>
      <c r="F45" s="275"/>
      <c r="G45" s="275"/>
    </row>
    <row r="46" spans="1:7" s="475" customFormat="1" ht="12" customHeight="1">
      <c r="A46" s="205" t="s">
        <v>1664</v>
      </c>
      <c r="B46" s="916">
        <f>'Sources and Uses Budget'!C45</f>
        <v>301304</v>
      </c>
      <c r="C46" s="916">
        <f>'Sources and Uses Budget'!C45</f>
        <v>301304</v>
      </c>
      <c r="D46" s="916">
        <f>'Sources and Uses Budget'!C45</f>
        <v>301304</v>
      </c>
      <c r="E46" s="917">
        <f t="shared" si="0"/>
        <v>0</v>
      </c>
      <c r="F46" s="918"/>
      <c r="G46" s="918"/>
    </row>
    <row r="47" spans="1:7" s="475" customFormat="1" ht="13.2">
      <c r="A47" s="205" t="s">
        <v>1665</v>
      </c>
      <c r="B47" s="916">
        <f>'Sources and Uses Budget'!C46</f>
        <v>27346</v>
      </c>
      <c r="C47" s="916">
        <f>'Sources and Uses Budget'!C46</f>
        <v>27346</v>
      </c>
      <c r="D47" s="916">
        <f>'Sources and Uses Budget'!C46</f>
        <v>27346</v>
      </c>
      <c r="E47" s="917">
        <f t="shared" si="0"/>
        <v>0</v>
      </c>
      <c r="F47" s="918"/>
      <c r="G47" s="918"/>
    </row>
    <row r="48" spans="1:7" s="475" customFormat="1" ht="13.2">
      <c r="A48" s="205" t="s">
        <v>1666</v>
      </c>
      <c r="B48" s="916">
        <f>'Sources and Uses Budget'!C47</f>
        <v>20000</v>
      </c>
      <c r="C48" s="916">
        <f>'Sources and Uses Budget'!C47</f>
        <v>20000</v>
      </c>
      <c r="D48" s="916">
        <f>'Sources and Uses Budget'!C47</f>
        <v>20000</v>
      </c>
      <c r="E48" s="917">
        <f t="shared" si="0"/>
        <v>0</v>
      </c>
      <c r="F48" s="918"/>
      <c r="G48" s="918"/>
    </row>
    <row r="49" spans="1:7" s="475" customFormat="1" ht="13.2">
      <c r="A49" s="205" t="s">
        <v>1667</v>
      </c>
      <c r="B49" s="916">
        <f>'Sources and Uses Budget'!C48</f>
        <v>0</v>
      </c>
      <c r="C49" s="916">
        <f>'Sources and Uses Budget'!C48</f>
        <v>0</v>
      </c>
      <c r="D49" s="916">
        <f>'Sources and Uses Budget'!C48</f>
        <v>0</v>
      </c>
      <c r="E49" s="917">
        <f t="shared" si="0"/>
        <v>0</v>
      </c>
      <c r="F49" s="918"/>
      <c r="G49" s="918"/>
    </row>
    <row r="50" spans="1:7" s="475" customFormat="1" ht="13.2">
      <c r="A50" s="205" t="s">
        <v>1668</v>
      </c>
      <c r="B50" s="916">
        <f>'Sources and Uses Budget'!C49</f>
        <v>50000</v>
      </c>
      <c r="C50" s="916">
        <f>'Sources and Uses Budget'!C49</f>
        <v>50000</v>
      </c>
      <c r="D50" s="916">
        <f>'Sources and Uses Budget'!C49</f>
        <v>50000</v>
      </c>
      <c r="E50" s="917">
        <f t="shared" si="0"/>
        <v>0</v>
      </c>
      <c r="F50" s="918"/>
      <c r="G50" s="918"/>
    </row>
    <row r="51" spans="1:7" s="475" customFormat="1" ht="13.2">
      <c r="A51" s="205" t="s">
        <v>1669</v>
      </c>
      <c r="B51" s="916">
        <f>'Sources and Uses Budget'!C50</f>
        <v>10000</v>
      </c>
      <c r="C51" s="916">
        <f>'Sources and Uses Budget'!C50</f>
        <v>10000</v>
      </c>
      <c r="D51" s="916">
        <f>'Sources and Uses Budget'!C50</f>
        <v>10000</v>
      </c>
      <c r="E51" s="917">
        <f t="shared" si="0"/>
        <v>0</v>
      </c>
      <c r="F51" s="918"/>
      <c r="G51" s="918"/>
    </row>
    <row r="52" spans="1:7" s="476" customFormat="1" ht="13.2">
      <c r="A52" s="205" t="s">
        <v>1670</v>
      </c>
      <c r="B52" s="916">
        <f>'Sources and Uses Budget'!C51</f>
        <v>50000</v>
      </c>
      <c r="C52" s="916">
        <f>'Sources and Uses Budget'!C51</f>
        <v>50000</v>
      </c>
      <c r="D52" s="916">
        <f>'Sources and Uses Budget'!C51</f>
        <v>50000</v>
      </c>
      <c r="E52" s="917">
        <f t="shared" si="0"/>
        <v>0</v>
      </c>
      <c r="F52" s="918"/>
      <c r="G52" s="918"/>
    </row>
    <row r="53" spans="1:7" s="475" customFormat="1" ht="13.2">
      <c r="A53" s="212" t="s">
        <v>1653</v>
      </c>
      <c r="B53" s="916">
        <f>'Sources and Uses Budget'!C52</f>
        <v>0</v>
      </c>
      <c r="C53" s="916">
        <f>'Sources and Uses Budget'!C52</f>
        <v>0</v>
      </c>
      <c r="D53" s="916">
        <f>'Sources and Uses Budget'!C52</f>
        <v>0</v>
      </c>
      <c r="E53" s="917">
        <f t="shared" si="0"/>
        <v>0</v>
      </c>
      <c r="F53" s="918"/>
      <c r="G53" s="918"/>
    </row>
    <row r="54" spans="1:7" s="475" customFormat="1" ht="13.2">
      <c r="A54" s="209" t="s">
        <v>1671</v>
      </c>
      <c r="B54" s="919">
        <f>'Sources and Uses Budget'!C53</f>
        <v>458650</v>
      </c>
      <c r="C54" s="919">
        <f>'Sources and Uses Budget'!C53</f>
        <v>458650</v>
      </c>
      <c r="D54" s="919">
        <f>'Sources and Uses Budget'!C53</f>
        <v>458650</v>
      </c>
      <c r="E54" s="917">
        <f t="shared" si="0"/>
        <v>0</v>
      </c>
      <c r="F54" s="918"/>
      <c r="G54" s="918"/>
    </row>
    <row r="55" spans="1:7" s="475" customFormat="1" ht="12" customHeight="1">
      <c r="A55" s="769" t="s">
        <v>1256</v>
      </c>
      <c r="B55" s="275"/>
      <c r="C55" s="275"/>
      <c r="D55" s="275"/>
      <c r="E55" s="275"/>
      <c r="F55" s="275"/>
      <c r="G55" s="275"/>
    </row>
    <row r="56" spans="1:7" s="475" customFormat="1" ht="13.2">
      <c r="A56" s="774" t="s">
        <v>1672</v>
      </c>
      <c r="B56" s="916">
        <f>'Sources and Uses Budget'!C55</f>
        <v>15647</v>
      </c>
      <c r="C56" s="916">
        <f>'Sources and Uses Budget'!C55</f>
        <v>15647</v>
      </c>
      <c r="D56" s="916">
        <f>'Sources and Uses Budget'!C55</f>
        <v>15647</v>
      </c>
      <c r="E56" s="917">
        <f t="shared" si="0"/>
        <v>0</v>
      </c>
      <c r="F56" s="918"/>
      <c r="G56" s="918"/>
    </row>
    <row r="57" spans="1:7" s="475" customFormat="1" ht="13.2">
      <c r="A57" s="774" t="s">
        <v>1666</v>
      </c>
      <c r="B57" s="916">
        <f>'Sources and Uses Budget'!C56</f>
        <v>15000</v>
      </c>
      <c r="C57" s="916">
        <f>'Sources and Uses Budget'!C56</f>
        <v>15000</v>
      </c>
      <c r="D57" s="916">
        <f>'Sources and Uses Budget'!C56</f>
        <v>15000</v>
      </c>
      <c r="E57" s="917">
        <f t="shared" si="0"/>
        <v>0</v>
      </c>
      <c r="F57" s="918"/>
      <c r="G57" s="918"/>
    </row>
    <row r="58" spans="1:7" s="475" customFormat="1" ht="13.2">
      <c r="A58" s="774" t="s">
        <v>1668</v>
      </c>
      <c r="B58" s="916">
        <f>'Sources and Uses Budget'!C57</f>
        <v>15000</v>
      </c>
      <c r="C58" s="916">
        <f>'Sources and Uses Budget'!C57</f>
        <v>15000</v>
      </c>
      <c r="D58" s="916">
        <f>'Sources and Uses Budget'!C57</f>
        <v>15000</v>
      </c>
      <c r="E58" s="917">
        <f t="shared" si="0"/>
        <v>0</v>
      </c>
      <c r="F58" s="918"/>
      <c r="G58" s="918"/>
    </row>
    <row r="59" spans="1:7" s="475" customFormat="1" ht="13.2">
      <c r="A59" s="774" t="s">
        <v>1669</v>
      </c>
      <c r="B59" s="916">
        <f>'Sources and Uses Budget'!C58</f>
        <v>0</v>
      </c>
      <c r="C59" s="916">
        <f>'Sources and Uses Budget'!C58</f>
        <v>0</v>
      </c>
      <c r="D59" s="916">
        <f>'Sources and Uses Budget'!C58</f>
        <v>0</v>
      </c>
      <c r="E59" s="917">
        <f t="shared" si="0"/>
        <v>0</v>
      </c>
      <c r="F59" s="918"/>
      <c r="G59" s="918"/>
    </row>
    <row r="60" spans="1:7" s="475" customFormat="1" ht="13.2">
      <c r="A60" s="774" t="s">
        <v>1670</v>
      </c>
      <c r="B60" s="916">
        <f>'Sources and Uses Budget'!C59</f>
        <v>0</v>
      </c>
      <c r="C60" s="916">
        <f>'Sources and Uses Budget'!C59</f>
        <v>0</v>
      </c>
      <c r="D60" s="916">
        <f>'Sources and Uses Budget'!C59</f>
        <v>0</v>
      </c>
      <c r="E60" s="917">
        <f t="shared" si="0"/>
        <v>0</v>
      </c>
      <c r="F60" s="918"/>
      <c r="G60" s="918"/>
    </row>
    <row r="61" spans="1:7" s="475" customFormat="1" ht="14.1" customHeight="1">
      <c r="A61" s="775" t="s">
        <v>1653</v>
      </c>
      <c r="B61" s="916">
        <f>'Sources and Uses Budget'!C60</f>
        <v>0</v>
      </c>
      <c r="C61" s="916">
        <f>'Sources and Uses Budget'!C60</f>
        <v>0</v>
      </c>
      <c r="D61" s="916">
        <f>'Sources and Uses Budget'!C60</f>
        <v>0</v>
      </c>
      <c r="E61" s="917">
        <f t="shared" si="0"/>
        <v>0</v>
      </c>
      <c r="F61" s="918"/>
      <c r="G61" s="918"/>
    </row>
    <row r="62" spans="1:7" s="475" customFormat="1" ht="13.2">
      <c r="A62" s="773" t="s">
        <v>1673</v>
      </c>
      <c r="B62" s="919">
        <f>'Sources and Uses Budget'!C61</f>
        <v>45647</v>
      </c>
      <c r="C62" s="919">
        <f>'Sources and Uses Budget'!C61</f>
        <v>45647</v>
      </c>
      <c r="D62" s="919">
        <f>'Sources and Uses Budget'!C61</f>
        <v>45647</v>
      </c>
      <c r="E62" s="917">
        <f t="shared" si="0"/>
        <v>0</v>
      </c>
      <c r="F62" s="918"/>
      <c r="G62" s="918"/>
    </row>
    <row r="63" spans="1:7" s="475" customFormat="1" ht="13.2">
      <c r="A63" s="776" t="s">
        <v>1674</v>
      </c>
      <c r="B63" s="919">
        <f>'Sources and Uses Budget'!C62</f>
        <v>5850653</v>
      </c>
      <c r="C63" s="919">
        <f>'Sources and Uses Budget'!C62</f>
        <v>5850653</v>
      </c>
      <c r="D63" s="919">
        <f>'Sources and Uses Budget'!C62</f>
        <v>5850653</v>
      </c>
      <c r="E63" s="917">
        <f t="shared" si="0"/>
        <v>0</v>
      </c>
      <c r="F63" s="918"/>
      <c r="G63" s="918"/>
    </row>
    <row r="64" spans="1:7" s="475" customFormat="1" ht="22.8">
      <c r="A64" s="201" t="s">
        <v>1675</v>
      </c>
      <c r="B64" s="275"/>
      <c r="C64" s="275"/>
      <c r="D64" s="275"/>
      <c r="E64" s="275"/>
      <c r="F64" s="275"/>
      <c r="G64" s="275"/>
    </row>
    <row r="65" spans="1:7" s="475" customFormat="1" ht="13.2">
      <c r="A65" s="205" t="s">
        <v>1676</v>
      </c>
      <c r="B65" s="916">
        <f>'Sources and Uses Budget'!C64</f>
        <v>75000</v>
      </c>
      <c r="C65" s="916">
        <f>'Sources and Uses Budget'!C64</f>
        <v>75000</v>
      </c>
      <c r="D65" s="916">
        <f>'Sources and Uses Budget'!C64</f>
        <v>75000</v>
      </c>
      <c r="E65" s="917">
        <f t="shared" si="0"/>
        <v>0</v>
      </c>
      <c r="F65" s="918"/>
      <c r="G65" s="918"/>
    </row>
    <row r="66" spans="1:7" s="475" customFormat="1" ht="22.8">
      <c r="A66" s="205" t="s">
        <v>1677</v>
      </c>
      <c r="B66" s="916">
        <f>'Sources and Uses Budget'!C65</f>
        <v>0</v>
      </c>
      <c r="C66" s="916">
        <f>'Sources and Uses Budget'!C65</f>
        <v>0</v>
      </c>
      <c r="D66" s="916">
        <f>'Sources and Uses Budget'!C65</f>
        <v>0</v>
      </c>
      <c r="E66" s="917">
        <f t="shared" si="0"/>
        <v>0</v>
      </c>
      <c r="F66" s="918"/>
      <c r="G66" s="918"/>
    </row>
    <row r="67" spans="1:7" s="475" customFormat="1" ht="22.8">
      <c r="A67" s="205" t="s">
        <v>1678</v>
      </c>
      <c r="B67" s="916">
        <f>'Sources and Uses Budget'!C66</f>
        <v>0</v>
      </c>
      <c r="C67" s="916">
        <f>'Sources and Uses Budget'!C66</f>
        <v>0</v>
      </c>
      <c r="D67" s="916">
        <f>'Sources and Uses Budget'!C66</f>
        <v>0</v>
      </c>
      <c r="E67" s="917">
        <f t="shared" si="0"/>
        <v>0</v>
      </c>
      <c r="F67" s="918"/>
      <c r="G67" s="918"/>
    </row>
    <row r="68" spans="1:7" s="475" customFormat="1" ht="13.2">
      <c r="A68" s="205" t="s">
        <v>1679</v>
      </c>
      <c r="B68" s="916">
        <f>'Sources and Uses Budget'!C67</f>
        <v>0</v>
      </c>
      <c r="C68" s="916">
        <f>'Sources and Uses Budget'!C67</f>
        <v>0</v>
      </c>
      <c r="D68" s="916">
        <f>'Sources and Uses Budget'!C67</f>
        <v>0</v>
      </c>
      <c r="E68" s="917">
        <f t="shared" si="0"/>
        <v>0</v>
      </c>
      <c r="F68" s="918"/>
      <c r="G68" s="918"/>
    </row>
    <row r="69" spans="1:7" s="475" customFormat="1" ht="13.2">
      <c r="A69" s="216" t="s">
        <v>2474</v>
      </c>
      <c r="B69" s="916">
        <f>'Sources and Uses Budget'!C68</f>
        <v>55000</v>
      </c>
      <c r="C69" s="916">
        <f>'Sources and Uses Budget'!C68</f>
        <v>55000</v>
      </c>
      <c r="D69" s="916">
        <f>'Sources and Uses Budget'!C68</f>
        <v>55000</v>
      </c>
      <c r="E69" s="917">
        <f t="shared" si="0"/>
        <v>0</v>
      </c>
      <c r="F69" s="918"/>
      <c r="G69" s="918"/>
    </row>
    <row r="70" spans="1:7" s="475" customFormat="1" ht="13.2">
      <c r="A70" s="209" t="s">
        <v>1681</v>
      </c>
      <c r="B70" s="919">
        <f>'Sources and Uses Budget'!C69</f>
        <v>130000</v>
      </c>
      <c r="C70" s="919">
        <f>'Sources and Uses Budget'!C69</f>
        <v>130000</v>
      </c>
      <c r="D70" s="919">
        <f>'Sources and Uses Budget'!C69</f>
        <v>130000</v>
      </c>
      <c r="E70" s="917">
        <f t="shared" si="0"/>
        <v>0</v>
      </c>
      <c r="F70" s="918"/>
      <c r="G70" s="918"/>
    </row>
    <row r="71" spans="1:7" s="475" customFormat="1" ht="13.2">
      <c r="A71" s="769" t="s">
        <v>1682</v>
      </c>
      <c r="B71" s="275"/>
      <c r="C71" s="275"/>
      <c r="D71" s="275"/>
      <c r="E71" s="275"/>
      <c r="F71" s="275"/>
      <c r="G71" s="275"/>
    </row>
    <row r="72" spans="1:7" s="475" customFormat="1" ht="13.2">
      <c r="A72" s="774" t="s">
        <v>1683</v>
      </c>
      <c r="B72" s="916">
        <f>'Sources and Uses Budget'!C71</f>
        <v>0</v>
      </c>
      <c r="C72" s="916">
        <f>'Sources and Uses Budget'!C71</f>
        <v>0</v>
      </c>
      <c r="D72" s="916">
        <f>'Sources and Uses Budget'!C71</f>
        <v>0</v>
      </c>
      <c r="E72" s="917">
        <f t="shared" si="0"/>
        <v>0</v>
      </c>
      <c r="F72" s="918"/>
      <c r="G72" s="918"/>
    </row>
    <row r="73" spans="1:7" s="475" customFormat="1" ht="13.2">
      <c r="A73" s="774" t="s">
        <v>1684</v>
      </c>
      <c r="B73" s="916">
        <f>'Sources and Uses Budget'!C72</f>
        <v>0</v>
      </c>
      <c r="C73" s="916">
        <f>'Sources and Uses Budget'!C72</f>
        <v>0</v>
      </c>
      <c r="D73" s="916">
        <f>'Sources and Uses Budget'!C72</f>
        <v>0</v>
      </c>
      <c r="E73" s="917">
        <f t="shared" si="0"/>
        <v>0</v>
      </c>
      <c r="F73" s="918"/>
      <c r="G73" s="918"/>
    </row>
    <row r="74" spans="1:7" s="475" customFormat="1" ht="13.2">
      <c r="A74" s="777" t="s">
        <v>1685</v>
      </c>
      <c r="B74" s="916">
        <f>'Sources and Uses Budget'!C73</f>
        <v>23000</v>
      </c>
      <c r="C74" s="916">
        <f>'Sources and Uses Budget'!C73</f>
        <v>23000</v>
      </c>
      <c r="D74" s="916">
        <f>'Sources and Uses Budget'!C73</f>
        <v>23000</v>
      </c>
      <c r="E74" s="917">
        <f>C74-B74</f>
        <v>0</v>
      </c>
      <c r="F74" s="918"/>
      <c r="G74" s="918"/>
    </row>
    <row r="75" spans="1:7" s="475" customFormat="1" ht="13.2">
      <c r="A75" s="774" t="s">
        <v>1686</v>
      </c>
      <c r="B75" s="916">
        <f>'Sources and Uses Budget'!C74</f>
        <v>75106.914407576332</v>
      </c>
      <c r="C75" s="916">
        <f>'Sources and Uses Budget'!C74</f>
        <v>75106.914407576332</v>
      </c>
      <c r="D75" s="916">
        <f>'Sources and Uses Budget'!C74</f>
        <v>75106.914407576332</v>
      </c>
      <c r="E75" s="917">
        <f>C75-B75</f>
        <v>0</v>
      </c>
      <c r="F75" s="918"/>
      <c r="G75" s="918"/>
    </row>
    <row r="76" spans="1:7" s="475" customFormat="1" ht="13.2">
      <c r="A76" s="778" t="s">
        <v>1653</v>
      </c>
      <c r="B76" s="916">
        <f>'Sources and Uses Budget'!C75</f>
        <v>0</v>
      </c>
      <c r="C76" s="916">
        <f>'Sources and Uses Budget'!C75</f>
        <v>0</v>
      </c>
      <c r="D76" s="916">
        <f>'Sources and Uses Budget'!C75</f>
        <v>0</v>
      </c>
      <c r="E76" s="917">
        <f>C76-B76</f>
        <v>0</v>
      </c>
      <c r="F76" s="918"/>
      <c r="G76" s="918"/>
    </row>
    <row r="77" spans="1:7" s="475" customFormat="1" ht="13.2">
      <c r="A77" s="773" t="s">
        <v>1687</v>
      </c>
      <c r="B77" s="919">
        <f>'Sources and Uses Budget'!C76</f>
        <v>98106.914407576332</v>
      </c>
      <c r="C77" s="919">
        <f>'Sources and Uses Budget'!C76</f>
        <v>98106.914407576332</v>
      </c>
      <c r="D77" s="919">
        <f>'Sources and Uses Budget'!C76</f>
        <v>98106.914407576332</v>
      </c>
      <c r="E77" s="917">
        <f>C77-B77</f>
        <v>0</v>
      </c>
      <c r="F77" s="918"/>
      <c r="G77" s="918"/>
    </row>
    <row r="78" spans="1:7" s="475" customFormat="1" ht="13.2">
      <c r="A78" s="769" t="s">
        <v>1688</v>
      </c>
      <c r="B78" s="275"/>
      <c r="C78" s="275"/>
      <c r="D78" s="275"/>
      <c r="E78" s="275"/>
      <c r="F78" s="275"/>
      <c r="G78" s="275"/>
    </row>
    <row r="79" spans="1:7" s="475" customFormat="1" ht="14.1" customHeight="1">
      <c r="A79" s="774" t="s">
        <v>1689</v>
      </c>
      <c r="B79" s="916">
        <f>'Sources and Uses Budget'!C78</f>
        <v>433580</v>
      </c>
      <c r="C79" s="916">
        <f>'Sources and Uses Budget'!C78</f>
        <v>433580</v>
      </c>
      <c r="D79" s="916">
        <f>'Sources and Uses Budget'!C78</f>
        <v>433580</v>
      </c>
      <c r="E79" s="917">
        <f t="shared" ref="E79:E105" si="2">C79-B79</f>
        <v>0</v>
      </c>
      <c r="F79" s="918"/>
      <c r="G79" s="918"/>
    </row>
    <row r="80" spans="1:7" s="475" customFormat="1" ht="13.2">
      <c r="A80" s="774" t="s">
        <v>1690</v>
      </c>
      <c r="B80" s="916">
        <f>'Sources and Uses Budget'!C79</f>
        <v>84900</v>
      </c>
      <c r="C80" s="916">
        <f>'Sources and Uses Budget'!C79</f>
        <v>84900</v>
      </c>
      <c r="D80" s="916">
        <f>'Sources and Uses Budget'!C79</f>
        <v>84900</v>
      </c>
      <c r="E80" s="917">
        <f t="shared" si="2"/>
        <v>0</v>
      </c>
      <c r="F80" s="918"/>
      <c r="G80" s="918"/>
    </row>
    <row r="81" spans="1:7" s="475" customFormat="1" ht="13.2">
      <c r="A81" s="773" t="s">
        <v>1691</v>
      </c>
      <c r="B81" s="919">
        <f>'Sources and Uses Budget'!C80</f>
        <v>518480</v>
      </c>
      <c r="C81" s="919">
        <f>'Sources and Uses Budget'!C80</f>
        <v>518480</v>
      </c>
      <c r="D81" s="919">
        <f>'Sources and Uses Budget'!C80</f>
        <v>518480</v>
      </c>
      <c r="E81" s="917">
        <f t="shared" si="2"/>
        <v>0</v>
      </c>
      <c r="F81" s="918"/>
      <c r="G81" s="918"/>
    </row>
    <row r="82" spans="1:7" s="475" customFormat="1" ht="13.2">
      <c r="A82" s="769" t="s">
        <v>1692</v>
      </c>
      <c r="B82" s="275"/>
      <c r="C82" s="275"/>
      <c r="D82" s="275"/>
      <c r="E82" s="275"/>
      <c r="F82" s="275"/>
      <c r="G82" s="275"/>
    </row>
    <row r="83" spans="1:7" s="475" customFormat="1" ht="13.2">
      <c r="A83" s="205" t="s">
        <v>1693</v>
      </c>
      <c r="B83" s="916">
        <f>'Sources and Uses Budget'!C82</f>
        <v>35419</v>
      </c>
      <c r="C83" s="916">
        <f>'Sources and Uses Budget'!C82</f>
        <v>35419</v>
      </c>
      <c r="D83" s="916">
        <f>'Sources and Uses Budget'!C82</f>
        <v>35419</v>
      </c>
      <c r="E83" s="917">
        <f t="shared" si="2"/>
        <v>0</v>
      </c>
      <c r="F83" s="918"/>
      <c r="G83" s="918"/>
    </row>
    <row r="84" spans="1:7" s="475" customFormat="1" ht="13.2">
      <c r="A84" s="205" t="s">
        <v>1694</v>
      </c>
      <c r="B84" s="916">
        <f>'Sources and Uses Budget'!C83</f>
        <v>12500</v>
      </c>
      <c r="C84" s="916">
        <f>'Sources and Uses Budget'!C83</f>
        <v>12500</v>
      </c>
      <c r="D84" s="916">
        <f>'Sources and Uses Budget'!C83</f>
        <v>12500</v>
      </c>
      <c r="E84" s="917">
        <f t="shared" si="2"/>
        <v>0</v>
      </c>
      <c r="F84" s="918"/>
      <c r="G84" s="918"/>
    </row>
    <row r="85" spans="1:7" s="475" customFormat="1" ht="13.2">
      <c r="A85" s="205" t="s">
        <v>1695</v>
      </c>
      <c r="B85" s="916">
        <f>'Sources and Uses Budget'!C84</f>
        <v>0</v>
      </c>
      <c r="C85" s="916">
        <f>'Sources and Uses Budget'!C84</f>
        <v>0</v>
      </c>
      <c r="D85" s="916">
        <f>'Sources and Uses Budget'!C84</f>
        <v>0</v>
      </c>
      <c r="E85" s="917">
        <f t="shared" si="2"/>
        <v>0</v>
      </c>
      <c r="F85" s="918"/>
      <c r="G85" s="918"/>
    </row>
    <row r="86" spans="1:7" s="475" customFormat="1" ht="13.2">
      <c r="A86" s="205" t="s">
        <v>1696</v>
      </c>
      <c r="B86" s="916">
        <f>'Sources and Uses Budget'!C85</f>
        <v>100000</v>
      </c>
      <c r="C86" s="916">
        <f>'Sources and Uses Budget'!C85</f>
        <v>100000</v>
      </c>
      <c r="D86" s="916">
        <f>'Sources and Uses Budget'!C85</f>
        <v>100000</v>
      </c>
      <c r="E86" s="917">
        <f t="shared" si="2"/>
        <v>0</v>
      </c>
      <c r="F86" s="918"/>
      <c r="G86" s="918"/>
    </row>
    <row r="87" spans="1:7" s="475" customFormat="1" ht="13.2">
      <c r="A87" s="205" t="s">
        <v>1697</v>
      </c>
      <c r="B87" s="916">
        <f>'Sources and Uses Budget'!C86</f>
        <v>0</v>
      </c>
      <c r="C87" s="916">
        <f>'Sources and Uses Budget'!C86</f>
        <v>0</v>
      </c>
      <c r="D87" s="916">
        <f>'Sources and Uses Budget'!C86</f>
        <v>0</v>
      </c>
      <c r="E87" s="917">
        <f t="shared" si="2"/>
        <v>0</v>
      </c>
      <c r="F87" s="918"/>
      <c r="G87" s="918"/>
    </row>
    <row r="88" spans="1:7" s="475" customFormat="1" ht="13.2">
      <c r="A88" s="205" t="s">
        <v>1698</v>
      </c>
      <c r="B88" s="916">
        <f>'Sources and Uses Budget'!C87</f>
        <v>10000</v>
      </c>
      <c r="C88" s="916">
        <f>'Sources and Uses Budget'!C87</f>
        <v>10000</v>
      </c>
      <c r="D88" s="916">
        <f>'Sources and Uses Budget'!C87</f>
        <v>10000</v>
      </c>
      <c r="E88" s="917">
        <f t="shared" si="2"/>
        <v>0</v>
      </c>
      <c r="F88" s="918"/>
      <c r="G88" s="918"/>
    </row>
    <row r="89" spans="1:7" s="475" customFormat="1" ht="13.2">
      <c r="A89" s="205" t="s">
        <v>1699</v>
      </c>
      <c r="B89" s="916">
        <f>'Sources and Uses Budget'!C88</f>
        <v>23000</v>
      </c>
      <c r="C89" s="916">
        <f>'Sources and Uses Budget'!C88</f>
        <v>23000</v>
      </c>
      <c r="D89" s="916">
        <f>'Sources and Uses Budget'!C88</f>
        <v>23000</v>
      </c>
      <c r="E89" s="917">
        <f t="shared" si="2"/>
        <v>0</v>
      </c>
      <c r="F89" s="918"/>
      <c r="G89" s="918"/>
    </row>
    <row r="90" spans="1:7" s="475" customFormat="1" ht="13.2">
      <c r="A90" s="205" t="s">
        <v>1700</v>
      </c>
      <c r="B90" s="916">
        <f>'Sources and Uses Budget'!C89</f>
        <v>10000</v>
      </c>
      <c r="C90" s="916">
        <f>'Sources and Uses Budget'!C89</f>
        <v>10000</v>
      </c>
      <c r="D90" s="916">
        <f>'Sources and Uses Budget'!C89</f>
        <v>10000</v>
      </c>
      <c r="E90" s="917">
        <f t="shared" si="2"/>
        <v>0</v>
      </c>
      <c r="F90" s="918"/>
      <c r="G90" s="918"/>
    </row>
    <row r="91" spans="1:7" s="475" customFormat="1" ht="13.2">
      <c r="A91" s="216" t="s">
        <v>1701</v>
      </c>
      <c r="B91" s="916">
        <f>'Sources and Uses Budget'!C90</f>
        <v>0</v>
      </c>
      <c r="C91" s="916">
        <f>'Sources and Uses Budget'!C90</f>
        <v>0</v>
      </c>
      <c r="D91" s="916">
        <f>'Sources and Uses Budget'!C90</f>
        <v>0</v>
      </c>
      <c r="E91" s="917">
        <f t="shared" si="2"/>
        <v>0</v>
      </c>
      <c r="F91" s="918"/>
      <c r="G91" s="918"/>
    </row>
    <row r="92" spans="1:7" s="475" customFormat="1" ht="13.2">
      <c r="A92" s="216" t="s">
        <v>1702</v>
      </c>
      <c r="B92" s="916">
        <f>'Sources and Uses Budget'!C91</f>
        <v>10000</v>
      </c>
      <c r="C92" s="916">
        <f>'Sources and Uses Budget'!C91</f>
        <v>10000</v>
      </c>
      <c r="D92" s="916">
        <f>'Sources and Uses Budget'!C91</f>
        <v>10000</v>
      </c>
      <c r="E92" s="917">
        <f t="shared" si="2"/>
        <v>0</v>
      </c>
      <c r="F92" s="918"/>
      <c r="G92" s="918"/>
    </row>
    <row r="93" spans="1:7" s="475" customFormat="1" ht="13.2">
      <c r="A93" s="212" t="s">
        <v>1653</v>
      </c>
      <c r="B93" s="916">
        <f>'Sources and Uses Budget'!C92</f>
        <v>0</v>
      </c>
      <c r="C93" s="916">
        <f>'Sources and Uses Budget'!C92</f>
        <v>0</v>
      </c>
      <c r="D93" s="916">
        <f>'Sources and Uses Budget'!C92</f>
        <v>0</v>
      </c>
      <c r="E93" s="917">
        <f t="shared" si="2"/>
        <v>0</v>
      </c>
      <c r="F93" s="918"/>
      <c r="G93" s="918"/>
    </row>
    <row r="94" spans="1:7" s="475" customFormat="1" ht="13.2">
      <c r="A94" s="212" t="s">
        <v>1653</v>
      </c>
      <c r="B94" s="916">
        <f>'Sources and Uses Budget'!C93</f>
        <v>0</v>
      </c>
      <c r="C94" s="916">
        <f>'Sources and Uses Budget'!C93</f>
        <v>0</v>
      </c>
      <c r="D94" s="916">
        <f>'Sources and Uses Budget'!C93</f>
        <v>0</v>
      </c>
      <c r="E94" s="917">
        <f t="shared" si="2"/>
        <v>0</v>
      </c>
      <c r="F94" s="918"/>
      <c r="G94" s="918"/>
    </row>
    <row r="95" spans="1:7" s="475" customFormat="1" ht="13.2">
      <c r="A95" s="212" t="s">
        <v>1653</v>
      </c>
      <c r="B95" s="916">
        <f>'Sources and Uses Budget'!C94</f>
        <v>0</v>
      </c>
      <c r="C95" s="916">
        <f>'Sources and Uses Budget'!C94</f>
        <v>0</v>
      </c>
      <c r="D95" s="916">
        <f>'Sources and Uses Budget'!C94</f>
        <v>0</v>
      </c>
      <c r="E95" s="917">
        <f t="shared" si="2"/>
        <v>0</v>
      </c>
      <c r="F95" s="918"/>
      <c r="G95" s="918"/>
    </row>
    <row r="96" spans="1:7" s="475" customFormat="1" ht="13.2">
      <c r="A96" s="209" t="s">
        <v>1703</v>
      </c>
      <c r="B96" s="919">
        <f>'Sources and Uses Budget'!C95</f>
        <v>200919</v>
      </c>
      <c r="C96" s="919">
        <f>'Sources and Uses Budget'!C95</f>
        <v>200919</v>
      </c>
      <c r="D96" s="919">
        <f>'Sources and Uses Budget'!C95</f>
        <v>200919</v>
      </c>
      <c r="E96" s="917">
        <f t="shared" si="2"/>
        <v>0</v>
      </c>
      <c r="F96" s="918"/>
      <c r="G96" s="918"/>
    </row>
    <row r="97" spans="1:7" s="475" customFormat="1" ht="13.2">
      <c r="A97" s="209" t="s">
        <v>1704</v>
      </c>
      <c r="B97" s="919">
        <f>'Sources and Uses Budget'!C96</f>
        <v>6798158.9144075764</v>
      </c>
      <c r="C97" s="919">
        <f>'Sources and Uses Budget'!C96</f>
        <v>6798158.9144075764</v>
      </c>
      <c r="D97" s="919">
        <f>'Sources and Uses Budget'!C96</f>
        <v>6798158.9144075764</v>
      </c>
      <c r="E97" s="917">
        <f t="shared" si="2"/>
        <v>0</v>
      </c>
      <c r="F97" s="918"/>
      <c r="G97" s="918"/>
    </row>
    <row r="98" spans="1:7" s="475" customFormat="1" ht="13.2">
      <c r="A98" s="769" t="s">
        <v>1705</v>
      </c>
      <c r="B98" s="275"/>
      <c r="C98" s="275"/>
      <c r="D98" s="275"/>
      <c r="E98" s="275"/>
      <c r="F98" s="275"/>
      <c r="G98" s="275"/>
    </row>
    <row r="99" spans="1:7" s="475" customFormat="1" ht="13.2">
      <c r="A99" s="205" t="s">
        <v>1706</v>
      </c>
      <c r="B99" s="916">
        <f>'Sources and Uses Budget'!C98</f>
        <v>627495.75</v>
      </c>
      <c r="C99" s="916">
        <f>'Sources and Uses Budget'!C98</f>
        <v>627495.75</v>
      </c>
      <c r="D99" s="916">
        <f>'Sources and Uses Budget'!C98</f>
        <v>627495.75</v>
      </c>
      <c r="E99" s="917">
        <f t="shared" si="2"/>
        <v>0</v>
      </c>
      <c r="F99" s="918"/>
      <c r="G99" s="918"/>
    </row>
    <row r="100" spans="1:7" s="475" customFormat="1" ht="12" customHeight="1">
      <c r="A100" s="205" t="s">
        <v>2475</v>
      </c>
      <c r="B100" s="916">
        <f>'Sources and Uses Budget'!C99</f>
        <v>0</v>
      </c>
      <c r="C100" s="916">
        <f>'Sources and Uses Budget'!C99</f>
        <v>0</v>
      </c>
      <c r="D100" s="916">
        <f>'Sources and Uses Budget'!C99</f>
        <v>0</v>
      </c>
      <c r="E100" s="917">
        <f t="shared" si="2"/>
        <v>0</v>
      </c>
      <c r="F100" s="918"/>
      <c r="G100" s="918"/>
    </row>
    <row r="101" spans="1:7" s="475" customFormat="1" ht="13.2">
      <c r="A101" s="205" t="s">
        <v>1708</v>
      </c>
      <c r="B101" s="916">
        <f>'Sources and Uses Budget'!C100</f>
        <v>0</v>
      </c>
      <c r="C101" s="916">
        <f>'Sources and Uses Budget'!C100</f>
        <v>0</v>
      </c>
      <c r="D101" s="916">
        <f>'Sources and Uses Budget'!C100</f>
        <v>0</v>
      </c>
      <c r="E101" s="917">
        <f t="shared" si="2"/>
        <v>0</v>
      </c>
      <c r="F101" s="918"/>
      <c r="G101" s="918"/>
    </row>
    <row r="102" spans="1:7" s="475" customFormat="1" ht="13.2">
      <c r="A102" s="205" t="s">
        <v>2476</v>
      </c>
      <c r="B102" s="916">
        <f>'Sources and Uses Budget'!C101</f>
        <v>0</v>
      </c>
      <c r="C102" s="916">
        <f>'Sources and Uses Budget'!C101</f>
        <v>0</v>
      </c>
      <c r="D102" s="916">
        <f>'Sources and Uses Budget'!C101</f>
        <v>0</v>
      </c>
      <c r="E102" s="917">
        <f t="shared" si="2"/>
        <v>0</v>
      </c>
      <c r="F102" s="918"/>
      <c r="G102" s="918"/>
    </row>
    <row r="103" spans="1:7" s="475" customFormat="1" ht="13.2">
      <c r="A103" s="775" t="s">
        <v>1653</v>
      </c>
      <c r="B103" s="916">
        <f>'Sources and Uses Budget'!C102</f>
        <v>0</v>
      </c>
      <c r="C103" s="916">
        <f>'Sources and Uses Budget'!C102</f>
        <v>0</v>
      </c>
      <c r="D103" s="916">
        <f>'Sources and Uses Budget'!C102</f>
        <v>0</v>
      </c>
      <c r="E103" s="917">
        <f t="shared" si="2"/>
        <v>0</v>
      </c>
      <c r="F103" s="918"/>
      <c r="G103" s="918"/>
    </row>
    <row r="104" spans="1:7" s="475" customFormat="1" ht="13.2">
      <c r="A104" s="773" t="s">
        <v>1710</v>
      </c>
      <c r="B104" s="919">
        <f>'Sources and Uses Budget'!C103</f>
        <v>627495.75</v>
      </c>
      <c r="C104" s="919">
        <f>'Sources and Uses Budget'!C103</f>
        <v>627495.75</v>
      </c>
      <c r="D104" s="919">
        <f>'Sources and Uses Budget'!C103</f>
        <v>627495.75</v>
      </c>
      <c r="E104" s="917">
        <f t="shared" si="2"/>
        <v>0</v>
      </c>
      <c r="F104" s="918"/>
      <c r="G104" s="918"/>
    </row>
    <row r="105" spans="1:7" s="475" customFormat="1" ht="13.2">
      <c r="A105" s="773" t="s">
        <v>2477</v>
      </c>
      <c r="B105" s="919">
        <f>'Sources and Uses Budget'!C104</f>
        <v>7425654.6644075764</v>
      </c>
      <c r="C105" s="919">
        <f>'Sources and Uses Budget'!C104</f>
        <v>7425654.6644075764</v>
      </c>
      <c r="D105" s="919">
        <f>'Sources and Uses Budget'!C104</f>
        <v>7425654.6644075764</v>
      </c>
      <c r="E105" s="917">
        <f t="shared" si="2"/>
        <v>0</v>
      </c>
      <c r="F105" s="918"/>
      <c r="G105" s="920"/>
    </row>
    <row r="106" spans="1:7" s="475" customFormat="1" ht="13.2">
      <c r="A106" s="279" t="s">
        <v>2478</v>
      </c>
      <c r="B106" s="907"/>
      <c r="C106" s="921"/>
      <c r="D106" s="922"/>
      <c r="E106" s="923"/>
      <c r="F106" s="924"/>
      <c r="G106" s="92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1" t="s">
        <v>307</v>
      </c>
      <c r="B2" s="942"/>
      <c r="C2" s="942"/>
      <c r="D2" s="942"/>
      <c r="E2" s="942"/>
      <c r="F2" s="942"/>
      <c r="G2" s="942"/>
      <c r="H2" s="942"/>
      <c r="I2" s="942"/>
      <c r="J2" s="942"/>
    </row>
    <row r="3" spans="1:10" ht="15">
      <c r="A3" s="943" t="s">
        <v>308</v>
      </c>
      <c r="B3" s="942"/>
      <c r="C3" s="942"/>
      <c r="D3" s="942"/>
      <c r="E3" s="942"/>
      <c r="F3" s="942"/>
      <c r="G3" s="942"/>
      <c r="H3" s="942"/>
      <c r="I3" s="942"/>
      <c r="J3" s="942"/>
    </row>
    <row r="4" spans="1:10"/>
    <row r="5" spans="1:10" ht="12.75" customHeight="1">
      <c r="A5" s="947" t="s">
        <v>309</v>
      </c>
      <c r="B5" s="947"/>
      <c r="C5" s="947"/>
      <c r="D5" s="947"/>
      <c r="E5" s="947"/>
      <c r="F5" s="947"/>
      <c r="G5" s="947"/>
      <c r="H5" s="947"/>
      <c r="I5" s="947"/>
      <c r="J5" s="947"/>
    </row>
    <row r="6" spans="1:10">
      <c r="A6" s="947"/>
      <c r="B6" s="947"/>
      <c r="C6" s="947"/>
      <c r="D6" s="947"/>
      <c r="E6" s="947"/>
      <c r="F6" s="947"/>
      <c r="G6" s="947"/>
      <c r="H6" s="947"/>
      <c r="I6" s="947"/>
      <c r="J6" s="947"/>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3" customFormat="1">
      <c r="A10" s="933" t="s">
        <v>311</v>
      </c>
    </row>
    <row r="11" spans="1:10" s="933" customFormat="1" ht="12.75" customHeight="1"/>
    <row r="12" spans="1:10" s="933" customFormat="1" ht="12.75" customHeight="1"/>
    <row r="13" spans="1:10" s="933" customFormat="1" ht="12.75" customHeight="1"/>
    <row r="14" spans="1:10" s="933" customFormat="1" ht="12.75" customHeight="1"/>
    <row r="15" spans="1:10"/>
    <row r="16" spans="1:10" ht="12.75" customHeight="1">
      <c r="A16" s="944" t="s">
        <v>312</v>
      </c>
      <c r="B16" s="944"/>
      <c r="C16" s="944"/>
      <c r="D16" s="944"/>
      <c r="E16" s="944"/>
      <c r="F16" s="944"/>
      <c r="G16" s="944"/>
      <c r="H16" s="944"/>
      <c r="I16" s="944"/>
      <c r="J16" s="944"/>
    </row>
    <row r="17" spans="1:10" ht="12.75" customHeight="1">
      <c r="A17" s="944"/>
      <c r="B17" s="944"/>
      <c r="C17" s="944"/>
      <c r="D17" s="944"/>
      <c r="E17" s="944"/>
      <c r="F17" s="944"/>
      <c r="G17" s="944"/>
      <c r="H17" s="944"/>
      <c r="I17" s="944"/>
      <c r="J17" s="944"/>
    </row>
    <row r="18" spans="1:10">
      <c r="A18" s="944"/>
      <c r="B18" s="944"/>
      <c r="C18" s="944"/>
      <c r="D18" s="944"/>
      <c r="E18" s="944"/>
      <c r="F18" s="944"/>
      <c r="G18" s="944"/>
      <c r="H18" s="944"/>
      <c r="I18" s="944"/>
      <c r="J18" s="944"/>
    </row>
    <row r="19" spans="1:10">
      <c r="A19" s="945"/>
      <c r="B19" s="945"/>
      <c r="C19" s="945"/>
      <c r="D19" s="945"/>
      <c r="E19" s="945"/>
      <c r="F19" s="945"/>
      <c r="G19" s="945"/>
      <c r="H19" s="945"/>
      <c r="I19" s="945"/>
      <c r="J19" s="945"/>
    </row>
    <row r="20" spans="1:10">
      <c r="A20" s="945"/>
      <c r="B20" s="945"/>
      <c r="C20" s="945"/>
      <c r="D20" s="945"/>
      <c r="E20" s="945"/>
      <c r="F20" s="945"/>
      <c r="G20" s="945"/>
      <c r="H20" s="945"/>
      <c r="I20" s="945"/>
      <c r="J20" s="945"/>
    </row>
    <row r="21" spans="1:10">
      <c r="A21" s="945"/>
      <c r="B21" s="945"/>
      <c r="C21" s="945"/>
      <c r="D21" s="945"/>
      <c r="E21" s="945"/>
      <c r="F21" s="945"/>
      <c r="G21" s="945"/>
      <c r="H21" s="945"/>
      <c r="I21" s="945"/>
      <c r="J21" s="945"/>
    </row>
    <row r="22" spans="1:10">
      <c r="A22" s="37" t="s">
        <v>313</v>
      </c>
      <c r="B22" s="258"/>
      <c r="C22" s="258"/>
      <c r="D22" s="258"/>
      <c r="E22" s="258"/>
      <c r="F22" s="258"/>
      <c r="G22" s="258"/>
      <c r="H22" s="258"/>
      <c r="I22" s="258"/>
      <c r="J22" s="258"/>
    </row>
    <row r="23" spans="1:10" ht="14.4">
      <c r="A23" s="703" t="s">
        <v>249</v>
      </c>
      <c r="B23" s="703"/>
      <c r="C23" s="703"/>
      <c r="D23" s="703"/>
      <c r="E23" s="703"/>
      <c r="F23" s="703"/>
      <c r="G23" s="703"/>
      <c r="H23" s="703"/>
      <c r="I23" s="703"/>
      <c r="J23" s="818"/>
    </row>
    <row r="24" spans="1:10">
      <c r="A24" s="946" t="s">
        <v>314</v>
      </c>
      <c r="B24" s="942"/>
      <c r="C24" s="942"/>
      <c r="D24" s="942"/>
      <c r="E24" s="942"/>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4" t="s">
        <v>315</v>
      </c>
      <c r="B61" s="945"/>
      <c r="C61" s="945"/>
      <c r="D61" s="945"/>
      <c r="E61" s="945"/>
      <c r="F61" s="945"/>
      <c r="G61" s="945"/>
      <c r="H61" s="945"/>
      <c r="I61" s="945"/>
      <c r="J61" s="945"/>
    </row>
    <row r="62" spans="1:10">
      <c r="A62" s="945"/>
      <c r="B62" s="945"/>
      <c r="C62" s="945"/>
      <c r="D62" s="945"/>
      <c r="E62" s="945"/>
      <c r="F62" s="945"/>
      <c r="G62" s="945"/>
      <c r="H62" s="945"/>
      <c r="I62" s="945"/>
      <c r="J62" s="945"/>
    </row>
    <row r="63" spans="1:10">
      <c r="A63" s="945"/>
      <c r="B63" s="945"/>
      <c r="C63" s="945"/>
      <c r="D63" s="945"/>
      <c r="E63" s="945"/>
      <c r="F63" s="945"/>
      <c r="G63" s="945"/>
      <c r="H63" s="945"/>
      <c r="I63" s="945"/>
      <c r="J63" s="945"/>
    </row>
    <row r="64" spans="1:10"/>
    <row r="65" spans="1:9">
      <c r="A65" s="37" t="s">
        <v>314</v>
      </c>
    </row>
    <row r="66" spans="1:9"/>
    <row r="67" spans="1:9"/>
    <row r="68" spans="1:9"/>
    <row r="69" spans="1:9"/>
    <row r="70" spans="1:9"/>
    <row r="71" spans="1:9"/>
    <row r="72" spans="1:9"/>
    <row r="73" spans="1:9"/>
    <row r="74" spans="1:9"/>
    <row r="75" spans="1:9"/>
    <row r="76" spans="1:9">
      <c r="A76" s="940" t="s">
        <v>316</v>
      </c>
      <c r="B76" s="940"/>
      <c r="C76" s="940"/>
      <c r="D76" s="940"/>
      <c r="E76" s="940"/>
      <c r="F76" s="940"/>
      <c r="G76" s="940"/>
      <c r="H76" s="940"/>
      <c r="I76" s="940"/>
    </row>
    <row r="77" spans="1:9">
      <c r="A77" s="939" t="s">
        <v>317</v>
      </c>
      <c r="B77" s="939"/>
      <c r="C77" s="939"/>
      <c r="D77" s="939"/>
      <c r="E77" s="939"/>
      <c r="F77" s="568"/>
    </row>
    <row r="78" spans="1:9">
      <c r="A78" s="939" t="s">
        <v>318</v>
      </c>
      <c r="B78" s="939"/>
      <c r="C78" s="939"/>
      <c r="D78" s="939"/>
      <c r="E78" s="939"/>
      <c r="F78" s="5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70" zoomScaleNormal="70" workbookViewId="0">
      <selection activeCell="B1186" sqref="B1186"/>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44140625" style="5" customWidth="1"/>
    <col min="8" max="8" width="2.44140625" hidden="1" customWidth="1"/>
    <col min="9" max="9" width="14" hidden="1" customWidth="1"/>
    <col min="10" max="16383" width="8.88671875" hidden="1"/>
    <col min="16384" max="16384" width="0.44140625" hidden="1" customWidth="1"/>
  </cols>
  <sheetData>
    <row r="1" spans="1:9" ht="13.65" customHeight="1">
      <c r="A1" s="401"/>
      <c r="B1" s="401"/>
      <c r="C1" s="401"/>
      <c r="D1" s="37"/>
      <c r="E1" s="37"/>
      <c r="F1" s="37"/>
      <c r="G1" s="37"/>
    </row>
    <row r="2" spans="1:9" ht="13.2">
      <c r="A2" s="970" t="s">
        <v>319</v>
      </c>
      <c r="B2" s="970"/>
      <c r="C2" s="942"/>
      <c r="D2" s="942"/>
      <c r="E2" s="942"/>
      <c r="F2" s="942"/>
      <c r="G2" s="942"/>
      <c r="I2" t="s">
        <v>320</v>
      </c>
    </row>
    <row r="3" spans="1:9" ht="13.2">
      <c r="A3" s="167"/>
      <c r="B3" s="167"/>
      <c r="C3"/>
      <c r="D3"/>
      <c r="E3"/>
      <c r="F3"/>
      <c r="G3"/>
      <c r="I3" s="37" t="s">
        <v>321</v>
      </c>
    </row>
    <row r="4" spans="1:9" ht="13.2">
      <c r="A4" s="971" t="s">
        <v>322</v>
      </c>
      <c r="B4" s="971"/>
      <c r="C4" s="972"/>
      <c r="D4" s="972"/>
      <c r="E4" s="972"/>
      <c r="F4" s="972"/>
      <c r="G4" s="972"/>
      <c r="I4" s="37" t="s">
        <v>323</v>
      </c>
    </row>
    <row r="5" spans="1:9" ht="13.2">
      <c r="A5" s="971" t="s">
        <v>324</v>
      </c>
      <c r="B5" s="971"/>
      <c r="C5" s="972"/>
      <c r="D5" s="972"/>
      <c r="E5" s="972"/>
      <c r="F5" s="972"/>
      <c r="G5" s="972"/>
      <c r="I5" t="s">
        <v>325</v>
      </c>
    </row>
    <row r="6" spans="1:9" ht="13.65" customHeight="1">
      <c r="A6" s="401"/>
      <c r="B6" s="401"/>
      <c r="C6" s="401"/>
      <c r="D6" s="37"/>
      <c r="E6" s="37"/>
      <c r="F6" s="37"/>
      <c r="G6" s="37"/>
    </row>
    <row r="7" spans="1:9" ht="13.2">
      <c r="A7" s="974" t="s">
        <v>326</v>
      </c>
      <c r="B7" s="974"/>
      <c r="C7" s="974"/>
      <c r="D7" s="974"/>
      <c r="E7" s="974"/>
      <c r="F7" s="974"/>
      <c r="G7" s="974"/>
    </row>
    <row r="8" spans="1:9" ht="13.2">
      <c r="A8" s="974"/>
      <c r="B8" s="974"/>
      <c r="C8" s="974"/>
      <c r="D8" s="974"/>
      <c r="E8" s="974"/>
      <c r="F8" s="974"/>
      <c r="G8" s="974"/>
    </row>
    <row r="9" spans="1:9" ht="13.2">
      <c r="A9" s="169"/>
      <c r="B9" s="169"/>
      <c r="C9" s="167"/>
      <c r="D9" s="167"/>
      <c r="E9" s="167"/>
      <c r="F9" s="167"/>
      <c r="G9" s="167"/>
    </row>
    <row r="10" spans="1:9" ht="13.2">
      <c r="A10" s="956" t="s">
        <v>327</v>
      </c>
      <c r="B10" s="956"/>
      <c r="C10" s="956"/>
      <c r="D10" s="956"/>
      <c r="E10" s="956"/>
      <c r="F10" s="956"/>
      <c r="G10" s="956"/>
    </row>
    <row r="11" spans="1:9" ht="13.2">
      <c r="A11" s="167"/>
      <c r="B11" s="167"/>
      <c r="C11" s="401"/>
      <c r="D11" s="37"/>
      <c r="E11" s="37"/>
      <c r="F11" s="37"/>
      <c r="G11" s="37"/>
    </row>
    <row r="12" spans="1:9" ht="13.65" customHeight="1">
      <c r="A12" s="401"/>
      <c r="B12" s="401"/>
      <c r="C12" s="167"/>
      <c r="D12" s="973" t="s">
        <v>328</v>
      </c>
      <c r="E12" s="973"/>
      <c r="F12" s="973"/>
      <c r="G12" s="516"/>
    </row>
    <row r="13" spans="1:9" ht="13.2">
      <c r="A13" s="401"/>
      <c r="B13" s="401"/>
      <c r="C13" s="167"/>
      <c r="D13" s="973"/>
      <c r="E13" s="973"/>
      <c r="F13" s="973"/>
      <c r="G13" s="516"/>
    </row>
    <row r="14" spans="1:9" ht="13.2">
      <c r="A14" s="168"/>
      <c r="B14" s="168"/>
      <c r="C14" s="168"/>
      <c r="D14" s="952" t="s">
        <v>329</v>
      </c>
      <c r="E14" s="952"/>
      <c r="F14" s="952"/>
      <c r="G14" s="37"/>
    </row>
    <row r="15" spans="1:9" ht="13.2">
      <c r="A15" s="168"/>
      <c r="B15" s="168"/>
      <c r="C15" s="168"/>
      <c r="D15" s="37"/>
      <c r="E15" s="37"/>
      <c r="F15" s="37"/>
      <c r="G15" s="37"/>
    </row>
    <row r="16" spans="1:9" ht="14.4" customHeight="1">
      <c r="A16" s="233"/>
      <c r="B16" s="515" t="s">
        <v>323</v>
      </c>
      <c r="C16" s="168"/>
      <c r="D16" s="930" t="s">
        <v>330</v>
      </c>
      <c r="E16" s="930"/>
      <c r="F16" s="930"/>
      <c r="G16" s="703"/>
    </row>
    <row r="17" spans="1:7" ht="14.4" customHeight="1">
      <c r="A17" s="233"/>
      <c r="B17" s="401"/>
      <c r="C17" s="168"/>
      <c r="D17" s="930"/>
      <c r="E17" s="930"/>
      <c r="F17" s="930"/>
      <c r="G17" s="703"/>
    </row>
    <row r="18" spans="1:7" ht="13.2">
      <c r="A18" s="168"/>
      <c r="B18" s="401"/>
      <c r="C18" s="168"/>
      <c r="D18" s="930"/>
      <c r="E18" s="930"/>
      <c r="F18" s="930"/>
      <c r="G18" s="703"/>
    </row>
    <row r="19" spans="1:7" ht="13.2">
      <c r="A19" s="168"/>
      <c r="B19" s="401"/>
      <c r="C19" s="168"/>
      <c r="D19" s="178"/>
      <c r="E19" s="107" t="s">
        <v>331</v>
      </c>
      <c r="F19" s="178"/>
      <c r="G19" s="703"/>
    </row>
    <row r="20" spans="1:7" ht="13.2">
      <c r="A20" s="168"/>
      <c r="B20" s="168"/>
      <c r="C20" s="168"/>
      <c r="D20" s="37"/>
      <c r="E20" s="37"/>
      <c r="F20" s="37"/>
      <c r="G20" s="37"/>
    </row>
    <row r="21" spans="1:7" ht="14.4">
      <c r="A21" s="233"/>
      <c r="B21" s="515" t="s">
        <v>323</v>
      </c>
      <c r="C21" s="401"/>
      <c r="D21" s="930" t="s">
        <v>332</v>
      </c>
      <c r="E21" s="930"/>
      <c r="F21" s="930"/>
      <c r="G21" s="37"/>
    </row>
    <row r="22" spans="1:7" ht="13.2">
      <c r="A22" s="401"/>
      <c r="B22" s="401"/>
      <c r="C22" s="401"/>
      <c r="D22" s="930"/>
      <c r="E22" s="930"/>
      <c r="F22" s="930"/>
      <c r="G22" s="37"/>
    </row>
    <row r="23" spans="1:7" ht="13.2">
      <c r="A23" s="401"/>
      <c r="B23" s="401"/>
      <c r="C23" s="401"/>
      <c r="D23" s="266"/>
      <c r="E23" s="84" t="s">
        <v>333</v>
      </c>
      <c r="F23" s="266"/>
      <c r="G23" s="37"/>
    </row>
    <row r="24" spans="1:7" ht="14.4">
      <c r="A24" s="233"/>
      <c r="B24" s="233"/>
      <c r="C24" s="401"/>
      <c r="D24" s="232"/>
      <c r="E24" s="37"/>
      <c r="F24" s="37"/>
      <c r="G24" s="37"/>
    </row>
    <row r="25" spans="1:7" ht="14.4">
      <c r="A25" s="233"/>
      <c r="B25" s="515" t="s">
        <v>325</v>
      </c>
      <c r="C25" s="401"/>
      <c r="D25" s="930" t="s">
        <v>334</v>
      </c>
      <c r="E25" s="930"/>
      <c r="F25" s="930"/>
      <c r="G25" s="37"/>
    </row>
    <row r="26" spans="1:7" ht="14.4">
      <c r="A26" s="233"/>
      <c r="B26" s="233"/>
      <c r="C26" s="401"/>
      <c r="D26" s="930"/>
      <c r="E26" s="930"/>
      <c r="F26" s="930"/>
      <c r="G26" s="37"/>
    </row>
    <row r="27" spans="1:7" ht="14.4">
      <c r="A27" s="233"/>
      <c r="B27" s="233"/>
      <c r="C27" s="401"/>
      <c r="D27" s="232"/>
      <c r="E27" s="37"/>
      <c r="F27" s="37"/>
      <c r="G27" s="37"/>
    </row>
    <row r="28" spans="1:7" ht="14.25" customHeight="1">
      <c r="A28" s="233"/>
      <c r="B28" s="515" t="s">
        <v>323</v>
      </c>
      <c r="C28" s="401"/>
      <c r="D28" s="930" t="s">
        <v>335</v>
      </c>
      <c r="E28" s="930"/>
      <c r="F28" s="930"/>
      <c r="G28" s="37"/>
    </row>
    <row r="29" spans="1:7" ht="14.4">
      <c r="A29" s="233"/>
      <c r="B29" s="233"/>
      <c r="C29" s="401"/>
      <c r="D29" s="930"/>
      <c r="E29" s="930"/>
      <c r="F29" s="930"/>
      <c r="G29" s="37"/>
    </row>
    <row r="30" spans="1:7" ht="14.4">
      <c r="A30" s="233"/>
      <c r="B30" s="233"/>
      <c r="C30" s="401"/>
      <c r="D30" s="930"/>
      <c r="E30" s="930"/>
      <c r="F30" s="930"/>
      <c r="G30" s="37"/>
    </row>
    <row r="31" spans="1:7" ht="14.4">
      <c r="A31" s="233"/>
      <c r="B31" s="233"/>
      <c r="C31" s="401"/>
      <c r="D31" s="930"/>
      <c r="E31" s="930"/>
      <c r="F31" s="930"/>
      <c r="G31" s="37"/>
    </row>
    <row r="32" spans="1:7" ht="14.4">
      <c r="A32" s="233"/>
      <c r="B32" s="233"/>
      <c r="C32" s="401"/>
      <c r="D32" s="930"/>
      <c r="E32" s="930"/>
      <c r="F32" s="930"/>
      <c r="G32" s="37"/>
    </row>
    <row r="33" spans="1:6" ht="14.4">
      <c r="A33" s="233"/>
      <c r="B33" s="233"/>
      <c r="C33" s="401"/>
      <c r="D33" s="483"/>
      <c r="E33" s="37"/>
      <c r="F33" s="517"/>
    </row>
    <row r="34" spans="1:6" ht="14.4" customHeight="1">
      <c r="A34" s="233"/>
      <c r="B34" s="515" t="s">
        <v>325</v>
      </c>
      <c r="C34" s="401"/>
      <c r="D34" s="930" t="s">
        <v>336</v>
      </c>
      <c r="E34" s="930"/>
      <c r="F34" s="930"/>
    </row>
    <row r="35" spans="1:6" ht="14.4">
      <c r="A35" s="233"/>
      <c r="B35" s="233"/>
      <c r="C35" s="401"/>
      <c r="D35" s="930"/>
      <c r="E35" s="930"/>
      <c r="F35" s="930"/>
    </row>
    <row r="36" spans="1:6" ht="14.4">
      <c r="A36" s="233"/>
      <c r="B36" s="233"/>
      <c r="C36" s="401"/>
      <c r="D36" s="668"/>
      <c r="E36" s="668"/>
      <c r="F36" s="668"/>
    </row>
    <row r="37" spans="1:6" ht="14.4">
      <c r="A37" s="233"/>
      <c r="B37" s="515" t="s">
        <v>323</v>
      </c>
      <c r="C37" s="401"/>
      <c r="D37" s="930" t="s">
        <v>337</v>
      </c>
      <c r="E37" s="930"/>
      <c r="F37" s="930"/>
    </row>
    <row r="38" spans="1:6" ht="14.4">
      <c r="A38" s="233"/>
      <c r="B38" s="233"/>
      <c r="C38" s="401"/>
      <c r="D38" s="930"/>
      <c r="E38" s="930"/>
      <c r="F38" s="930"/>
    </row>
    <row r="39" spans="1:6" ht="14.4">
      <c r="A39" s="233"/>
      <c r="B39" s="233"/>
      <c r="C39" s="401"/>
      <c r="D39" s="930"/>
      <c r="E39" s="930"/>
      <c r="F39" s="930"/>
    </row>
    <row r="40" spans="1:6" ht="14.4">
      <c r="A40" s="233"/>
      <c r="B40" s="233"/>
      <c r="C40" s="401"/>
      <c r="D40" s="930"/>
      <c r="E40" s="930"/>
      <c r="F40" s="930"/>
    </row>
    <row r="41" spans="1:6" ht="14.4">
      <c r="A41" s="233"/>
      <c r="B41" s="233"/>
      <c r="C41" s="401"/>
      <c r="D41" s="930"/>
      <c r="E41" s="930"/>
      <c r="F41" s="930"/>
    </row>
    <row r="42" spans="1:6" ht="14.4">
      <c r="A42" s="233"/>
      <c r="B42" s="233"/>
      <c r="C42" s="401"/>
      <c r="D42" s="930"/>
      <c r="E42" s="930"/>
      <c r="F42" s="930"/>
    </row>
    <row r="43" spans="1:6" ht="14.4">
      <c r="A43" s="233"/>
      <c r="B43" s="233"/>
      <c r="C43" s="401"/>
      <c r="D43" s="930"/>
      <c r="E43" s="930"/>
      <c r="F43" s="930"/>
    </row>
    <row r="44" spans="1:6" ht="14.4">
      <c r="A44" s="233"/>
      <c r="B44" s="233"/>
      <c r="C44" s="401"/>
      <c r="D44" s="930"/>
      <c r="E44" s="930"/>
      <c r="F44" s="930"/>
    </row>
    <row r="45" spans="1:6" ht="14.4">
      <c r="A45" s="233"/>
      <c r="B45" s="233"/>
      <c r="C45" s="401"/>
      <c r="D45" s="178"/>
      <c r="E45" s="178"/>
      <c r="F45" s="178"/>
    </row>
    <row r="46" spans="1:6" ht="14.4" customHeight="1">
      <c r="A46" s="233"/>
      <c r="B46" s="515" t="s">
        <v>325</v>
      </c>
      <c r="C46" s="401"/>
      <c r="D46" s="930" t="s">
        <v>338</v>
      </c>
      <c r="E46" s="930"/>
      <c r="F46" s="930"/>
    </row>
    <row r="47" spans="1:6" ht="14.4">
      <c r="A47" s="233"/>
      <c r="B47" s="233"/>
      <c r="C47" s="401"/>
      <c r="D47" s="930"/>
      <c r="E47" s="930"/>
      <c r="F47" s="930"/>
    </row>
    <row r="48" spans="1:6" ht="14.4">
      <c r="A48" s="233"/>
      <c r="B48" s="233"/>
      <c r="C48" s="401"/>
      <c r="D48" s="930"/>
      <c r="E48" s="930"/>
      <c r="F48" s="930"/>
    </row>
    <row r="49" spans="1:6" ht="14.4">
      <c r="A49" s="233"/>
      <c r="B49" s="233"/>
      <c r="C49" s="401"/>
      <c r="D49" s="930"/>
      <c r="E49" s="930"/>
      <c r="F49" s="930"/>
    </row>
    <row r="50" spans="1:6" ht="14.4">
      <c r="A50" s="233"/>
      <c r="B50" s="233"/>
      <c r="C50" s="401"/>
      <c r="D50" s="930"/>
      <c r="E50" s="930"/>
      <c r="F50" s="930"/>
    </row>
    <row r="51" spans="1:6" ht="14.4">
      <c r="A51" s="233"/>
      <c r="B51" s="233"/>
      <c r="C51" s="401"/>
      <c r="D51" s="232"/>
      <c r="E51" s="37"/>
      <c r="F51" s="37"/>
    </row>
    <row r="52" spans="1:6" ht="14.4">
      <c r="A52" s="233"/>
      <c r="B52" s="515" t="s">
        <v>325</v>
      </c>
      <c r="C52" s="401"/>
      <c r="D52" s="930" t="s">
        <v>339</v>
      </c>
      <c r="E52" s="930"/>
      <c r="F52" s="930"/>
    </row>
    <row r="53" spans="1:6" ht="14.4">
      <c r="A53" s="233"/>
      <c r="B53" s="233"/>
      <c r="C53" s="401"/>
      <c r="D53" s="930"/>
      <c r="E53" s="930"/>
      <c r="F53" s="930"/>
    </row>
    <row r="54" spans="1:6" ht="14.4">
      <c r="A54" s="233"/>
      <c r="B54" s="233"/>
      <c r="C54" s="401"/>
      <c r="D54" s="930"/>
      <c r="E54" s="930"/>
      <c r="F54" s="930"/>
    </row>
    <row r="55" spans="1:6" ht="14.4">
      <c r="A55" s="233"/>
      <c r="B55" s="233"/>
      <c r="C55" s="401"/>
      <c r="D55" s="930"/>
      <c r="E55" s="930"/>
      <c r="F55" s="930"/>
    </row>
    <row r="56" spans="1:6" ht="14.4">
      <c r="A56" s="233"/>
      <c r="B56" s="233"/>
      <c r="C56" s="401"/>
      <c r="D56" s="930"/>
      <c r="E56" s="930"/>
      <c r="F56" s="930"/>
    </row>
    <row r="57" spans="1:6" ht="15" customHeight="1">
      <c r="A57" s="233"/>
      <c r="B57" s="233"/>
      <c r="C57" s="401"/>
      <c r="D57" s="930"/>
      <c r="E57" s="930"/>
      <c r="F57" s="930"/>
    </row>
    <row r="58" spans="1:6" ht="14.4">
      <c r="A58" s="233"/>
      <c r="B58" s="233"/>
      <c r="C58" s="401"/>
      <c r="D58"/>
      <c r="E58" s="37"/>
      <c r="F58" s="37"/>
    </row>
    <row r="59" spans="1:6" ht="14.4">
      <c r="A59" s="233"/>
      <c r="B59" s="515" t="s">
        <v>323</v>
      </c>
      <c r="C59" s="401"/>
      <c r="D59" s="930" t="s">
        <v>340</v>
      </c>
      <c r="E59" s="930"/>
      <c r="F59" s="930"/>
    </row>
    <row r="60" spans="1:6" ht="14.4">
      <c r="A60" s="233"/>
      <c r="B60" s="233"/>
      <c r="C60" s="401"/>
      <c r="D60" s="930"/>
      <c r="E60" s="930"/>
      <c r="F60" s="930"/>
    </row>
    <row r="61" spans="1:6" ht="14.4">
      <c r="A61" s="233"/>
      <c r="B61" s="233"/>
      <c r="C61" s="401"/>
      <c r="D61" s="930"/>
      <c r="E61" s="930"/>
      <c r="F61" s="930"/>
    </row>
    <row r="62" spans="1:6" ht="14.4">
      <c r="A62" s="233"/>
      <c r="B62" s="233"/>
      <c r="C62" s="401"/>
      <c r="D62" s="930"/>
      <c r="E62" s="930"/>
      <c r="F62" s="930"/>
    </row>
    <row r="63" spans="1:6" ht="17.25" customHeight="1">
      <c r="A63" s="233"/>
      <c r="B63" s="233"/>
      <c r="C63" s="401"/>
      <c r="D63" s="930"/>
      <c r="E63" s="930"/>
      <c r="F63" s="930"/>
    </row>
    <row r="64" spans="1:6" ht="14.25" customHeight="1">
      <c r="A64" s="233"/>
      <c r="B64" s="515" t="s">
        <v>325</v>
      </c>
      <c r="C64" s="401"/>
      <c r="D64" s="930" t="s">
        <v>341</v>
      </c>
      <c r="E64" s="930"/>
      <c r="F64" s="930"/>
    </row>
    <row r="65" spans="1:6" ht="15" customHeight="1">
      <c r="A65" s="233"/>
      <c r="B65" s="233"/>
      <c r="C65" s="401"/>
      <c r="D65" s="930"/>
      <c r="E65" s="930"/>
      <c r="F65" s="930"/>
    </row>
    <row r="66" spans="1:6" ht="21.75" customHeight="1">
      <c r="A66" s="233"/>
      <c r="B66" s="233"/>
      <c r="C66" s="401"/>
      <c r="D66" s="930"/>
      <c r="E66" s="930"/>
      <c r="F66" s="930"/>
    </row>
    <row r="67" spans="1:6" ht="14.4">
      <c r="A67" s="233"/>
      <c r="B67" s="233"/>
      <c r="C67" s="401"/>
      <c r="D67" s="37"/>
      <c r="E67" s="37"/>
      <c r="F67" s="37"/>
    </row>
    <row r="68" spans="1:6" ht="14.25" customHeight="1">
      <c r="A68" s="233"/>
      <c r="B68" s="515" t="s">
        <v>323</v>
      </c>
      <c r="C68" s="401"/>
      <c r="D68" s="930" t="s">
        <v>342</v>
      </c>
      <c r="E68" s="930"/>
      <c r="F68" s="930"/>
    </row>
    <row r="69" spans="1:6" ht="13.2">
      <c r="A69" s="401"/>
      <c r="B69" s="401"/>
      <c r="C69" s="401"/>
      <c r="D69" s="930"/>
      <c r="E69" s="930"/>
      <c r="F69" s="930"/>
    </row>
    <row r="70" spans="1:6" ht="13.2">
      <c r="A70" s="401"/>
      <c r="B70" s="401"/>
      <c r="C70" s="401"/>
      <c r="D70" s="930"/>
      <c r="E70" s="930"/>
      <c r="F70" s="930"/>
    </row>
    <row r="71" spans="1:6" ht="14.4">
      <c r="A71" s="233"/>
      <c r="B71" s="233"/>
      <c r="C71" s="401"/>
      <c r="D71" s="668"/>
      <c r="E71" s="107" t="s">
        <v>331</v>
      </c>
      <c r="F71" s="668"/>
    </row>
    <row r="72" spans="1:6" ht="14.4">
      <c r="A72" s="233"/>
      <c r="B72" s="233"/>
      <c r="C72" s="401"/>
      <c r="D72" s="37"/>
      <c r="E72" s="37"/>
      <c r="F72" s="37"/>
    </row>
    <row r="73" spans="1:6" ht="14.4">
      <c r="A73" s="233"/>
      <c r="B73" s="515" t="s">
        <v>325</v>
      </c>
      <c r="C73" s="401"/>
      <c r="D73" s="930" t="s">
        <v>343</v>
      </c>
      <c r="E73" s="930"/>
      <c r="F73" s="930"/>
    </row>
    <row r="74" spans="1:6" ht="13.2">
      <c r="A74" s="401"/>
      <c r="B74" s="401"/>
      <c r="C74" s="401"/>
      <c r="D74" s="930"/>
      <c r="E74" s="930"/>
      <c r="F74" s="930"/>
    </row>
    <row r="75" spans="1:6" ht="13.2">
      <c r="A75" s="401"/>
      <c r="B75" s="401"/>
      <c r="C75" s="401"/>
      <c r="D75" s="930"/>
      <c r="E75" s="930"/>
      <c r="F75" s="930"/>
    </row>
    <row r="76" spans="1:6" ht="13.2">
      <c r="A76" s="401"/>
      <c r="B76" s="401"/>
      <c r="C76" s="401"/>
      <c r="D76" s="37"/>
      <c r="E76" s="37"/>
      <c r="F76" s="37"/>
    </row>
    <row r="77" spans="1:6" ht="14.4">
      <c r="A77" s="233" t="s">
        <v>249</v>
      </c>
      <c r="B77" s="515" t="s">
        <v>325</v>
      </c>
      <c r="C77" s="401"/>
      <c r="D77" s="930" t="s">
        <v>344</v>
      </c>
      <c r="E77" s="930"/>
      <c r="F77" s="930"/>
    </row>
    <row r="78" spans="1:6" ht="13.2">
      <c r="A78" s="401"/>
      <c r="B78" s="401"/>
      <c r="C78" s="401"/>
      <c r="D78" s="930"/>
      <c r="E78" s="930"/>
      <c r="F78" s="930"/>
    </row>
    <row r="79" spans="1:6" ht="13.2">
      <c r="A79" s="401"/>
      <c r="B79" s="401"/>
      <c r="C79" s="401"/>
      <c r="D79" s="37"/>
      <c r="E79" s="37"/>
      <c r="F79" s="37"/>
    </row>
    <row r="80" spans="1:6" ht="14.4">
      <c r="A80" s="233" t="s">
        <v>249</v>
      </c>
      <c r="B80" s="515" t="s">
        <v>325</v>
      </c>
      <c r="C80" s="401"/>
      <c r="D80" s="930" t="s">
        <v>345</v>
      </c>
      <c r="E80" s="930"/>
      <c r="F80" s="930"/>
    </row>
    <row r="81" spans="1:7" ht="13.2">
      <c r="A81" s="401"/>
      <c r="B81" s="401"/>
      <c r="C81" s="401"/>
      <c r="D81" s="930"/>
      <c r="E81" s="930"/>
      <c r="F81" s="930"/>
      <c r="G81" s="37"/>
    </row>
    <row r="82" spans="1:7" ht="13.2">
      <c r="A82" s="401"/>
      <c r="B82" s="401"/>
      <c r="C82" s="401"/>
      <c r="D82" s="930"/>
      <c r="E82" s="930"/>
      <c r="F82" s="930"/>
      <c r="G82" s="37"/>
    </row>
    <row r="83" spans="1:7" ht="13.2">
      <c r="A83" s="401"/>
      <c r="B83" s="401"/>
      <c r="C83" s="401"/>
      <c r="D83" s="232"/>
      <c r="E83" s="37"/>
      <c r="F83" s="37"/>
      <c r="G83" s="37"/>
    </row>
    <row r="84" spans="1:7" ht="14.4">
      <c r="A84" s="233" t="s">
        <v>249</v>
      </c>
      <c r="B84" s="515" t="s">
        <v>325</v>
      </c>
      <c r="C84" s="401"/>
      <c r="D84" s="930" t="s">
        <v>346</v>
      </c>
      <c r="E84" s="930"/>
      <c r="F84" s="930"/>
      <c r="G84" s="37"/>
    </row>
    <row r="85" spans="1:7" ht="13.2">
      <c r="A85" s="401"/>
      <c r="B85" s="401"/>
      <c r="C85" s="401"/>
      <c r="D85" s="930"/>
      <c r="E85" s="930"/>
      <c r="F85" s="930"/>
      <c r="G85" s="37"/>
    </row>
    <row r="86" spans="1:7" ht="13.2">
      <c r="A86" s="401"/>
      <c r="B86" s="401"/>
      <c r="C86" s="401"/>
      <c r="D86" s="37"/>
      <c r="E86" s="37"/>
      <c r="F86" s="37"/>
      <c r="G86" s="37"/>
    </row>
    <row r="87" spans="1:7" ht="13.2">
      <c r="A87" s="956" t="s">
        <v>347</v>
      </c>
      <c r="B87" s="956"/>
      <c r="C87" s="956"/>
      <c r="D87" s="956"/>
      <c r="E87" s="956"/>
      <c r="F87" s="956"/>
      <c r="G87" s="956"/>
    </row>
    <row r="88" spans="1:7" ht="13.2">
      <c r="A88" s="401"/>
      <c r="B88" s="401"/>
      <c r="C88" s="401"/>
      <c r="D88" s="37"/>
      <c r="E88"/>
      <c r="F88"/>
      <c r="G88"/>
    </row>
    <row r="89" spans="1:7" ht="13.65" customHeight="1">
      <c r="A89" s="401"/>
      <c r="B89" s="401"/>
      <c r="C89" s="497"/>
      <c r="D89" s="958" t="s">
        <v>348</v>
      </c>
      <c r="E89" s="958"/>
      <c r="F89" s="958"/>
      <c r="G89"/>
    </row>
    <row r="90" spans="1:7" ht="13.65" customHeight="1">
      <c r="A90" s="232"/>
      <c r="B90" s="232"/>
      <c r="C90" s="401"/>
      <c r="D90" s="930" t="s">
        <v>349</v>
      </c>
      <c r="E90" s="930"/>
      <c r="F90" s="930"/>
      <c r="G90"/>
    </row>
    <row r="91" spans="1:7" ht="13.2">
      <c r="A91" s="232"/>
      <c r="B91" s="232"/>
      <c r="C91" s="401"/>
      <c r="D91" s="37"/>
      <c r="E91"/>
      <c r="F91"/>
      <c r="G91"/>
    </row>
    <row r="92" spans="1:7" ht="14.25" customHeight="1">
      <c r="A92" s="233"/>
      <c r="B92" s="515" t="s">
        <v>323</v>
      </c>
      <c r="C92" s="401"/>
      <c r="D92" s="930" t="s">
        <v>350</v>
      </c>
      <c r="E92" s="930"/>
      <c r="F92" s="930"/>
      <c r="G92"/>
    </row>
    <row r="93" spans="1:7" ht="14.4" customHeight="1">
      <c r="A93" s="233"/>
      <c r="B93" s="401"/>
      <c r="C93" s="401"/>
      <c r="D93" s="930"/>
      <c r="E93" s="930"/>
      <c r="F93" s="930"/>
      <c r="G93"/>
    </row>
    <row r="94" spans="1:7" ht="14.4">
      <c r="A94" s="233"/>
      <c r="B94" s="233"/>
      <c r="C94" s="401"/>
      <c r="D94" s="930"/>
      <c r="E94" s="930"/>
      <c r="F94" s="930"/>
      <c r="G94"/>
    </row>
    <row r="95" spans="1:7" ht="14.4">
      <c r="A95" s="233"/>
      <c r="B95" s="233"/>
      <c r="C95" s="401"/>
      <c r="D95" s="930"/>
      <c r="E95" s="930"/>
      <c r="F95" s="930"/>
      <c r="G95"/>
    </row>
    <row r="96" spans="1:7" ht="14.4">
      <c r="A96" s="233"/>
      <c r="B96" s="233"/>
      <c r="C96" s="401"/>
      <c r="D96" s="930"/>
      <c r="E96" s="930"/>
      <c r="F96" s="930"/>
      <c r="G96"/>
    </row>
    <row r="97" spans="1:7" ht="14.4">
      <c r="A97" s="233"/>
      <c r="B97" s="233"/>
      <c r="C97" s="401"/>
      <c r="D97" s="930"/>
      <c r="E97" s="930"/>
      <c r="F97" s="930"/>
      <c r="G97"/>
    </row>
    <row r="98" spans="1:7" ht="14.4">
      <c r="A98" s="233"/>
      <c r="B98" s="233"/>
      <c r="C98" s="401"/>
      <c r="D98" s="930"/>
      <c r="E98" s="930"/>
      <c r="F98" s="930"/>
      <c r="G98"/>
    </row>
    <row r="99" spans="1:7" ht="14.4">
      <c r="A99" s="233"/>
      <c r="B99" s="233"/>
      <c r="C99" s="401"/>
      <c r="D99" s="930"/>
      <c r="E99" s="930"/>
      <c r="F99" s="930"/>
      <c r="G99"/>
    </row>
    <row r="100" spans="1:7" ht="14.4">
      <c r="A100" s="233"/>
      <c r="B100" s="233"/>
      <c r="C100" s="401"/>
      <c r="D100" s="930"/>
      <c r="E100" s="930"/>
      <c r="F100" s="930"/>
      <c r="G100"/>
    </row>
    <row r="101" spans="1:7" ht="14.4" customHeight="1">
      <c r="A101" s="233"/>
      <c r="B101" s="515" t="s">
        <v>325</v>
      </c>
      <c r="C101" s="401"/>
      <c r="D101" s="953" t="s">
        <v>351</v>
      </c>
      <c r="E101" s="953"/>
      <c r="F101" s="953"/>
      <c r="G101"/>
    </row>
    <row r="102" spans="1:7" ht="14.4">
      <c r="A102" s="233"/>
      <c r="B102" s="233"/>
      <c r="C102" s="401"/>
      <c r="D102" s="953"/>
      <c r="E102" s="953"/>
      <c r="F102" s="953"/>
      <c r="G102"/>
    </row>
    <row r="103" spans="1:7" ht="14.4">
      <c r="A103" s="233"/>
      <c r="B103" s="233"/>
      <c r="C103" s="401"/>
      <c r="D103" s="953"/>
      <c r="E103" s="953"/>
      <c r="F103" s="953"/>
      <c r="G103"/>
    </row>
    <row r="104" spans="1:7" ht="14.4">
      <c r="A104" s="233"/>
      <c r="B104" s="233"/>
      <c r="C104" s="401"/>
      <c r="D104" s="953"/>
      <c r="E104" s="953"/>
      <c r="F104" s="953"/>
      <c r="G104"/>
    </row>
    <row r="105" spans="1:7" ht="14.4">
      <c r="A105" s="233"/>
      <c r="B105" s="233"/>
      <c r="C105" s="401"/>
      <c r="D105" s="953"/>
      <c r="E105" s="953"/>
      <c r="F105" s="953"/>
      <c r="G105"/>
    </row>
    <row r="106" spans="1:7" ht="14.4">
      <c r="A106" s="233"/>
      <c r="B106" s="233"/>
      <c r="C106" s="401"/>
      <c r="D106" s="953"/>
      <c r="E106" s="953"/>
      <c r="F106" s="953"/>
      <c r="G106"/>
    </row>
    <row r="107" spans="1:7" ht="14.4">
      <c r="A107" s="233"/>
      <c r="B107" s="233"/>
      <c r="C107" s="401"/>
      <c r="D107" s="953"/>
      <c r="E107" s="953"/>
      <c r="F107" s="953"/>
      <c r="G107"/>
    </row>
    <row r="108" spans="1:7" ht="14.4">
      <c r="A108" s="233"/>
      <c r="B108" s="233"/>
      <c r="C108" s="401"/>
      <c r="D108" s="953"/>
      <c r="E108" s="953"/>
      <c r="F108" s="953"/>
      <c r="G108"/>
    </row>
    <row r="109" spans="1:7" ht="14.4">
      <c r="A109" s="233"/>
      <c r="B109" s="233"/>
      <c r="C109" s="401"/>
      <c r="D109" s="953"/>
      <c r="E109" s="953"/>
      <c r="F109" s="953"/>
      <c r="G109"/>
    </row>
    <row r="110" spans="1:7" ht="14.4">
      <c r="A110" s="233"/>
      <c r="B110" s="233"/>
      <c r="C110" s="401"/>
      <c r="D110" s="953"/>
      <c r="E110" s="953"/>
      <c r="F110" s="953"/>
      <c r="G110"/>
    </row>
    <row r="111" spans="1:7" ht="14.4">
      <c r="A111" s="233"/>
      <c r="B111" s="233"/>
      <c r="C111" s="401"/>
      <c r="D111" s="953"/>
      <c r="E111" s="953"/>
      <c r="F111" s="953"/>
      <c r="G111"/>
    </row>
    <row r="112" spans="1:7" ht="14.4">
      <c r="A112" s="233"/>
      <c r="B112" s="233"/>
      <c r="C112" s="401"/>
      <c r="D112" s="953"/>
      <c r="E112" s="953"/>
      <c r="F112" s="953"/>
      <c r="G112"/>
    </row>
    <row r="113" spans="1:7" ht="14.4">
      <c r="A113" s="233"/>
      <c r="B113" s="233"/>
      <c r="C113" s="401"/>
      <c r="D113" s="953"/>
      <c r="E113" s="953"/>
      <c r="F113" s="953"/>
      <c r="G113"/>
    </row>
    <row r="114" spans="1:7" ht="14.4">
      <c r="A114" s="233"/>
      <c r="B114" s="515" t="s">
        <v>325</v>
      </c>
      <c r="C114" s="401"/>
      <c r="D114" s="930" t="s">
        <v>352</v>
      </c>
      <c r="E114" s="930"/>
      <c r="F114" s="930"/>
      <c r="G114"/>
    </row>
    <row r="115" spans="1:7" ht="14.4">
      <c r="A115" s="233"/>
      <c r="B115" s="233"/>
      <c r="C115" s="401"/>
      <c r="D115" s="930"/>
      <c r="E115" s="930"/>
      <c r="F115" s="930"/>
      <c r="G115"/>
    </row>
    <row r="116" spans="1:7" ht="14.4">
      <c r="A116" s="233"/>
      <c r="B116" s="233"/>
      <c r="C116" s="401"/>
      <c r="D116" s="930"/>
      <c r="E116" s="930"/>
      <c r="F116" s="930"/>
      <c r="G116"/>
    </row>
    <row r="117" spans="1:7" ht="14.4">
      <c r="A117" s="233"/>
      <c r="B117" s="233"/>
      <c r="C117" s="401"/>
      <c r="D117" s="930"/>
      <c r="E117" s="930"/>
      <c r="F117" s="930"/>
      <c r="G117"/>
    </row>
    <row r="118" spans="1:7" ht="14.4">
      <c r="A118" s="233"/>
      <c r="B118" s="233"/>
      <c r="C118" s="401"/>
      <c r="D118" s="930"/>
      <c r="E118" s="930"/>
      <c r="F118" s="930"/>
      <c r="G118"/>
    </row>
    <row r="119" spans="1:7" ht="14.4">
      <c r="A119" s="233"/>
      <c r="B119" s="233"/>
      <c r="C119" s="401"/>
      <c r="D119" s="930"/>
      <c r="E119" s="930"/>
      <c r="F119" s="930"/>
      <c r="G119"/>
    </row>
    <row r="120" spans="1:7" ht="14.4">
      <c r="A120" s="233"/>
      <c r="B120" s="233"/>
      <c r="C120" s="401"/>
      <c r="D120" s="930"/>
      <c r="E120" s="930"/>
      <c r="F120" s="930"/>
      <c r="G120"/>
    </row>
    <row r="121" spans="1:7" ht="14.4">
      <c r="A121" s="233"/>
      <c r="B121" s="233"/>
      <c r="C121" s="401"/>
      <c r="D121" s="930"/>
      <c r="E121" s="930"/>
      <c r="F121" s="930"/>
      <c r="G121"/>
    </row>
    <row r="122" spans="1:7" ht="12.75" customHeight="1">
      <c r="A122" s="233"/>
      <c r="B122" s="515" t="s">
        <v>323</v>
      </c>
      <c r="C122" s="401"/>
      <c r="D122" s="930" t="s">
        <v>353</v>
      </c>
      <c r="E122" s="930"/>
      <c r="F122" s="930"/>
      <c r="G122" s="37"/>
    </row>
    <row r="123" spans="1:7" ht="13.2">
      <c r="A123" s="401"/>
      <c r="B123" s="401"/>
      <c r="C123" s="401"/>
      <c r="D123" s="930"/>
      <c r="E123" s="930"/>
      <c r="F123" s="930"/>
      <c r="G123" s="37"/>
    </row>
    <row r="124" spans="1:7" ht="13.2">
      <c r="A124" s="401"/>
      <c r="B124" s="401"/>
      <c r="C124" s="401"/>
      <c r="D124" s="930"/>
      <c r="E124" s="930"/>
      <c r="F124" s="930"/>
      <c r="G124" s="37"/>
    </row>
    <row r="125" spans="1:7" ht="13.2">
      <c r="A125" s="401"/>
      <c r="B125" s="401"/>
      <c r="C125" s="401"/>
      <c r="D125" s="930"/>
      <c r="E125" s="930"/>
      <c r="F125" s="930"/>
      <c r="G125" s="37"/>
    </row>
    <row r="126" spans="1:7" ht="27" customHeight="1">
      <c r="A126" s="401"/>
      <c r="B126" s="401"/>
      <c r="C126" s="401"/>
      <c r="D126" s="930"/>
      <c r="E126" s="930"/>
      <c r="F126" s="930"/>
      <c r="G126" s="37"/>
    </row>
    <row r="127" spans="1:7" ht="13.2">
      <c r="A127" s="401"/>
      <c r="B127" s="401"/>
      <c r="C127" s="401"/>
      <c r="D127" s="37"/>
      <c r="E127" s="37"/>
      <c r="F127" s="37"/>
      <c r="G127" s="37"/>
    </row>
    <row r="128" spans="1:7" ht="14.4">
      <c r="A128" s="233"/>
      <c r="B128" s="515" t="s">
        <v>323</v>
      </c>
      <c r="C128" s="401"/>
      <c r="D128" s="930" t="s">
        <v>354</v>
      </c>
      <c r="E128" s="930"/>
      <c r="F128" s="930"/>
      <c r="G128" s="37"/>
    </row>
    <row r="129" spans="1:7" s="271" customFormat="1" ht="14.1" customHeight="1">
      <c r="A129" s="859"/>
      <c r="B129" s="859"/>
      <c r="C129" s="859"/>
      <c r="D129" s="930"/>
      <c r="E129" s="930"/>
      <c r="F129" s="930"/>
      <c r="G129" s="860"/>
    </row>
    <row r="130" spans="1:7" ht="14.1" customHeight="1">
      <c r="A130" s="401"/>
      <c r="B130" s="401"/>
      <c r="C130" s="401"/>
      <c r="D130" s="930"/>
      <c r="E130" s="930"/>
      <c r="F130" s="930"/>
      <c r="G130" s="37"/>
    </row>
    <row r="131" spans="1:7" ht="14.1" customHeight="1">
      <c r="A131" s="401"/>
      <c r="B131" s="401"/>
      <c r="C131" s="401"/>
      <c r="D131" s="930"/>
      <c r="E131" s="930"/>
      <c r="F131" s="930"/>
      <c r="G131" s="37"/>
    </row>
    <row r="132" spans="1:7" ht="14.1" customHeight="1">
      <c r="A132" s="401"/>
      <c r="B132" s="401"/>
      <c r="C132" s="401"/>
      <c r="D132" s="930"/>
      <c r="E132" s="930"/>
      <c r="F132" s="930"/>
      <c r="G132" s="37"/>
    </row>
    <row r="133" spans="1:7" ht="14.1" customHeight="1">
      <c r="A133" s="401"/>
      <c r="B133" s="401"/>
      <c r="C133" s="401"/>
      <c r="D133" s="930"/>
      <c r="E133" s="930"/>
      <c r="F133" s="930"/>
      <c r="G133" s="37"/>
    </row>
    <row r="134" spans="1:7" ht="14.1" customHeight="1">
      <c r="A134" s="401"/>
      <c r="B134" s="401"/>
      <c r="C134" s="401"/>
      <c r="D134" s="930"/>
      <c r="E134" s="930"/>
      <c r="F134" s="930"/>
      <c r="G134"/>
    </row>
    <row r="135" spans="1:7" ht="14.1" customHeight="1">
      <c r="A135" s="401"/>
      <c r="B135" s="401"/>
      <c r="C135" s="401"/>
      <c r="D135" s="930"/>
      <c r="E135" s="930"/>
      <c r="F135" s="930"/>
      <c r="G135"/>
    </row>
    <row r="136" spans="1:7" ht="14.1" customHeight="1">
      <c r="A136" s="401"/>
      <c r="B136" s="401"/>
      <c r="C136" s="401"/>
      <c r="D136" s="930"/>
      <c r="E136" s="930"/>
      <c r="F136" s="930"/>
      <c r="G136"/>
    </row>
    <row r="137" spans="1:7" ht="14.1" customHeight="1">
      <c r="A137" s="401"/>
      <c r="B137" s="401"/>
      <c r="C137" s="401"/>
      <c r="D137" s="930"/>
      <c r="E137" s="930"/>
      <c r="F137" s="930"/>
      <c r="G137"/>
    </row>
    <row r="138" spans="1:7" ht="17.25" customHeight="1">
      <c r="A138" s="401"/>
      <c r="B138" s="401"/>
      <c r="C138" s="401"/>
      <c r="D138" s="930"/>
      <c r="E138" s="930"/>
      <c r="F138" s="930"/>
      <c r="G138"/>
    </row>
    <row r="139" spans="1:7" ht="25.5" hidden="1" customHeight="1">
      <c r="A139" s="401"/>
      <c r="B139" s="401"/>
      <c r="C139" s="401"/>
      <c r="D139" s="930"/>
      <c r="E139" s="930"/>
      <c r="F139" s="930"/>
      <c r="G139"/>
    </row>
    <row r="140" spans="1:7" ht="14.1" customHeight="1">
      <c r="A140" s="401"/>
      <c r="B140" s="401"/>
      <c r="C140" s="401"/>
      <c r="D140" s="37"/>
      <c r="E140" s="37"/>
      <c r="F140" s="37"/>
      <c r="G140"/>
    </row>
    <row r="141" spans="1:7" ht="14.1" customHeight="1">
      <c r="A141" s="401"/>
      <c r="B141" s="515" t="s">
        <v>325</v>
      </c>
      <c r="C141" s="401"/>
      <c r="D141" s="930" t="s">
        <v>355</v>
      </c>
      <c r="E141" s="930"/>
      <c r="F141" s="930"/>
      <c r="G141"/>
    </row>
    <row r="142" spans="1:7" ht="14.1" customHeight="1">
      <c r="A142" s="401"/>
      <c r="B142" s="401"/>
      <c r="C142" s="401"/>
      <c r="D142" s="930"/>
      <c r="E142" s="930"/>
      <c r="F142" s="930"/>
      <c r="G142"/>
    </row>
    <row r="143" spans="1:7" ht="14.1" customHeight="1">
      <c r="A143" s="401"/>
      <c r="B143" s="401"/>
      <c r="C143" s="401"/>
      <c r="D143" s="930"/>
      <c r="E143" s="930"/>
      <c r="F143" s="930"/>
      <c r="G143"/>
    </row>
    <row r="144" spans="1:7" ht="14.1" customHeight="1">
      <c r="A144" s="401"/>
      <c r="B144" s="401"/>
      <c r="C144" s="401"/>
      <c r="D144" s="930"/>
      <c r="E144" s="930"/>
      <c r="F144" s="930"/>
      <c r="G144"/>
    </row>
    <row r="145" spans="1:7" ht="14.1" customHeight="1">
      <c r="A145" s="401"/>
      <c r="B145" s="401"/>
      <c r="C145" s="401"/>
      <c r="D145" s="930"/>
      <c r="E145" s="930"/>
      <c r="F145" s="930"/>
      <c r="G145"/>
    </row>
    <row r="146" spans="1:7" ht="14.1" customHeight="1">
      <c r="A146" s="18"/>
      <c r="B146" s="18"/>
      <c r="C146" s="401"/>
      <c r="D146" s="930"/>
      <c r="E146" s="930"/>
      <c r="F146" s="930"/>
      <c r="G146"/>
    </row>
    <row r="147" spans="1:7" ht="14.1" customHeight="1">
      <c r="A147" s="18"/>
      <c r="B147" s="18"/>
      <c r="C147" s="401"/>
      <c r="D147" s="930"/>
      <c r="E147" s="930"/>
      <c r="F147" s="930"/>
      <c r="G147"/>
    </row>
    <row r="148" spans="1:7" ht="14.1" customHeight="1">
      <c r="A148" s="18"/>
      <c r="B148" s="18"/>
      <c r="C148" s="401"/>
      <c r="D148" s="930"/>
      <c r="E148" s="930"/>
      <c r="F148" s="930"/>
      <c r="G148"/>
    </row>
    <row r="149" spans="1:7" ht="14.1" customHeight="1">
      <c r="A149" s="18"/>
      <c r="B149" s="18"/>
      <c r="C149" s="401"/>
      <c r="D149" s="930"/>
      <c r="E149" s="930"/>
      <c r="F149" s="930"/>
      <c r="G149"/>
    </row>
    <row r="150" spans="1:7" ht="14.1" customHeight="1">
      <c r="A150" s="18"/>
      <c r="B150" s="18"/>
      <c r="C150" s="401"/>
      <c r="D150" s="930"/>
      <c r="E150" s="930"/>
      <c r="F150" s="930"/>
      <c r="G150"/>
    </row>
    <row r="151" spans="1:7" ht="14.1" customHeight="1">
      <c r="A151" s="18"/>
      <c r="B151" s="18"/>
      <c r="C151" s="401"/>
      <c r="D151" s="930"/>
      <c r="E151" s="930"/>
      <c r="F151" s="930"/>
      <c r="G151"/>
    </row>
    <row r="152" spans="1:7" ht="14.1" customHeight="1">
      <c r="A152" s="18"/>
      <c r="B152" s="18"/>
      <c r="C152" s="401"/>
      <c r="D152" s="930"/>
      <c r="E152" s="930"/>
      <c r="F152" s="930"/>
      <c r="G152"/>
    </row>
    <row r="153" spans="1:7" ht="14.1" customHeight="1">
      <c r="A153" s="18"/>
      <c r="B153" s="18"/>
      <c r="C153" s="401"/>
      <c r="D153" s="930"/>
      <c r="E153" s="930"/>
      <c r="F153" s="930"/>
      <c r="G153"/>
    </row>
    <row r="154" spans="1:7" ht="14.1" customHeight="1">
      <c r="A154" s="18"/>
      <c r="B154" s="18"/>
      <c r="C154" s="401"/>
      <c r="D154" s="930"/>
      <c r="E154" s="930"/>
      <c r="F154" s="930"/>
      <c r="G154"/>
    </row>
    <row r="155" spans="1:7" ht="14.1" customHeight="1">
      <c r="A155" s="18"/>
      <c r="B155" s="18"/>
      <c r="C155" s="401"/>
      <c r="D155" s="930"/>
      <c r="E155" s="930"/>
      <c r="F155" s="930"/>
      <c r="G155"/>
    </row>
    <row r="156" spans="1:7" ht="14.1" customHeight="1">
      <c r="A156" s="18"/>
      <c r="B156" s="18"/>
      <c r="C156" s="401"/>
      <c r="D156" s="930"/>
      <c r="E156" s="930"/>
      <c r="F156" s="930"/>
      <c r="G156"/>
    </row>
    <row r="157" spans="1:7" ht="14.1" customHeight="1">
      <c r="A157" s="18"/>
      <c r="B157" s="18"/>
      <c r="C157" s="401"/>
      <c r="D157" s="930"/>
      <c r="E157" s="930"/>
      <c r="F157" s="930"/>
      <c r="G157"/>
    </row>
    <row r="158" spans="1:7" ht="14.1" customHeight="1">
      <c r="A158" s="18"/>
      <c r="B158" s="18"/>
      <c r="C158" s="401"/>
      <c r="D158" s="930"/>
      <c r="E158" s="930"/>
      <c r="F158" s="930"/>
      <c r="G158"/>
    </row>
    <row r="159" spans="1:7" ht="14.1" customHeight="1">
      <c r="A159" s="18"/>
      <c r="B159" s="18"/>
      <c r="C159" s="401"/>
      <c r="D159" s="987" t="s">
        <v>356</v>
      </c>
      <c r="E159" s="987"/>
      <c r="F159" s="987"/>
      <c r="G159"/>
    </row>
    <row r="160" spans="1:7" ht="14.1" customHeight="1">
      <c r="A160" s="18"/>
      <c r="B160" s="18"/>
      <c r="C160" s="401"/>
      <c r="D160" s="232"/>
      <c r="E160" s="37"/>
      <c r="F160" s="37"/>
      <c r="G160"/>
    </row>
    <row r="161" spans="1:7" ht="14.1" customHeight="1">
      <c r="A161" s="233"/>
      <c r="B161" s="515" t="s">
        <v>323</v>
      </c>
      <c r="C161" s="401"/>
      <c r="D161" s="953" t="s">
        <v>357</v>
      </c>
      <c r="E161" s="989"/>
      <c r="F161" s="989"/>
      <c r="G161"/>
    </row>
    <row r="162" spans="1:7" ht="14.1" customHeight="1">
      <c r="A162" s="233"/>
      <c r="B162" s="18"/>
      <c r="C162" s="401"/>
      <c r="D162" s="953"/>
      <c r="E162" s="989"/>
      <c r="F162" s="989"/>
      <c r="G162"/>
    </row>
    <row r="163" spans="1:7" ht="14.1" customHeight="1">
      <c r="A163" s="233"/>
      <c r="B163" s="18"/>
      <c r="C163" s="401"/>
      <c r="D163" s="989"/>
      <c r="E163" s="989"/>
      <c r="F163" s="989"/>
      <c r="G163"/>
    </row>
    <row r="164" spans="1:7" ht="14.1" customHeight="1">
      <c r="A164" s="233"/>
      <c r="B164" s="18"/>
      <c r="C164" s="401"/>
      <c r="D164" s="989"/>
      <c r="E164" s="989"/>
      <c r="F164" s="989"/>
      <c r="G164"/>
    </row>
    <row r="165" spans="1:7" ht="14.1" customHeight="1">
      <c r="A165" s="18"/>
      <c r="B165" s="18"/>
      <c r="C165" s="401"/>
      <c r="D165" s="989"/>
      <c r="E165" s="989"/>
      <c r="F165" s="989"/>
      <c r="G165"/>
    </row>
    <row r="166" spans="1:7" ht="14.1" customHeight="1">
      <c r="A166" s="18"/>
      <c r="B166" s="18"/>
      <c r="C166" s="401"/>
      <c r="D166" s="232"/>
      <c r="E166" s="37"/>
      <c r="F166" s="37"/>
      <c r="G166"/>
    </row>
    <row r="167" spans="1:7" ht="14.1" customHeight="1">
      <c r="A167" s="233"/>
      <c r="B167" s="515" t="s">
        <v>323</v>
      </c>
      <c r="C167" s="401"/>
      <c r="D167" s="989" t="s">
        <v>358</v>
      </c>
      <c r="E167" s="989"/>
      <c r="F167" s="989"/>
      <c r="G167"/>
    </row>
    <row r="168" spans="1:7" ht="14.1" customHeight="1">
      <c r="A168" s="18"/>
      <c r="B168" s="18"/>
      <c r="C168" s="401"/>
      <c r="D168" s="989"/>
      <c r="E168" s="989"/>
      <c r="F168" s="989"/>
      <c r="G168" s="37"/>
    </row>
    <row r="169" spans="1:7" ht="14.1" customHeight="1">
      <c r="A169" s="18"/>
      <c r="B169" s="18"/>
      <c r="C169" s="401"/>
      <c r="D169" s="989"/>
      <c r="E169" s="989"/>
      <c r="F169" s="989"/>
      <c r="G169" s="37"/>
    </row>
    <row r="170" spans="1:7" ht="14.1" customHeight="1">
      <c r="A170" s="18"/>
      <c r="B170" s="18"/>
      <c r="C170" s="401"/>
      <c r="D170" s="989"/>
      <c r="E170" s="989"/>
      <c r="F170" s="989"/>
      <c r="G170" s="37"/>
    </row>
    <row r="171" spans="1:7" ht="14.1" customHeight="1">
      <c r="A171" s="18"/>
      <c r="B171" s="18"/>
      <c r="C171" s="401"/>
      <c r="D171" s="232"/>
      <c r="E171" s="37"/>
      <c r="F171" s="37"/>
      <c r="G171" s="37"/>
    </row>
    <row r="172" spans="1:7" ht="14.1" customHeight="1">
      <c r="A172" s="299"/>
      <c r="B172" s="515" t="s">
        <v>325</v>
      </c>
      <c r="C172" s="299"/>
      <c r="D172" s="985" t="s">
        <v>359</v>
      </c>
      <c r="E172" s="985"/>
      <c r="F172" s="985"/>
      <c r="G172" s="295"/>
    </row>
    <row r="173" spans="1:7" ht="14.1" customHeight="1">
      <c r="A173" s="299"/>
      <c r="B173" s="299"/>
      <c r="C173" s="299"/>
      <c r="D173" s="985"/>
      <c r="E173" s="985"/>
      <c r="F173" s="985"/>
      <c r="G173" s="295"/>
    </row>
    <row r="174" spans="1:7" ht="14.1" customHeight="1">
      <c r="A174" s="299"/>
      <c r="B174" s="299"/>
      <c r="C174" s="299"/>
      <c r="D174" s="985"/>
      <c r="E174" s="985"/>
      <c r="F174" s="985"/>
      <c r="G174" s="295"/>
    </row>
    <row r="175" spans="1:7" ht="13.2">
      <c r="A175" s="299"/>
      <c r="B175" s="299"/>
      <c r="C175" s="299"/>
      <c r="D175" s="301"/>
      <c r="E175" s="295"/>
      <c r="F175" s="295"/>
      <c r="G175" s="295"/>
    </row>
    <row r="176" spans="1:7" ht="13.2">
      <c r="A176" s="956" t="s">
        <v>360</v>
      </c>
      <c r="B176" s="956"/>
      <c r="C176" s="956"/>
      <c r="D176" s="956"/>
      <c r="E176" s="956"/>
      <c r="F176" s="956"/>
      <c r="G176" s="956"/>
    </row>
    <row r="177" spans="1:6" ht="13.2">
      <c r="A177" s="401"/>
      <c r="B177" s="401"/>
      <c r="C177" s="401"/>
      <c r="D177" s="232"/>
      <c r="E177" s="37"/>
      <c r="F177" s="37"/>
    </row>
    <row r="178" spans="1:6" ht="13.2">
      <c r="A178" s="401"/>
      <c r="B178" s="401"/>
      <c r="C178" s="497"/>
      <c r="D178" s="965" t="s">
        <v>361</v>
      </c>
      <c r="E178" s="965"/>
      <c r="F178" s="965"/>
    </row>
    <row r="179" spans="1:6" ht="13.2">
      <c r="A179" s="167"/>
      <c r="B179" s="167"/>
      <c r="C179" s="167"/>
      <c r="D179" s="986" t="s">
        <v>362</v>
      </c>
      <c r="E179" s="986"/>
      <c r="F179" s="986"/>
    </row>
    <row r="180" spans="1:6" ht="13.2">
      <c r="A180" s="168"/>
      <c r="B180" s="168"/>
      <c r="C180" s="168"/>
      <c r="D180" s="37"/>
      <c r="E180" s="37"/>
      <c r="F180" s="37"/>
    </row>
    <row r="181" spans="1:6" ht="14.4">
      <c r="A181" s="233"/>
      <c r="B181" s="515" t="s">
        <v>325</v>
      </c>
      <c r="C181" s="401"/>
      <c r="D181" s="955" t="s">
        <v>363</v>
      </c>
      <c r="E181" s="955"/>
      <c r="F181" s="955"/>
    </row>
    <row r="182" spans="1:6" ht="14.4">
      <c r="A182" s="233"/>
      <c r="B182" s="401"/>
      <c r="C182" s="401"/>
      <c r="D182" s="266"/>
      <c r="E182" s="266"/>
      <c r="F182" s="266"/>
    </row>
    <row r="183" spans="1:6" ht="14.4">
      <c r="A183" s="233"/>
      <c r="B183" s="515" t="s">
        <v>325</v>
      </c>
      <c r="C183" s="401"/>
      <c r="D183" s="955" t="s">
        <v>364</v>
      </c>
      <c r="E183" s="955"/>
      <c r="F183" s="955"/>
    </row>
    <row r="184" spans="1:6" ht="14.4">
      <c r="A184" s="233"/>
      <c r="B184" s="401"/>
      <c r="C184" s="401"/>
      <c r="D184" s="266"/>
      <c r="E184" s="266"/>
      <c r="F184" s="266"/>
    </row>
    <row r="185" spans="1:6" ht="14.4">
      <c r="A185" s="233"/>
      <c r="B185" s="515" t="s">
        <v>325</v>
      </c>
      <c r="C185" s="401"/>
      <c r="D185" s="988" t="s">
        <v>365</v>
      </c>
      <c r="E185" s="988"/>
      <c r="F185" s="988"/>
    </row>
    <row r="186" spans="1:6" ht="13.65" customHeight="1">
      <c r="A186" s="233"/>
      <c r="B186" s="401"/>
      <c r="C186" s="401"/>
      <c r="D186" s="37" t="s">
        <v>14</v>
      </c>
      <c r="E186" s="930" t="s">
        <v>366</v>
      </c>
      <c r="F186" s="930"/>
    </row>
    <row r="187" spans="1:6" ht="14.4">
      <c r="A187" s="233"/>
      <c r="B187" s="401"/>
      <c r="C187" s="401"/>
      <c r="D187" s="668"/>
      <c r="E187" s="930"/>
      <c r="F187" s="930"/>
    </row>
    <row r="188" spans="1:6" ht="14.4">
      <c r="A188" s="233"/>
      <c r="B188" s="401"/>
      <c r="C188" s="401"/>
      <c r="D188" s="668"/>
      <c r="E188" s="930"/>
      <c r="F188" s="930"/>
    </row>
    <row r="189" spans="1:6" ht="14.4">
      <c r="A189" s="233"/>
      <c r="B189" s="401"/>
      <c r="C189" s="401"/>
      <c r="D189"/>
      <c r="E189" s="930"/>
      <c r="F189" s="930"/>
    </row>
    <row r="190" spans="1:6" ht="13.65" customHeight="1">
      <c r="A190" s="233"/>
      <c r="B190" s="401"/>
      <c r="C190" s="401"/>
      <c r="D190" s="668" t="s">
        <v>27</v>
      </c>
      <c r="E190" s="930" t="s">
        <v>367</v>
      </c>
      <c r="F190" s="930"/>
    </row>
    <row r="191" spans="1:6" ht="13.65" customHeight="1">
      <c r="A191" s="233"/>
      <c r="B191" s="401"/>
      <c r="C191" s="401"/>
      <c r="D191" s="668"/>
      <c r="E191" s="930"/>
      <c r="F191" s="930"/>
    </row>
    <row r="192" spans="1:6" ht="13.65" customHeight="1">
      <c r="A192" s="233"/>
      <c r="B192" s="401"/>
      <c r="C192" s="401"/>
      <c r="D192" s="668"/>
      <c r="E192" s="930"/>
      <c r="F192" s="930"/>
    </row>
    <row r="193" spans="1:7" ht="13.65" customHeight="1">
      <c r="A193" s="233"/>
      <c r="B193" s="401"/>
      <c r="C193" s="401"/>
      <c r="D193" s="668"/>
      <c r="E193" s="930"/>
      <c r="F193" s="930"/>
      <c r="G193" s="37"/>
    </row>
    <row r="194" spans="1:7" ht="13.65" customHeight="1">
      <c r="A194" s="233"/>
      <c r="B194" s="401"/>
      <c r="C194" s="401"/>
      <c r="D194" s="668"/>
      <c r="E194" s="930"/>
      <c r="F194" s="930"/>
      <c r="G194" s="37"/>
    </row>
    <row r="195" spans="1:7" ht="14.4">
      <c r="A195" s="233"/>
      <c r="B195" s="401"/>
      <c r="C195" s="401"/>
      <c r="D195"/>
      <c r="E195" s="930"/>
      <c r="F195" s="930"/>
      <c r="G195" s="37"/>
    </row>
    <row r="196" spans="1:7" ht="14.4">
      <c r="A196" s="233"/>
      <c r="B196" s="401"/>
      <c r="C196" s="401"/>
      <c r="D196"/>
      <c r="E196" s="930"/>
      <c r="F196" s="930"/>
      <c r="G196" s="37"/>
    </row>
    <row r="197" spans="1:7" ht="13.2">
      <c r="A197" s="401"/>
      <c r="B197" s="401"/>
      <c r="C197" s="401"/>
      <c r="D197" s="37"/>
      <c r="E197" s="37"/>
      <c r="F197" s="37"/>
      <c r="G197" s="37"/>
    </row>
    <row r="198" spans="1:7" ht="14.4">
      <c r="A198" s="233"/>
      <c r="B198" s="515" t="s">
        <v>323</v>
      </c>
      <c r="C198" s="401"/>
      <c r="D198" s="930" t="s">
        <v>368</v>
      </c>
      <c r="E198" s="930"/>
      <c r="F198" s="930"/>
      <c r="G198" s="37"/>
    </row>
    <row r="199" spans="1:7" ht="14.4">
      <c r="A199" s="233"/>
      <c r="B199" s="233"/>
      <c r="C199" s="401"/>
      <c r="D199" s="930"/>
      <c r="E199" s="930"/>
      <c r="F199" s="930"/>
      <c r="G199" s="37"/>
    </row>
    <row r="200" spans="1:7" ht="14.4">
      <c r="A200" s="233"/>
      <c r="B200" s="233"/>
      <c r="C200" s="401"/>
      <c r="D200" s="930"/>
      <c r="E200" s="930"/>
      <c r="F200" s="930"/>
      <c r="G200" s="37"/>
    </row>
    <row r="201" spans="1:7" ht="14.4">
      <c r="A201" s="233"/>
      <c r="B201" s="233"/>
      <c r="C201" s="401"/>
      <c r="D201" s="930"/>
      <c r="E201" s="930"/>
      <c r="F201" s="930"/>
      <c r="G201" s="37"/>
    </row>
    <row r="202" spans="1:7" ht="13.2">
      <c r="A202" s="401"/>
      <c r="B202" s="401"/>
      <c r="C202" s="401"/>
      <c r="D202" s="987" t="s">
        <v>369</v>
      </c>
      <c r="E202" s="987"/>
      <c r="F202" s="987"/>
      <c r="G202" s="37"/>
    </row>
    <row r="203" spans="1:7" ht="13.2">
      <c r="A203" s="401"/>
      <c r="B203" s="401"/>
      <c r="C203" s="401"/>
      <c r="D203" s="530"/>
      <c r="E203" s="530"/>
      <c r="F203" s="530"/>
      <c r="G203" s="37"/>
    </row>
    <row r="204" spans="1:7" ht="14.4">
      <c r="A204" s="233"/>
      <c r="B204" s="515" t="s">
        <v>325</v>
      </c>
      <c r="C204" s="401"/>
      <c r="D204" s="952" t="s">
        <v>370</v>
      </c>
      <c r="E204" s="952"/>
      <c r="F204" s="952"/>
      <c r="G204" s="37"/>
    </row>
    <row r="205" spans="1:7" ht="13.2">
      <c r="A205" s="401"/>
      <c r="B205" s="401"/>
      <c r="C205" s="401"/>
      <c r="D205" s="37"/>
      <c r="E205" s="37"/>
      <c r="F205" s="37"/>
      <c r="G205" s="37"/>
    </row>
    <row r="206" spans="1:7" ht="13.2">
      <c r="A206" s="956" t="s">
        <v>371</v>
      </c>
      <c r="B206" s="956"/>
      <c r="C206" s="956"/>
      <c r="D206" s="956"/>
      <c r="E206" s="956"/>
      <c r="F206" s="956"/>
      <c r="G206" s="956"/>
    </row>
    <row r="207" spans="1:7" ht="13.2">
      <c r="A207" s="401"/>
      <c r="B207" s="401"/>
      <c r="C207" s="401"/>
      <c r="D207" s="37"/>
      <c r="E207" s="37"/>
      <c r="F207" s="37"/>
      <c r="G207" s="37"/>
    </row>
    <row r="208" spans="1:7" ht="13.2">
      <c r="A208" s="401"/>
      <c r="B208" s="401"/>
      <c r="C208" s="498"/>
      <c r="D208" s="965" t="s">
        <v>372</v>
      </c>
      <c r="E208" s="965"/>
      <c r="F208" s="965"/>
      <c r="G208" s="37"/>
    </row>
    <row r="209" spans="1:6" ht="13.2">
      <c r="A209" s="499"/>
      <c r="B209" s="499"/>
      <c r="C209" s="498"/>
      <c r="D209" s="965" t="s">
        <v>373</v>
      </c>
      <c r="E209" s="965"/>
      <c r="F209" s="965"/>
    </row>
    <row r="210" spans="1:6" ht="13.2">
      <c r="A210" s="167"/>
      <c r="B210" s="167"/>
      <c r="C210" s="167"/>
      <c r="D210" s="955" t="s">
        <v>374</v>
      </c>
      <c r="E210" s="955"/>
      <c r="F210" s="955"/>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4" customHeight="1">
      <c r="A224" s="233"/>
      <c r="B224" s="515" t="s">
        <v>325</v>
      </c>
      <c r="C224" s="168"/>
      <c r="D224" s="952" t="s">
        <v>377</v>
      </c>
      <c r="E224" s="952"/>
      <c r="F224" s="952"/>
    </row>
    <row r="225" spans="1:6" ht="14.4">
      <c r="A225" s="233"/>
      <c r="B225" s="401"/>
      <c r="C225" s="168"/>
      <c r="D225" s="955" t="s">
        <v>378</v>
      </c>
      <c r="E225" s="955"/>
      <c r="F225" s="955"/>
    </row>
    <row r="226" spans="1:6" ht="14.4">
      <c r="A226" s="233"/>
      <c r="B226" s="233"/>
      <c r="C226" s="168"/>
      <c r="D226" s="84" t="s">
        <v>379</v>
      </c>
      <c r="E226" s="963" t="s">
        <v>380</v>
      </c>
      <c r="F226" s="963"/>
    </row>
    <row r="227" spans="1:6" ht="13.2">
      <c r="A227" s="401"/>
      <c r="B227" s="401"/>
      <c r="C227" s="401"/>
      <c r="D227" s="955" t="s">
        <v>381</v>
      </c>
      <c r="E227" s="955"/>
      <c r="F227" s="955"/>
    </row>
    <row r="228" spans="1:6" ht="13.2">
      <c r="A228" s="401"/>
      <c r="B228" s="401"/>
      <c r="C228" s="401"/>
      <c r="D228" s="37"/>
      <c r="E228" s="37"/>
      <c r="F228" s="37"/>
    </row>
    <row r="229" spans="1:6" ht="14.4">
      <c r="A229" s="233"/>
      <c r="B229" s="515" t="s">
        <v>323</v>
      </c>
      <c r="C229" s="401"/>
      <c r="D229" s="955" t="s">
        <v>382</v>
      </c>
      <c r="E229" s="955"/>
      <c r="F229" s="955"/>
    </row>
    <row r="230" spans="1:6" ht="14.4">
      <c r="A230" s="233"/>
      <c r="B230" s="401"/>
      <c r="C230" s="401"/>
      <c r="D230" s="952" t="s">
        <v>378</v>
      </c>
      <c r="E230" s="952"/>
      <c r="F230" s="952"/>
    </row>
    <row r="231" spans="1:6" ht="14.4">
      <c r="A231" s="233"/>
      <c r="B231" s="233"/>
      <c r="C231" s="401"/>
      <c r="D231" s="56" t="s">
        <v>383</v>
      </c>
      <c r="E231" s="963" t="s">
        <v>384</v>
      </c>
      <c r="F231" s="963"/>
    </row>
    <row r="232" spans="1:6" ht="13.2">
      <c r="A232" s="401"/>
      <c r="B232" s="401"/>
      <c r="C232" s="401"/>
      <c r="D232" s="955" t="s">
        <v>385</v>
      </c>
      <c r="E232" s="955"/>
      <c r="F232" s="955"/>
    </row>
    <row r="233" spans="1:6" ht="13.2">
      <c r="A233" s="401"/>
      <c r="B233" s="401"/>
      <c r="C233" s="401"/>
      <c r="D233" s="37"/>
      <c r="E233" s="37"/>
      <c r="F233" s="37"/>
    </row>
    <row r="234" spans="1:6" ht="14.4">
      <c r="A234" s="233"/>
      <c r="B234" s="515" t="s">
        <v>325</v>
      </c>
      <c r="C234" s="401"/>
      <c r="D234" s="955" t="s">
        <v>386</v>
      </c>
      <c r="E234" s="955"/>
      <c r="F234" s="955"/>
    </row>
    <row r="235" spans="1:6" ht="14.4">
      <c r="A235" s="233"/>
      <c r="B235" s="401"/>
      <c r="C235" s="401"/>
      <c r="D235" s="232" t="s">
        <v>378</v>
      </c>
      <c r="E235" s="37"/>
      <c r="F235" s="37"/>
    </row>
    <row r="236" spans="1:6" ht="14.4">
      <c r="A236" s="233"/>
      <c r="B236" s="233"/>
      <c r="C236" s="401"/>
      <c r="D236" s="56" t="s">
        <v>379</v>
      </c>
      <c r="E236" s="963" t="s">
        <v>387</v>
      </c>
      <c r="F236" s="963"/>
    </row>
    <row r="237" spans="1:6" ht="14.4">
      <c r="A237" s="233"/>
      <c r="B237" s="233"/>
      <c r="C237" s="401"/>
      <c r="D237" s="930" t="s">
        <v>388</v>
      </c>
      <c r="E237" s="930"/>
      <c r="F237" s="930"/>
    </row>
    <row r="238" spans="1:6" ht="13.2">
      <c r="A238" s="401"/>
      <c r="B238" s="401"/>
      <c r="C238" s="401"/>
      <c r="D238" s="930"/>
      <c r="E238" s="930"/>
      <c r="F238" s="930"/>
    </row>
    <row r="239" spans="1:6" ht="13.2">
      <c r="A239" s="401"/>
      <c r="B239" s="401"/>
      <c r="C239" s="401"/>
      <c r="D239" s="930"/>
      <c r="E239" s="930"/>
      <c r="F239" s="930"/>
    </row>
    <row r="240" spans="1:6" ht="13.2">
      <c r="A240" s="401"/>
      <c r="B240" s="401"/>
      <c r="C240" s="401"/>
      <c r="D240" s="930"/>
      <c r="E240" s="930"/>
      <c r="F240" s="930"/>
    </row>
    <row r="241" spans="1:6" ht="13.2">
      <c r="A241" s="401"/>
      <c r="B241" s="401"/>
      <c r="C241" s="401"/>
      <c r="D241" s="930"/>
      <c r="E241" s="930"/>
      <c r="F241" s="930"/>
    </row>
    <row r="242" spans="1:6" ht="13.2">
      <c r="A242" s="401"/>
      <c r="B242" s="401"/>
      <c r="C242" s="401"/>
      <c r="D242" s="930" t="s">
        <v>389</v>
      </c>
      <c r="E242" s="930"/>
      <c r="F242" s="930"/>
    </row>
    <row r="243" spans="1:6" ht="13.2">
      <c r="A243" s="401"/>
      <c r="B243" s="401"/>
      <c r="C243" s="401"/>
      <c r="D243" s="232"/>
      <c r="E243" s="37"/>
      <c r="F243" s="37"/>
    </row>
    <row r="244" spans="1:6" ht="14.4">
      <c r="A244" s="233"/>
      <c r="B244" s="515" t="s">
        <v>325</v>
      </c>
      <c r="C244" s="401"/>
      <c r="D244" s="955" t="s">
        <v>390</v>
      </c>
      <c r="E244" s="955"/>
      <c r="F244" s="955"/>
    </row>
    <row r="245" spans="1:6" ht="14.4">
      <c r="A245" s="233"/>
      <c r="B245" s="401"/>
      <c r="C245" s="401"/>
      <c r="D245" s="955" t="s">
        <v>378</v>
      </c>
      <c r="E245" s="955"/>
      <c r="F245" s="955"/>
    </row>
    <row r="246" spans="1:6" ht="14.4">
      <c r="A246" s="233"/>
      <c r="B246" s="233"/>
      <c r="C246" s="401"/>
      <c r="D246" s="56" t="s">
        <v>379</v>
      </c>
      <c r="E246" s="963" t="s">
        <v>391</v>
      </c>
      <c r="F246" s="963"/>
    </row>
    <row r="247" spans="1:6" ht="13.2">
      <c r="A247" s="401"/>
      <c r="B247" s="401"/>
      <c r="C247" s="401"/>
      <c r="D247" s="955" t="s">
        <v>392</v>
      </c>
      <c r="E247" s="955"/>
      <c r="F247" s="955"/>
    </row>
    <row r="248" spans="1:6" ht="13.2">
      <c r="A248" s="401"/>
      <c r="B248" s="401"/>
      <c r="C248" s="401"/>
      <c r="D248" s="266"/>
      <c r="E248" s="266"/>
      <c r="F248" s="266"/>
    </row>
    <row r="249" spans="1:6" ht="14.4">
      <c r="A249" s="233"/>
      <c r="B249" s="515" t="s">
        <v>325</v>
      </c>
      <c r="C249" s="401"/>
      <c r="D249" s="955" t="s">
        <v>393</v>
      </c>
      <c r="E249" s="955"/>
      <c r="F249" s="955"/>
    </row>
    <row r="250" spans="1:6" ht="14.4">
      <c r="A250" s="233"/>
      <c r="B250" s="401"/>
      <c r="C250" s="401"/>
      <c r="D250" s="955" t="s">
        <v>378</v>
      </c>
      <c r="E250" s="955"/>
      <c r="F250" s="955"/>
    </row>
    <row r="251" spans="1:6" ht="14.4">
      <c r="A251" s="233"/>
      <c r="B251" s="233"/>
      <c r="C251" s="401"/>
      <c r="D251" s="56" t="s">
        <v>379</v>
      </c>
      <c r="E251" s="963" t="s">
        <v>394</v>
      </c>
      <c r="F251" s="963"/>
    </row>
    <row r="252" spans="1:6" ht="13.2">
      <c r="A252" s="401"/>
      <c r="B252" s="401"/>
      <c r="C252" s="401"/>
      <c r="D252" s="955" t="s">
        <v>395</v>
      </c>
      <c r="E252" s="955"/>
      <c r="F252" s="955"/>
    </row>
    <row r="253" spans="1:6" ht="13.2">
      <c r="A253" s="401"/>
      <c r="B253" s="401"/>
      <c r="C253" s="401"/>
      <c r="D253" s="232"/>
      <c r="E253" s="37"/>
      <c r="F253" s="37"/>
    </row>
    <row r="254" spans="1:6" ht="14.4">
      <c r="A254" s="233"/>
      <c r="B254" s="515" t="s">
        <v>325</v>
      </c>
      <c r="C254" s="401"/>
      <c r="D254" s="266" t="s">
        <v>396</v>
      </c>
      <c r="E254" s="266"/>
      <c r="F254" s="266"/>
    </row>
    <row r="255" spans="1:6" ht="14.4">
      <c r="A255" s="233"/>
      <c r="B255"/>
      <c r="C255" s="401"/>
      <c r="D255" s="930" t="s">
        <v>397</v>
      </c>
      <c r="E255" s="930"/>
      <c r="F255" s="930"/>
    </row>
    <row r="256" spans="1:6" ht="14.4">
      <c r="A256" s="233"/>
      <c r="B256" s="401"/>
      <c r="C256" s="401"/>
      <c r="D256" s="930"/>
      <c r="E256" s="930"/>
      <c r="F256" s="930"/>
    </row>
    <row r="257" spans="1:7" ht="14.4">
      <c r="A257" s="233"/>
      <c r="B257" s="401"/>
      <c r="C257" s="401"/>
      <c r="D257" s="930"/>
      <c r="E257" s="930"/>
      <c r="F257" s="930"/>
      <c r="G257" s="37"/>
    </row>
    <row r="258" spans="1:7" ht="14.4">
      <c r="A258" s="233"/>
      <c r="B258" s="401"/>
      <c r="C258" s="401"/>
      <c r="D258" s="178"/>
      <c r="E258" s="178"/>
      <c r="F258" s="178"/>
      <c r="G258" s="37"/>
    </row>
    <row r="259" spans="1:7" ht="14.4">
      <c r="A259" s="233"/>
      <c r="B259" s="515" t="s">
        <v>325</v>
      </c>
      <c r="C259" s="401"/>
      <c r="D259" s="955" t="s">
        <v>398</v>
      </c>
      <c r="E259" s="955"/>
      <c r="F259" s="955"/>
      <c r="G259" s="37"/>
    </row>
    <row r="260" spans="1:7" ht="14.4">
      <c r="A260" s="233"/>
      <c r="B260" s="401"/>
      <c r="C260" s="401"/>
      <c r="D260" s="266"/>
      <c r="E260" s="266"/>
      <c r="F260" s="266"/>
      <c r="G260" s="37"/>
    </row>
    <row r="261" spans="1:7" ht="13.2">
      <c r="A261" s="956" t="s">
        <v>399</v>
      </c>
      <c r="B261" s="956"/>
      <c r="C261" s="956"/>
      <c r="D261" s="956"/>
      <c r="E261" s="956"/>
      <c r="F261" s="956"/>
      <c r="G261" s="956"/>
    </row>
    <row r="262" spans="1:7" ht="13.2">
      <c r="A262" s="401"/>
      <c r="B262" s="401"/>
      <c r="C262" s="401"/>
      <c r="D262" s="232"/>
      <c r="E262" s="37"/>
      <c r="F262" s="37"/>
      <c r="G262" s="37"/>
    </row>
    <row r="263" spans="1:7" ht="13.2">
      <c r="A263" s="401"/>
      <c r="B263" s="401"/>
      <c r="C263" s="497"/>
      <c r="D263" s="957" t="s">
        <v>400</v>
      </c>
      <c r="E263" s="957"/>
      <c r="F263" s="957"/>
      <c r="G263" s="37"/>
    </row>
    <row r="264" spans="1:7" ht="13.2">
      <c r="A264" s="167"/>
      <c r="B264" s="167"/>
      <c r="C264" s="167"/>
      <c r="D264" s="952" t="s">
        <v>401</v>
      </c>
      <c r="E264" s="952"/>
      <c r="F264" s="952"/>
      <c r="G264" s="37"/>
    </row>
    <row r="265" spans="1:7" ht="13.2">
      <c r="A265" s="18"/>
      <c r="B265" s="18"/>
      <c r="C265" s="18"/>
      <c r="D265" s="3"/>
      <c r="E265" s="37"/>
      <c r="F265" s="37"/>
      <c r="G265" s="37"/>
    </row>
    <row r="266" spans="1:7" ht="13.2">
      <c r="A266" s="18"/>
      <c r="B266" s="401"/>
      <c r="C266" s="18"/>
      <c r="D266" s="957" t="s">
        <v>402</v>
      </c>
      <c r="E266" s="957"/>
      <c r="F266" s="957"/>
      <c r="G266"/>
    </row>
    <row r="267" spans="1:7" ht="14.4" customHeight="1">
      <c r="A267" s="233"/>
      <c r="B267" s="515" t="s">
        <v>323</v>
      </c>
      <c r="C267" s="766"/>
      <c r="D267" s="966" t="s">
        <v>403</v>
      </c>
      <c r="E267" s="966"/>
      <c r="F267" s="966"/>
      <c r="G267"/>
    </row>
    <row r="268" spans="1:7" ht="14.4">
      <c r="A268" s="233"/>
      <c r="B268" s="767"/>
      <c r="C268" s="766"/>
      <c r="D268" s="966"/>
      <c r="E268" s="966"/>
      <c r="F268" s="966"/>
      <c r="G268"/>
    </row>
    <row r="269" spans="1:7" ht="14.4">
      <c r="A269" s="233"/>
      <c r="B269" s="767"/>
      <c r="C269" s="766"/>
      <c r="D269" s="966"/>
      <c r="E269" s="966"/>
      <c r="F269" s="966"/>
      <c r="G269"/>
    </row>
    <row r="270" spans="1:7" ht="14.4" customHeight="1">
      <c r="A270" s="233"/>
      <c r="B270" s="767"/>
      <c r="C270" s="766"/>
      <c r="D270" s="966"/>
      <c r="E270" s="966"/>
      <c r="F270" s="966"/>
      <c r="G270"/>
    </row>
    <row r="271" spans="1:7" ht="14.4">
      <c r="A271" s="233"/>
      <c r="B271" s="767"/>
      <c r="C271" s="766"/>
      <c r="D271" s="768"/>
      <c r="E271" s="768"/>
      <c r="F271" s="768"/>
      <c r="G271"/>
    </row>
    <row r="272" spans="1:7" ht="14.4">
      <c r="A272" s="233"/>
      <c r="B272" s="515" t="s">
        <v>323</v>
      </c>
      <c r="C272" s="766"/>
      <c r="D272" s="966" t="s">
        <v>404</v>
      </c>
      <c r="E272" s="966"/>
      <c r="F272" s="966"/>
      <c r="G272"/>
    </row>
    <row r="273" spans="1:7" ht="14.4">
      <c r="A273" s="233"/>
      <c r="B273" s="767"/>
      <c r="C273" s="766"/>
      <c r="D273" s="966"/>
      <c r="E273" s="966"/>
      <c r="F273" s="966"/>
      <c r="G273"/>
    </row>
    <row r="274" spans="1:7" ht="14.4">
      <c r="A274" s="233"/>
      <c r="B274" s="767"/>
      <c r="C274" s="766"/>
      <c r="D274" s="966"/>
      <c r="E274" s="966"/>
      <c r="F274" s="966"/>
      <c r="G274"/>
    </row>
    <row r="275" spans="1:7" ht="14.4">
      <c r="A275" s="233"/>
      <c r="B275" s="767"/>
      <c r="C275" s="766"/>
      <c r="D275" s="966"/>
      <c r="E275" s="966"/>
      <c r="F275" s="966"/>
      <c r="G275"/>
    </row>
    <row r="276" spans="1:7" ht="14.4">
      <c r="A276" s="233"/>
      <c r="B276" s="767"/>
      <c r="C276" s="766"/>
      <c r="D276" s="966"/>
      <c r="E276" s="966"/>
      <c r="F276" s="966"/>
      <c r="G276"/>
    </row>
    <row r="277" spans="1:7" ht="14.4">
      <c r="A277" s="233"/>
      <c r="B277" s="767"/>
      <c r="C277" s="766"/>
      <c r="D277" s="768"/>
      <c r="E277" s="768"/>
      <c r="F277" s="768"/>
      <c r="G277"/>
    </row>
    <row r="278" spans="1:7" ht="14.4">
      <c r="A278" s="233"/>
      <c r="B278" s="767"/>
      <c r="C278" s="766"/>
      <c r="D278" s="966" t="s">
        <v>405</v>
      </c>
      <c r="E278" s="966"/>
      <c r="F278" s="966"/>
      <c r="G278"/>
    </row>
    <row r="279" spans="1:7" ht="14.4">
      <c r="A279" s="233"/>
      <c r="B279" s="767"/>
      <c r="C279" s="766"/>
      <c r="D279" s="966"/>
      <c r="E279" s="966"/>
      <c r="F279" s="966"/>
      <c r="G279"/>
    </row>
    <row r="280" spans="1:7" ht="14.4">
      <c r="A280" s="233"/>
      <c r="B280" s="767"/>
      <c r="C280" s="766"/>
      <c r="D280" s="966"/>
      <c r="E280" s="966"/>
      <c r="F280" s="966"/>
      <c r="G280"/>
    </row>
    <row r="281" spans="1:7" ht="14.4">
      <c r="A281" s="233"/>
      <c r="B281" s="767"/>
      <c r="C281" s="766"/>
      <c r="D281" s="966"/>
      <c r="E281" s="966"/>
      <c r="F281" s="966"/>
      <c r="G281"/>
    </row>
    <row r="282" spans="1:7" ht="14.4">
      <c r="A282" s="233"/>
      <c r="B282" s="767"/>
      <c r="C282" s="766"/>
      <c r="D282" s="966"/>
      <c r="E282" s="966"/>
      <c r="F282" s="966"/>
      <c r="G282"/>
    </row>
    <row r="283" spans="1:7" ht="14.4">
      <c r="A283" s="233"/>
      <c r="B283" s="233"/>
      <c r="C283" s="401"/>
      <c r="D283" s="668"/>
      <c r="E283" s="668"/>
      <c r="F283" s="668"/>
      <c r="G283"/>
    </row>
    <row r="284" spans="1:7" s="365" customFormat="1" ht="14.4" customHeight="1">
      <c r="A284" s="249"/>
      <c r="B284" s="515" t="s">
        <v>325</v>
      </c>
      <c r="C284" s="688"/>
      <c r="D284" s="964" t="s">
        <v>406</v>
      </c>
      <c r="E284" s="964"/>
      <c r="F284" s="964"/>
      <c r="G284" s="689"/>
    </row>
    <row r="285" spans="1:7" s="365" customFormat="1" ht="14.4">
      <c r="A285" s="249"/>
      <c r="B285" s="688"/>
      <c r="C285" s="688"/>
      <c r="D285" s="964"/>
      <c r="E285" s="964"/>
      <c r="F285" s="964"/>
      <c r="G285" s="689"/>
    </row>
    <row r="286" spans="1:7" s="365" customFormat="1" ht="14.4">
      <c r="A286" s="249"/>
      <c r="B286" s="688"/>
      <c r="C286" s="688"/>
      <c r="D286" s="964"/>
      <c r="E286" s="964"/>
      <c r="F286" s="964"/>
      <c r="G286" s="689"/>
    </row>
    <row r="287" spans="1:7" s="365" customFormat="1" ht="13.2">
      <c r="A287" s="688"/>
      <c r="B287" s="688"/>
      <c r="C287" s="688"/>
      <c r="D287" s="810"/>
      <c r="E287" s="811" t="s">
        <v>407</v>
      </c>
      <c r="F287" s="810"/>
      <c r="G287" s="689"/>
    </row>
    <row r="288" spans="1:7" ht="14.4">
      <c r="A288" s="233"/>
      <c r="B288" s="233"/>
      <c r="C288" s="401"/>
      <c r="D288" s="232"/>
      <c r="E288"/>
      <c r="F288"/>
      <c r="G288"/>
    </row>
    <row r="289" spans="1:7" ht="14.4">
      <c r="A289" s="233"/>
      <c r="B289" s="515" t="s">
        <v>323</v>
      </c>
      <c r="C289" s="401"/>
      <c r="D289" s="952" t="s">
        <v>408</v>
      </c>
      <c r="E289" s="952"/>
      <c r="F289" s="952"/>
      <c r="G289"/>
    </row>
    <row r="290" spans="1:7" ht="14.4">
      <c r="A290" s="233"/>
      <c r="B290" s="233"/>
      <c r="C290" s="401"/>
      <c r="D290" s="952" t="s">
        <v>409</v>
      </c>
      <c r="E290" s="952"/>
      <c r="F290" s="952"/>
      <c r="G290"/>
    </row>
    <row r="291" spans="1:7" ht="14.4">
      <c r="A291" s="233"/>
      <c r="B291" s="233"/>
      <c r="C291" s="401"/>
      <c r="D291" s="3" t="s">
        <v>410</v>
      </c>
      <c r="E291" s="811" t="s">
        <v>411</v>
      </c>
      <c r="F291" s="3"/>
      <c r="G291" s="37"/>
    </row>
    <row r="292" spans="1:7" ht="13.2">
      <c r="A292" s="401"/>
      <c r="B292" s="401"/>
      <c r="C292" s="401"/>
      <c r="D292" s="861"/>
      <c r="E292" s="37"/>
      <c r="F292" s="37"/>
      <c r="G292" s="37"/>
    </row>
    <row r="293" spans="1:7" ht="14.4">
      <c r="A293" s="233"/>
      <c r="B293" s="515" t="s">
        <v>323</v>
      </c>
      <c r="C293" s="401"/>
      <c r="D293" s="930" t="s">
        <v>412</v>
      </c>
      <c r="E293" s="930"/>
      <c r="F293" s="930"/>
      <c r="G293" s="37"/>
    </row>
    <row r="294" spans="1:7" ht="14.4">
      <c r="A294" s="233"/>
      <c r="B294" s="233"/>
      <c r="C294" s="401"/>
      <c r="D294" s="930"/>
      <c r="E294" s="930"/>
      <c r="F294" s="930"/>
      <c r="G294" s="37"/>
    </row>
    <row r="295" spans="1:7" ht="13.2">
      <c r="A295" s="401"/>
      <c r="B295" s="401"/>
      <c r="C295" s="401"/>
      <c r="D295" s="861"/>
      <c r="E295" s="37"/>
      <c r="F295" s="37"/>
      <c r="G295" s="37"/>
    </row>
    <row r="296" spans="1:7" ht="13.2">
      <c r="A296" s="956" t="s">
        <v>413</v>
      </c>
      <c r="B296" s="956"/>
      <c r="C296" s="956"/>
      <c r="D296" s="956"/>
      <c r="E296" s="956"/>
      <c r="F296" s="956"/>
      <c r="G296" s="956"/>
    </row>
    <row r="297" spans="1:7" ht="13.2">
      <c r="A297" s="401"/>
      <c r="B297" s="401"/>
      <c r="C297" s="401"/>
      <c r="D297" s="861"/>
      <c r="E297" s="37"/>
      <c r="F297" s="37"/>
      <c r="G297" s="37"/>
    </row>
    <row r="298" spans="1:7" ht="13.2">
      <c r="A298" s="401"/>
      <c r="B298" s="401"/>
      <c r="C298" s="497"/>
      <c r="D298" s="957" t="s">
        <v>414</v>
      </c>
      <c r="E298" s="957"/>
      <c r="F298" s="957"/>
      <c r="G298" s="37"/>
    </row>
    <row r="299" spans="1:7" ht="13.2">
      <c r="A299" s="167"/>
      <c r="B299" s="167"/>
      <c r="C299" s="167"/>
      <c r="D299" s="232"/>
      <c r="E299" s="37"/>
      <c r="F299" s="37"/>
      <c r="G299" s="37"/>
    </row>
    <row r="300" spans="1:7" ht="13.2">
      <c r="A300" s="168"/>
      <c r="B300" s="168"/>
      <c r="C300" s="168"/>
      <c r="D300" s="957" t="s">
        <v>415</v>
      </c>
      <c r="E300" s="957"/>
      <c r="F300" s="957"/>
      <c r="G300" s="37"/>
    </row>
    <row r="301" spans="1:7" ht="14.4" customHeight="1">
      <c r="A301" s="233"/>
      <c r="B301" s="515" t="s">
        <v>323</v>
      </c>
      <c r="C301" s="401"/>
      <c r="D301" s="930" t="s">
        <v>416</v>
      </c>
      <c r="E301" s="930"/>
      <c r="F301" s="930"/>
      <c r="G301" s="37"/>
    </row>
    <row r="302" spans="1:7" ht="13.2">
      <c r="A302" s="401"/>
      <c r="B302" s="401"/>
      <c r="C302" s="401"/>
      <c r="D302" s="930"/>
      <c r="E302" s="930"/>
      <c r="F302" s="930"/>
      <c r="G302" s="37"/>
    </row>
    <row r="303" spans="1:7" ht="13.2">
      <c r="A303" s="401"/>
      <c r="B303" s="401"/>
      <c r="C303" s="401"/>
      <c r="D303" s="930"/>
      <c r="E303" s="930"/>
      <c r="F303" s="930"/>
      <c r="G303" s="37"/>
    </row>
    <row r="304" spans="1:7" ht="13.2">
      <c r="A304" s="401"/>
      <c r="B304" s="401"/>
      <c r="C304" s="401"/>
      <c r="D304" s="178"/>
      <c r="E304" s="178"/>
      <c r="F304" s="178"/>
      <c r="G304" s="37"/>
    </row>
    <row r="305" spans="1:7" s="365" customFormat="1" ht="14.4" customHeight="1">
      <c r="A305" s="249"/>
      <c r="B305" s="515" t="s">
        <v>325</v>
      </c>
      <c r="C305" s="688"/>
      <c r="D305" s="964" t="s">
        <v>417</v>
      </c>
      <c r="E305" s="964"/>
      <c r="F305" s="964"/>
      <c r="G305" s="689"/>
    </row>
    <row r="306" spans="1:7" s="365" customFormat="1" ht="13.2">
      <c r="A306" s="688"/>
      <c r="B306" s="688"/>
      <c r="C306" s="688"/>
      <c r="D306" s="964"/>
      <c r="E306" s="964"/>
      <c r="F306" s="964"/>
      <c r="G306" s="689"/>
    </row>
    <row r="307" spans="1:7" s="365" customFormat="1" ht="13.2">
      <c r="A307" s="688"/>
      <c r="B307" s="688"/>
      <c r="C307" s="688"/>
      <c r="D307" s="964"/>
      <c r="E307" s="964"/>
      <c r="F307" s="964"/>
      <c r="G307" s="689"/>
    </row>
    <row r="308" spans="1:7" s="365" customFormat="1" ht="13.2">
      <c r="A308" s="688"/>
      <c r="B308" s="688"/>
      <c r="C308" s="688"/>
      <c r="E308" s="302" t="s">
        <v>418</v>
      </c>
      <c r="F308" s="302"/>
      <c r="G308" s="689"/>
    </row>
    <row r="309" spans="1:7" ht="13.2">
      <c r="A309" s="401"/>
      <c r="B309" s="401"/>
      <c r="C309" s="401"/>
      <c r="D309" s="862"/>
      <c r="E309" s="37"/>
      <c r="F309" s="37"/>
      <c r="G309" s="37"/>
    </row>
    <row r="310" spans="1:7" ht="13.2">
      <c r="A310" s="956" t="s">
        <v>419</v>
      </c>
      <c r="B310" s="956"/>
      <c r="C310" s="956"/>
      <c r="D310" s="956"/>
      <c r="E310" s="956"/>
      <c r="F310" s="956"/>
      <c r="G310" s="956"/>
    </row>
    <row r="311" spans="1:7" ht="13.2">
      <c r="A311" s="401"/>
      <c r="B311" s="401"/>
      <c r="C311" s="401"/>
      <c r="D311" s="862"/>
      <c r="E311" s="37"/>
      <c r="F311" s="37"/>
      <c r="G311" s="37"/>
    </row>
    <row r="312" spans="1:7" ht="13.2">
      <c r="A312" s="401"/>
      <c r="B312" s="401"/>
      <c r="C312" s="167"/>
      <c r="D312" s="958" t="s">
        <v>420</v>
      </c>
      <c r="E312" s="958"/>
      <c r="F312" s="958"/>
      <c r="G312" s="37"/>
    </row>
    <row r="313" spans="1:7" ht="13.2">
      <c r="A313" s="401"/>
      <c r="B313" s="401"/>
      <c r="C313" s="167"/>
      <c r="D313" s="958"/>
      <c r="E313" s="958"/>
      <c r="F313" s="958"/>
      <c r="G313" s="37"/>
    </row>
    <row r="314" spans="1:7" ht="13.2">
      <c r="A314" s="168"/>
      <c r="B314" s="168"/>
      <c r="C314" s="168"/>
      <c r="D314" s="3"/>
      <c r="E314" s="37"/>
      <c r="F314" s="37"/>
      <c r="G314" s="37"/>
    </row>
    <row r="315" spans="1:7" ht="13.2">
      <c r="A315" s="401"/>
      <c r="B315" s="401"/>
      <c r="C315" s="168"/>
      <c r="D315" s="957" t="s">
        <v>421</v>
      </c>
      <c r="E315" s="957"/>
      <c r="F315" s="957"/>
      <c r="G315" s="37"/>
    </row>
    <row r="316" spans="1:7" ht="14.4">
      <c r="A316" s="233"/>
      <c r="B316" s="233"/>
      <c r="C316" s="401"/>
      <c r="D316" s="968" t="s">
        <v>422</v>
      </c>
      <c r="E316" s="968"/>
      <c r="F316" s="968"/>
      <c r="G316" s="37"/>
    </row>
    <row r="317" spans="1:7" ht="12" customHeight="1">
      <c r="A317" s="401"/>
      <c r="B317" s="401"/>
      <c r="C317" s="401"/>
      <c r="D317" s="37"/>
      <c r="E317" s="37"/>
      <c r="F317" s="37"/>
      <c r="G317" s="37"/>
    </row>
    <row r="318" spans="1:7" ht="14.4" customHeight="1">
      <c r="A318" s="233"/>
      <c r="B318" s="515" t="s">
        <v>323</v>
      </c>
      <c r="C318" s="401"/>
      <c r="D318" s="930" t="s">
        <v>423</v>
      </c>
      <c r="E318" s="930"/>
      <c r="F318" s="930"/>
      <c r="G318" s="37"/>
    </row>
    <row r="319" spans="1:7" ht="14.4">
      <c r="A319" s="233"/>
      <c r="B319" s="233"/>
      <c r="C319" s="401"/>
      <c r="D319" s="930"/>
      <c r="E319" s="930"/>
      <c r="F319" s="930"/>
      <c r="G319" s="37"/>
    </row>
    <row r="320" spans="1:7" ht="13.2">
      <c r="A320" s="401"/>
      <c r="B320" s="401"/>
      <c r="C320" s="401"/>
      <c r="D320" s="37"/>
      <c r="E320" s="37"/>
      <c r="F320" s="37"/>
      <c r="G320" s="37"/>
    </row>
    <row r="321" spans="1:7" ht="14.4" customHeight="1">
      <c r="A321" s="233"/>
      <c r="B321" s="515" t="s">
        <v>323</v>
      </c>
      <c r="C321" s="401"/>
      <c r="D321" s="930" t="s">
        <v>424</v>
      </c>
      <c r="E321" s="930"/>
      <c r="F321" s="930"/>
      <c r="G321" s="37"/>
    </row>
    <row r="322" spans="1:7" ht="14.4">
      <c r="A322" s="233"/>
      <c r="B322" s="233"/>
      <c r="C322" s="401"/>
      <c r="D322" s="930"/>
      <c r="E322" s="930"/>
      <c r="F322" s="930"/>
      <c r="G322" s="37"/>
    </row>
    <row r="323" spans="1:7" ht="14.4">
      <c r="A323" s="233"/>
      <c r="B323" s="233"/>
      <c r="C323" s="401"/>
      <c r="D323" s="930"/>
      <c r="E323" s="930"/>
      <c r="F323" s="930"/>
      <c r="G323" s="37"/>
    </row>
    <row r="324" spans="1:7" ht="13.2">
      <c r="A324" s="401"/>
      <c r="B324" s="401"/>
      <c r="C324" s="401"/>
      <c r="D324" s="232"/>
      <c r="E324"/>
      <c r="F324"/>
      <c r="G324"/>
    </row>
    <row r="325" spans="1:7" ht="14.4">
      <c r="A325" s="233"/>
      <c r="B325" s="515" t="s">
        <v>325</v>
      </c>
      <c r="C325" s="401"/>
      <c r="D325" s="930" t="s">
        <v>425</v>
      </c>
      <c r="E325" s="930"/>
      <c r="F325" s="930"/>
      <c r="G325" s="37"/>
    </row>
    <row r="326" spans="1:7" ht="14.4">
      <c r="A326" s="233"/>
      <c r="B326" s="233"/>
      <c r="C326" s="401"/>
      <c r="D326" s="930"/>
      <c r="E326" s="930"/>
      <c r="F326" s="930"/>
      <c r="G326" s="37"/>
    </row>
    <row r="327" spans="1:7" ht="13.2">
      <c r="A327" s="18"/>
      <c r="B327" s="18"/>
      <c r="C327" s="401"/>
      <c r="D327" s="232"/>
      <c r="E327" s="37"/>
      <c r="F327" s="37"/>
      <c r="G327" s="37"/>
    </row>
    <row r="328" spans="1:7" ht="13.2">
      <c r="A328" s="956" t="s">
        <v>426</v>
      </c>
      <c r="B328" s="956"/>
      <c r="C328" s="956"/>
      <c r="D328" s="956"/>
      <c r="E328" s="956"/>
      <c r="F328" s="956"/>
      <c r="G328" s="956"/>
    </row>
    <row r="329" spans="1:7" ht="13.2">
      <c r="A329" s="18"/>
      <c r="B329" s="18"/>
      <c r="C329" s="401"/>
      <c r="D329" s="232"/>
      <c r="E329" s="37"/>
      <c r="F329" s="37"/>
      <c r="G329"/>
    </row>
    <row r="330" spans="1:7" ht="13.2">
      <c r="A330" s="401"/>
      <c r="B330" s="401"/>
      <c r="C330" s="18"/>
      <c r="D330" s="957" t="s">
        <v>427</v>
      </c>
      <c r="E330" s="957"/>
      <c r="F330" s="957"/>
      <c r="G330"/>
    </row>
    <row r="331" spans="1:7" ht="13.2">
      <c r="A331" s="401"/>
      <c r="B331" s="401"/>
      <c r="C331" s="18"/>
      <c r="D331" s="952" t="s">
        <v>428</v>
      </c>
      <c r="E331" s="952"/>
      <c r="F331" s="952"/>
      <c r="G331"/>
    </row>
    <row r="332" spans="1:7" ht="13.2">
      <c r="A332" s="401"/>
      <c r="B332" s="401"/>
      <c r="C332" s="18"/>
      <c r="D332" s="160"/>
      <c r="E332" s="37"/>
      <c r="F332" s="37"/>
      <c r="G332"/>
    </row>
    <row r="333" spans="1:7" ht="13.2">
      <c r="A333" s="401"/>
      <c r="B333" s="515" t="s">
        <v>323</v>
      </c>
      <c r="C333" s="401"/>
      <c r="D333" s="952" t="s">
        <v>429</v>
      </c>
      <c r="E333" s="952"/>
      <c r="F333" s="952"/>
      <c r="G333"/>
    </row>
    <row r="334" spans="1:7" ht="14.4">
      <c r="A334" s="233"/>
      <c r="B334" s="233"/>
      <c r="C334" s="401"/>
      <c r="D334" s="340"/>
      <c r="E334" s="37"/>
      <c r="F334" s="37"/>
      <c r="G334"/>
    </row>
    <row r="335" spans="1:7" ht="14.4">
      <c r="A335" s="233"/>
      <c r="B335" s="515" t="s">
        <v>323</v>
      </c>
      <c r="C335" s="401"/>
      <c r="D335" s="952" t="s">
        <v>430</v>
      </c>
      <c r="E335" s="952"/>
      <c r="F335" s="952"/>
      <c r="G335"/>
    </row>
    <row r="336" spans="1:7" ht="13.2">
      <c r="A336" s="401"/>
      <c r="B336" s="401"/>
      <c r="C336" s="401"/>
      <c r="D336" s="37"/>
      <c r="E336" s="37"/>
      <c r="F336" s="37"/>
      <c r="G336"/>
    </row>
    <row r="337" spans="1:7" ht="14.4" customHeight="1">
      <c r="A337" s="233"/>
      <c r="B337" s="515" t="s">
        <v>323</v>
      </c>
      <c r="C337" s="401"/>
      <c r="D337" s="930" t="s">
        <v>431</v>
      </c>
      <c r="E337" s="930"/>
      <c r="F337" s="930"/>
      <c r="G337"/>
    </row>
    <row r="338" spans="1:7" ht="14.4">
      <c r="A338" s="233"/>
      <c r="B338" s="233"/>
      <c r="C338" s="401"/>
      <c r="D338" s="930"/>
      <c r="E338" s="930"/>
      <c r="F338" s="930"/>
      <c r="G338"/>
    </row>
    <row r="339" spans="1:7" ht="14.4">
      <c r="A339" s="233"/>
      <c r="B339" s="233"/>
      <c r="C339" s="401"/>
      <c r="D339" s="930"/>
      <c r="E339" s="930"/>
      <c r="F339" s="930"/>
      <c r="G339"/>
    </row>
    <row r="340" spans="1:7" ht="14.4">
      <c r="A340" s="233"/>
      <c r="B340" s="233"/>
      <c r="C340" s="401"/>
      <c r="D340" s="930"/>
      <c r="E340" s="930"/>
      <c r="F340" s="930"/>
      <c r="G340"/>
    </row>
    <row r="341" spans="1:7" ht="14.4">
      <c r="A341" s="233"/>
      <c r="B341" s="233"/>
      <c r="C341" s="401"/>
      <c r="D341" s="930"/>
      <c r="E341" s="930"/>
      <c r="F341" s="930"/>
      <c r="G341"/>
    </row>
    <row r="342" spans="1:7" ht="14.4">
      <c r="A342" s="233"/>
      <c r="B342" s="233"/>
      <c r="C342" s="401"/>
      <c r="D342" s="930"/>
      <c r="E342" s="930"/>
      <c r="F342" s="930"/>
      <c r="G342"/>
    </row>
    <row r="343" spans="1:7" ht="14.4">
      <c r="A343" s="233"/>
      <c r="B343" s="233"/>
      <c r="C343" s="401"/>
      <c r="D343" s="930"/>
      <c r="E343" s="930"/>
      <c r="F343" s="930"/>
      <c r="G343"/>
    </row>
    <row r="344" spans="1:7" ht="14.4">
      <c r="A344" s="233"/>
      <c r="B344" s="233"/>
      <c r="C344" s="401"/>
      <c r="D344" s="930"/>
      <c r="E344" s="930"/>
      <c r="F344" s="930"/>
      <c r="G344"/>
    </row>
    <row r="345" spans="1:7" ht="14.4">
      <c r="A345" s="233"/>
      <c r="B345" s="233"/>
      <c r="C345" s="401"/>
      <c r="D345" s="930"/>
      <c r="E345" s="930"/>
      <c r="F345" s="930"/>
      <c r="G345" s="37"/>
    </row>
    <row r="346" spans="1:7" ht="14.4">
      <c r="A346" s="233"/>
      <c r="B346" s="233"/>
      <c r="C346" s="401"/>
      <c r="D346" s="930"/>
      <c r="E346" s="930"/>
      <c r="F346" s="930"/>
      <c r="G346" s="37"/>
    </row>
    <row r="347" spans="1:7" ht="14.4">
      <c r="A347" s="233"/>
      <c r="B347" s="233"/>
      <c r="C347" s="401"/>
      <c r="D347" s="930"/>
      <c r="E347" s="930"/>
      <c r="F347" s="930"/>
      <c r="G347" s="37"/>
    </row>
    <row r="348" spans="1:7" ht="14.4">
      <c r="A348" s="233"/>
      <c r="B348" s="233"/>
      <c r="C348" s="401"/>
      <c r="D348" s="930"/>
      <c r="E348" s="930"/>
      <c r="F348" s="930"/>
      <c r="G348" s="37"/>
    </row>
    <row r="349" spans="1:7" ht="14.4">
      <c r="A349" s="233"/>
      <c r="B349" s="233"/>
      <c r="C349" s="401"/>
      <c r="D349" s="930"/>
      <c r="E349" s="930"/>
      <c r="F349" s="930"/>
      <c r="G349" s="37"/>
    </row>
    <row r="350" spans="1:7" ht="14.4">
      <c r="A350" s="233"/>
      <c r="B350" s="233"/>
      <c r="C350" s="401"/>
      <c r="D350" s="930"/>
      <c r="E350" s="930"/>
      <c r="F350" s="930"/>
      <c r="G350" s="37"/>
    </row>
    <row r="351" spans="1:7" ht="14.4">
      <c r="A351" s="233"/>
      <c r="B351" s="233"/>
      <c r="C351" s="401"/>
      <c r="D351" s="930"/>
      <c r="E351" s="930"/>
      <c r="F351" s="930"/>
      <c r="G351" s="37"/>
    </row>
    <row r="352" spans="1:7" ht="13.2">
      <c r="A352" s="401"/>
      <c r="B352" s="401"/>
      <c r="C352" s="401"/>
      <c r="D352" s="37"/>
      <c r="E352" s="37"/>
      <c r="F352" s="37"/>
      <c r="G352" s="37"/>
    </row>
    <row r="353" spans="1:6" ht="14.4" customHeight="1">
      <c r="A353" s="233"/>
      <c r="B353" s="515" t="s">
        <v>325</v>
      </c>
      <c r="C353" s="401"/>
      <c r="D353" s="930" t="s">
        <v>432</v>
      </c>
      <c r="E353" s="930"/>
      <c r="F353" s="930"/>
    </row>
    <row r="354" spans="1:6" ht="13.2">
      <c r="A354" s="401"/>
      <c r="B354" s="401"/>
      <c r="C354" s="401"/>
      <c r="D354" s="930"/>
      <c r="E354" s="930"/>
      <c r="F354" s="930"/>
    </row>
    <row r="355" spans="1:6" ht="13.2">
      <c r="A355" s="401"/>
      <c r="B355" s="401"/>
      <c r="C355" s="401"/>
      <c r="D355" s="930"/>
      <c r="E355" s="930"/>
      <c r="F355" s="930"/>
    </row>
    <row r="356" spans="1:6" ht="13.2">
      <c r="A356" s="401"/>
      <c r="B356" s="401"/>
      <c r="C356" s="401"/>
      <c r="D356" s="930"/>
      <c r="E356" s="930"/>
      <c r="F356" s="930"/>
    </row>
    <row r="357" spans="1:6" ht="13.2">
      <c r="A357" s="401"/>
      <c r="B357" s="401"/>
      <c r="C357" s="401"/>
      <c r="D357" s="930"/>
      <c r="E357" s="930"/>
      <c r="F357" s="930"/>
    </row>
    <row r="358" spans="1:6" ht="13.2">
      <c r="A358" s="401"/>
      <c r="B358" s="401"/>
      <c r="C358" s="401"/>
      <c r="D358" s="930"/>
      <c r="E358" s="930"/>
      <c r="F358" s="930"/>
    </row>
    <row r="359" spans="1:6" ht="13.2">
      <c r="A359" s="401"/>
      <c r="B359" s="401"/>
      <c r="C359" s="401"/>
      <c r="D359" s="930"/>
      <c r="E359" s="930"/>
      <c r="F359" s="930"/>
    </row>
    <row r="360" spans="1:6" ht="13.2">
      <c r="A360" s="401"/>
      <c r="B360" s="401"/>
      <c r="C360" s="401"/>
      <c r="D360" s="930"/>
      <c r="E360" s="930"/>
      <c r="F360" s="930"/>
    </row>
    <row r="361" spans="1:6" ht="13.2">
      <c r="A361" s="401"/>
      <c r="B361" s="401"/>
      <c r="C361" s="401"/>
      <c r="D361" s="930"/>
      <c r="E361" s="930"/>
      <c r="F361" s="930"/>
    </row>
    <row r="362" spans="1:6" ht="13.2">
      <c r="A362" s="401"/>
      <c r="B362" s="401"/>
      <c r="C362" s="401"/>
      <c r="D362" s="37"/>
      <c r="E362" s="232"/>
      <c r="F362" s="232"/>
    </row>
    <row r="363" spans="1:6" ht="14.25" customHeight="1">
      <c r="A363" s="233"/>
      <c r="B363" s="515" t="s">
        <v>323</v>
      </c>
      <c r="C363" s="401"/>
      <c r="D363" s="947" t="s">
        <v>433</v>
      </c>
      <c r="E363" s="947"/>
      <c r="F363" s="947"/>
    </row>
    <row r="364" spans="1:6" ht="13.2">
      <c r="A364" s="401"/>
      <c r="B364" s="401"/>
      <c r="C364" s="401"/>
      <c r="D364" s="947"/>
      <c r="E364" s="947"/>
      <c r="F364" s="947"/>
    </row>
    <row r="365" spans="1:6" ht="13.2">
      <c r="A365" s="401"/>
      <c r="B365" s="401"/>
      <c r="C365" s="401"/>
      <c r="D365" s="947"/>
      <c r="E365" s="947"/>
      <c r="F365" s="947"/>
    </row>
    <row r="366" spans="1:6" ht="13.2">
      <c r="A366" s="401"/>
      <c r="B366" s="401"/>
      <c r="C366" s="401"/>
      <c r="D366" s="947"/>
      <c r="E366" s="947"/>
      <c r="F366" s="947"/>
    </row>
    <row r="367" spans="1:6" ht="13.2">
      <c r="A367" s="401"/>
      <c r="B367" s="401"/>
      <c r="C367" s="401"/>
      <c r="D367" s="947"/>
      <c r="E367" s="947"/>
      <c r="F367" s="947"/>
    </row>
    <row r="368" spans="1:6" ht="13.2">
      <c r="A368" s="401"/>
      <c r="B368" s="401"/>
      <c r="C368" s="401"/>
      <c r="D368" s="668"/>
      <c r="E368" s="84" t="s">
        <v>434</v>
      </c>
      <c r="F368" s="668"/>
    </row>
    <row r="369" spans="1:6" ht="13.8" thickBot="1">
      <c r="A369" s="401"/>
      <c r="B369" s="401"/>
      <c r="C369" s="401"/>
      <c r="D369" s="669"/>
      <c r="E369" s="863"/>
      <c r="F369" s="863"/>
    </row>
    <row r="370" spans="1:6" ht="14.4" thickTop="1" thickBot="1">
      <c r="A370" s="401"/>
      <c r="B370" s="401"/>
      <c r="C370" s="401"/>
      <c r="D370" s="967" t="s">
        <v>435</v>
      </c>
      <c r="E370" s="967"/>
      <c r="F370" s="967"/>
    </row>
    <row r="371" spans="1:6" ht="13.8" thickTop="1">
      <c r="A371" s="401"/>
      <c r="B371" s="401"/>
      <c r="C371" s="401"/>
      <c r="D371" s="969" t="s">
        <v>436</v>
      </c>
      <c r="E371" s="969"/>
      <c r="F371" s="969"/>
    </row>
    <row r="372" spans="1:6" ht="13.2">
      <c r="A372" s="401"/>
      <c r="B372" s="401"/>
      <c r="C372" s="401"/>
      <c r="D372" s="232"/>
      <c r="E372" s="37"/>
      <c r="F372" s="37"/>
    </row>
    <row r="373" spans="1:6" ht="14.4">
      <c r="A373" s="233"/>
      <c r="B373" s="515" t="s">
        <v>325</v>
      </c>
      <c r="C373" s="295"/>
      <c r="D373" s="961" t="s">
        <v>437</v>
      </c>
      <c r="E373" s="961"/>
      <c r="F373" s="961"/>
    </row>
    <row r="374" spans="1:6" ht="14.4">
      <c r="A374" s="233"/>
      <c r="B374" s="233"/>
      <c r="C374" s="295"/>
      <c r="D374" s="340"/>
      <c r="E374" s="37"/>
      <c r="F374" s="37"/>
    </row>
    <row r="375" spans="1:6" ht="14.4">
      <c r="A375" s="233"/>
      <c r="B375" s="515" t="s">
        <v>325</v>
      </c>
      <c r="C375" s="295"/>
      <c r="D375" s="931" t="s">
        <v>438</v>
      </c>
      <c r="E375" s="951"/>
      <c r="F375" s="951"/>
    </row>
    <row r="376" spans="1:6" ht="14.4">
      <c r="A376" s="233"/>
      <c r="B376" s="233"/>
      <c r="C376" s="295"/>
      <c r="D376" s="951"/>
      <c r="E376" s="951"/>
      <c r="F376" s="951"/>
    </row>
    <row r="377" spans="1:6" ht="14.4">
      <c r="A377" s="233"/>
      <c r="B377" s="233"/>
      <c r="C377" s="295"/>
      <c r="D377" s="951"/>
      <c r="E377" s="951"/>
      <c r="F377" s="951"/>
    </row>
    <row r="378" spans="1:6" ht="14.4">
      <c r="A378" s="233"/>
      <c r="B378" s="233"/>
      <c r="C378" s="295"/>
      <c r="D378" s="951"/>
      <c r="E378" s="951"/>
      <c r="F378" s="951"/>
    </row>
    <row r="379" spans="1:6" ht="14.4">
      <c r="A379" s="233"/>
      <c r="B379" s="233"/>
      <c r="C379" s="295"/>
      <c r="D379" s="951"/>
      <c r="E379" s="951"/>
      <c r="F379" s="951"/>
    </row>
    <row r="380" spans="1:6" ht="14.4">
      <c r="A380" s="233"/>
      <c r="B380" s="233"/>
      <c r="C380" s="295"/>
      <c r="D380" s="951"/>
      <c r="E380" s="951"/>
      <c r="F380" s="951"/>
    </row>
    <row r="381" spans="1:6" ht="14.4">
      <c r="A381" s="233"/>
      <c r="B381" s="233"/>
      <c r="C381" s="295"/>
      <c r="D381" s="951"/>
      <c r="E381" s="951"/>
      <c r="F381" s="951"/>
    </row>
    <row r="382" spans="1:6" ht="14.4">
      <c r="A382" s="233"/>
      <c r="B382" s="233"/>
      <c r="C382" s="295"/>
      <c r="D382" s="951"/>
      <c r="E382" s="951"/>
      <c r="F382" s="951"/>
    </row>
    <row r="383" spans="1:6" ht="14.4">
      <c r="A383" s="233"/>
      <c r="B383" s="233"/>
      <c r="C383" s="295"/>
      <c r="D383" s="951"/>
      <c r="E383" s="951"/>
      <c r="F383" s="951"/>
    </row>
    <row r="384" spans="1:6" ht="14.4">
      <c r="A384" s="233"/>
      <c r="B384" s="233"/>
      <c r="C384" s="295"/>
      <c r="D384" s="951"/>
      <c r="E384" s="951"/>
      <c r="F384" s="951"/>
    </row>
    <row r="385" spans="1:6" ht="14.4">
      <c r="A385" s="233"/>
      <c r="B385" s="233"/>
      <c r="C385" s="295"/>
      <c r="D385" s="532"/>
      <c r="E385" s="532"/>
      <c r="F385" s="532"/>
    </row>
    <row r="386" spans="1:6" ht="14.4">
      <c r="A386" s="233"/>
      <c r="B386" s="515" t="s">
        <v>325</v>
      </c>
      <c r="C386" s="295"/>
      <c r="D386" s="951" t="s">
        <v>439</v>
      </c>
      <c r="E386" s="951"/>
      <c r="F386" s="951"/>
    </row>
    <row r="387" spans="1:6" ht="13.2">
      <c r="A387" s="295"/>
      <c r="B387" s="295"/>
      <c r="C387" s="295"/>
      <c r="D387" s="951"/>
      <c r="E387" s="951"/>
      <c r="F387" s="951"/>
    </row>
    <row r="388" spans="1:6" ht="13.2">
      <c r="A388" s="295"/>
      <c r="B388" s="295"/>
      <c r="C388" s="295"/>
      <c r="D388" s="951"/>
      <c r="E388" s="951"/>
      <c r="F388" s="951"/>
    </row>
    <row r="389" spans="1:6" ht="13.2">
      <c r="A389" s="295"/>
      <c r="B389" s="295"/>
      <c r="C389" s="295"/>
      <c r="D389" s="951"/>
      <c r="E389" s="951"/>
      <c r="F389" s="951"/>
    </row>
    <row r="390" spans="1:6" ht="13.2">
      <c r="A390" s="295"/>
      <c r="B390" s="295"/>
      <c r="C390" s="295"/>
      <c r="D390" s="532"/>
      <c r="E390" s="532"/>
      <c r="F390" s="532"/>
    </row>
    <row r="391" spans="1:6" ht="13.2">
      <c r="A391" s="295"/>
      <c r="B391" s="295"/>
      <c r="C391" s="295"/>
      <c r="D391" s="951" t="s">
        <v>440</v>
      </c>
      <c r="E391" s="951"/>
      <c r="F391" s="951"/>
    </row>
    <row r="392" spans="1:6" ht="13.2">
      <c r="A392" s="295"/>
      <c r="B392" s="295"/>
      <c r="C392" s="295"/>
      <c r="D392" s="951"/>
      <c r="E392" s="951"/>
      <c r="F392" s="951"/>
    </row>
    <row r="393" spans="1:6" ht="13.2">
      <c r="A393" s="295"/>
      <c r="B393" s="295"/>
      <c r="C393" s="295"/>
      <c r="D393" s="951"/>
      <c r="E393" s="951"/>
      <c r="F393" s="951"/>
    </row>
    <row r="394" spans="1:6" ht="13.2">
      <c r="A394" s="295"/>
      <c r="B394" s="295"/>
      <c r="C394" s="295"/>
      <c r="D394" s="951"/>
      <c r="E394" s="951"/>
      <c r="F394" s="951"/>
    </row>
    <row r="395" spans="1:6" ht="13.2">
      <c r="A395" s="295"/>
      <c r="B395" s="295"/>
      <c r="C395" s="295"/>
      <c r="D395" s="951"/>
      <c r="E395" s="951"/>
      <c r="F395" s="951"/>
    </row>
    <row r="396" spans="1:6" ht="13.2">
      <c r="A396" s="295"/>
      <c r="B396" s="295"/>
      <c r="C396" s="295"/>
      <c r="D396" s="951"/>
      <c r="E396" s="951"/>
      <c r="F396" s="951"/>
    </row>
    <row r="397" spans="1:6" ht="13.2">
      <c r="A397" s="295"/>
      <c r="B397" s="295"/>
      <c r="C397" s="295"/>
      <c r="D397" s="951"/>
      <c r="E397" s="951"/>
      <c r="F397" s="951"/>
    </row>
    <row r="398" spans="1:6" ht="13.2">
      <c r="A398" s="295"/>
      <c r="B398" s="295"/>
      <c r="C398" s="295"/>
      <c r="D398" s="951"/>
      <c r="E398" s="951"/>
      <c r="F398" s="951"/>
    </row>
    <row r="399" spans="1:6" ht="13.2">
      <c r="A399" s="295"/>
      <c r="B399" s="295"/>
      <c r="C399" s="295"/>
      <c r="D399" s="951"/>
      <c r="E399" s="951"/>
      <c r="F399" s="951"/>
    </row>
    <row r="400" spans="1:6" ht="13.65" customHeight="1">
      <c r="A400" s="295"/>
      <c r="B400" s="295"/>
      <c r="C400" s="295"/>
      <c r="D400" s="951" t="s">
        <v>441</v>
      </c>
      <c r="E400" s="951"/>
      <c r="F400" s="951"/>
    </row>
    <row r="401" spans="1:6" ht="13.65" customHeight="1">
      <c r="A401" s="295"/>
      <c r="B401" s="295"/>
      <c r="C401" s="295"/>
      <c r="D401" s="951"/>
      <c r="E401" s="951"/>
      <c r="F401" s="951"/>
    </row>
    <row r="402" spans="1:6" ht="13.65" customHeight="1">
      <c r="A402" s="295"/>
      <c r="B402" s="295"/>
      <c r="C402" s="295"/>
      <c r="D402" s="951"/>
      <c r="E402" s="951"/>
      <c r="F402" s="951"/>
    </row>
    <row r="403" spans="1:6" ht="13.65" customHeight="1">
      <c r="A403" s="295"/>
      <c r="B403" s="295"/>
      <c r="C403" s="295"/>
      <c r="D403" s="951"/>
      <c r="E403" s="951"/>
      <c r="F403" s="951"/>
    </row>
    <row r="404" spans="1:6" ht="13.65" customHeight="1">
      <c r="A404" s="295"/>
      <c r="B404" s="295"/>
      <c r="C404" s="295"/>
      <c r="D404" s="951"/>
      <c r="E404" s="951"/>
      <c r="F404" s="951"/>
    </row>
    <row r="405" spans="1:6" ht="13.65" customHeight="1">
      <c r="A405" s="295"/>
      <c r="B405" s="295"/>
      <c r="C405" s="295"/>
      <c r="D405" s="951"/>
      <c r="E405" s="951"/>
      <c r="F405" s="951"/>
    </row>
    <row r="406" spans="1:6" ht="13.65" customHeight="1">
      <c r="A406" s="295"/>
      <c r="B406" s="295"/>
      <c r="C406" s="295"/>
      <c r="D406" s="951"/>
      <c r="E406" s="951"/>
      <c r="F406" s="951"/>
    </row>
    <row r="407" spans="1:6" ht="13.65" customHeight="1">
      <c r="A407" s="295"/>
      <c r="B407" s="295"/>
      <c r="C407" s="295"/>
      <c r="D407" s="951"/>
      <c r="E407" s="951"/>
      <c r="F407" s="951"/>
    </row>
    <row r="408" spans="1:6" ht="13.65" customHeight="1">
      <c r="A408" s="295"/>
      <c r="B408" s="295"/>
      <c r="C408" s="295"/>
      <c r="D408" s="951"/>
      <c r="E408" s="951"/>
      <c r="F408" s="951"/>
    </row>
    <row r="409" spans="1:6" ht="13.65" customHeight="1">
      <c r="A409" s="295"/>
      <c r="B409" s="295"/>
      <c r="C409" s="295"/>
      <c r="D409" s="951"/>
      <c r="E409" s="951"/>
      <c r="F409" s="951"/>
    </row>
    <row r="410" spans="1:6" ht="13.65" customHeight="1">
      <c r="A410" s="295"/>
      <c r="B410" s="295"/>
      <c r="C410" s="295"/>
      <c r="D410" s="951"/>
      <c r="E410" s="951"/>
      <c r="F410" s="951"/>
    </row>
    <row r="411" spans="1:6" ht="13.65" customHeight="1">
      <c r="A411" s="295"/>
      <c r="B411" s="295"/>
      <c r="C411" s="295"/>
      <c r="D411" s="951"/>
      <c r="E411" s="951"/>
      <c r="F411" s="951"/>
    </row>
    <row r="412" spans="1:6" ht="13.65" customHeight="1">
      <c r="A412" s="295"/>
      <c r="B412" s="295"/>
      <c r="C412" s="295"/>
      <c r="D412" s="951"/>
      <c r="E412" s="951"/>
      <c r="F412" s="951"/>
    </row>
    <row r="413" spans="1:6" ht="13.65" customHeight="1">
      <c r="A413" s="295"/>
      <c r="B413" s="295"/>
      <c r="C413" s="295"/>
      <c r="D413" s="951"/>
      <c r="E413" s="951"/>
      <c r="F413" s="951"/>
    </row>
    <row r="414" spans="1:6" ht="13.65" customHeight="1">
      <c r="A414" s="295"/>
      <c r="B414" s="295"/>
      <c r="C414" s="295"/>
      <c r="D414" s="951"/>
      <c r="E414" s="951"/>
      <c r="F414" s="951"/>
    </row>
    <row r="415" spans="1:6" ht="13.65" customHeight="1">
      <c r="A415" s="295"/>
      <c r="B415" s="295"/>
      <c r="C415" s="295"/>
      <c r="D415" s="951"/>
      <c r="E415" s="951"/>
      <c r="F415" s="951"/>
    </row>
    <row r="416" spans="1:6" ht="13.65" customHeight="1">
      <c r="A416" s="295"/>
      <c r="B416" s="295"/>
      <c r="C416" s="295"/>
      <c r="D416" s="951"/>
      <c r="E416" s="951"/>
      <c r="F416" s="951"/>
    </row>
    <row r="417" spans="1:6" ht="13.65" customHeight="1">
      <c r="A417" s="295"/>
      <c r="B417" s="295"/>
      <c r="C417" s="295"/>
      <c r="D417" s="951"/>
      <c r="E417" s="951"/>
      <c r="F417" s="951"/>
    </row>
    <row r="418" spans="1:6" ht="13.2">
      <c r="A418" s="295"/>
      <c r="B418" s="295"/>
      <c r="C418" s="295"/>
      <c r="D418" s="340"/>
      <c r="E418" s="37"/>
      <c r="F418" s="37"/>
    </row>
    <row r="419" spans="1:6" ht="13.65" customHeight="1">
      <c r="A419" s="295"/>
      <c r="B419" s="515" t="s">
        <v>325</v>
      </c>
      <c r="C419" s="295"/>
      <c r="D419" s="951" t="s">
        <v>442</v>
      </c>
      <c r="E419" s="951"/>
      <c r="F419" s="951"/>
    </row>
    <row r="420" spans="1:6" ht="13.2">
      <c r="A420" s="295"/>
      <c r="B420" s="295"/>
      <c r="C420" s="295"/>
      <c r="D420" s="951"/>
      <c r="E420" s="951"/>
      <c r="F420" s="951"/>
    </row>
    <row r="421" spans="1:6" ht="13.2">
      <c r="A421" s="295"/>
      <c r="B421" s="295"/>
      <c r="C421" s="295"/>
      <c r="D421" s="532"/>
      <c r="E421" s="532"/>
      <c r="F421" s="532"/>
    </row>
    <row r="422" spans="1:6" ht="13.2">
      <c r="A422" s="295"/>
      <c r="B422" s="515" t="s">
        <v>325</v>
      </c>
      <c r="C422" s="295"/>
      <c r="D422" s="953" t="s">
        <v>443</v>
      </c>
      <c r="E422" s="953"/>
      <c r="F422" s="953"/>
    </row>
    <row r="423" spans="1:6" ht="13.2">
      <c r="A423" s="295"/>
      <c r="B423" s="295"/>
      <c r="C423" s="295"/>
      <c r="D423" s="953"/>
      <c r="E423" s="953"/>
      <c r="F423" s="953"/>
    </row>
    <row r="424" spans="1:6" ht="13.2">
      <c r="A424" s="295"/>
      <c r="B424" s="295"/>
      <c r="C424" s="295"/>
      <c r="D424" s="953"/>
      <c r="E424" s="953"/>
      <c r="F424" s="953"/>
    </row>
    <row r="425" spans="1:6" ht="13.2">
      <c r="A425" s="295"/>
      <c r="B425" s="295"/>
      <c r="C425" s="295"/>
      <c r="D425" s="953"/>
      <c r="E425" s="953"/>
      <c r="F425" s="953"/>
    </row>
    <row r="426" spans="1:6" ht="13.2">
      <c r="A426" s="295"/>
      <c r="B426" s="295"/>
      <c r="C426" s="295"/>
      <c r="D426" s="953"/>
      <c r="E426" s="953"/>
      <c r="F426" s="953"/>
    </row>
    <row r="427" spans="1:6" ht="13.2">
      <c r="A427" s="295"/>
      <c r="B427" s="295"/>
      <c r="C427" s="295"/>
      <c r="D427" s="953"/>
      <c r="E427" s="953"/>
      <c r="F427" s="953"/>
    </row>
    <row r="428" spans="1:6" ht="14.4" customHeight="1">
      <c r="A428" s="233"/>
      <c r="B428" s="515" t="s">
        <v>325</v>
      </c>
      <c r="C428" s="295"/>
      <c r="D428" s="953" t="s">
        <v>444</v>
      </c>
      <c r="E428" s="953"/>
      <c r="F428" s="953"/>
    </row>
    <row r="429" spans="1:6" ht="14.4">
      <c r="A429" s="411"/>
      <c r="B429" s="411"/>
      <c r="C429" s="295"/>
      <c r="D429" s="953"/>
      <c r="E429" s="953"/>
      <c r="F429" s="953"/>
    </row>
    <row r="430" spans="1:6" ht="14.4">
      <c r="A430" s="411"/>
      <c r="B430" s="411"/>
      <c r="C430" s="295"/>
      <c r="D430" s="953"/>
      <c r="E430" s="953"/>
      <c r="F430" s="953"/>
    </row>
    <row r="431" spans="1:6" ht="14.4">
      <c r="A431" s="411"/>
      <c r="B431" s="411"/>
      <c r="C431" s="295"/>
      <c r="D431" s="953"/>
      <c r="E431" s="953"/>
      <c r="F431" s="953"/>
    </row>
    <row r="432" spans="1:6" ht="14.25" customHeight="1">
      <c r="A432" s="411"/>
      <c r="B432" s="411"/>
      <c r="C432" s="295"/>
      <c r="D432" s="954" t="s">
        <v>445</v>
      </c>
      <c r="E432" s="954"/>
      <c r="F432" s="954"/>
    </row>
    <row r="433" spans="1:6" ht="13.2">
      <c r="A433" s="401"/>
      <c r="B433" s="401"/>
      <c r="C433" s="401"/>
      <c r="D433" s="232"/>
      <c r="E433" s="37"/>
      <c r="F433" s="37"/>
    </row>
    <row r="434" spans="1:6" ht="14.4" customHeight="1">
      <c r="A434" s="233"/>
      <c r="B434" s="515" t="s">
        <v>325</v>
      </c>
      <c r="C434" s="864"/>
      <c r="D434" s="930" t="s">
        <v>446</v>
      </c>
      <c r="E434" s="930"/>
      <c r="F434" s="930"/>
    </row>
    <row r="435" spans="1:6" ht="14.4">
      <c r="A435" s="233"/>
      <c r="B435" s="233"/>
      <c r="C435" s="401"/>
      <c r="D435" s="930"/>
      <c r="E435" s="930"/>
      <c r="F435" s="930"/>
    </row>
    <row r="436" spans="1:6" ht="14.4">
      <c r="A436" s="233"/>
      <c r="B436" s="233"/>
      <c r="C436" s="401"/>
      <c r="D436" s="930"/>
      <c r="E436" s="930"/>
      <c r="F436" s="930"/>
    </row>
    <row r="437" spans="1:6" ht="14.4">
      <c r="A437" s="233"/>
      <c r="B437" s="233"/>
      <c r="C437" s="401"/>
      <c r="D437" s="930"/>
      <c r="E437" s="930"/>
      <c r="F437" s="930"/>
    </row>
    <row r="438" spans="1:6" ht="14.4">
      <c r="A438" s="233"/>
      <c r="B438" s="233"/>
      <c r="C438" s="401"/>
      <c r="D438" s="930"/>
      <c r="E438" s="930"/>
      <c r="F438" s="930"/>
    </row>
    <row r="439" spans="1:6" ht="14.4">
      <c r="A439" s="233"/>
      <c r="B439" s="233"/>
      <c r="C439" s="401"/>
      <c r="D439" s="930"/>
      <c r="E439" s="930"/>
      <c r="F439" s="930"/>
    </row>
    <row r="440" spans="1:6" ht="14.4">
      <c r="A440" s="233"/>
      <c r="B440" s="233"/>
      <c r="C440" s="401"/>
      <c r="D440" s="930"/>
      <c r="E440" s="930"/>
      <c r="F440" s="930"/>
    </row>
    <row r="441" spans="1:6" ht="14.4">
      <c r="A441" s="233"/>
      <c r="B441" s="233"/>
      <c r="C441" s="401"/>
      <c r="D441" s="930"/>
      <c r="E441" s="930"/>
      <c r="F441" s="930"/>
    </row>
    <row r="442" spans="1:6" ht="14.4">
      <c r="A442" s="233"/>
      <c r="B442" s="233"/>
      <c r="C442" s="401"/>
      <c r="D442" s="930"/>
      <c r="E442" s="930"/>
      <c r="F442" s="930"/>
    </row>
    <row r="443" spans="1:6" ht="14.4">
      <c r="A443" s="233"/>
      <c r="B443" s="233"/>
      <c r="C443" s="401"/>
      <c r="D443" s="930"/>
      <c r="E443" s="930"/>
      <c r="F443" s="930"/>
    </row>
    <row r="444" spans="1:6" ht="14.4">
      <c r="A444" s="233"/>
      <c r="B444" s="233"/>
      <c r="C444" s="401"/>
      <c r="D444" s="930"/>
      <c r="E444" s="930"/>
      <c r="F444" s="930"/>
    </row>
    <row r="445" spans="1:6" ht="14.4">
      <c r="A445" s="233"/>
      <c r="B445" s="233"/>
      <c r="C445" s="401"/>
      <c r="D445" s="930"/>
      <c r="E445" s="930"/>
      <c r="F445" s="930"/>
    </row>
    <row r="446" spans="1:6" ht="14.4">
      <c r="A446" s="233"/>
      <c r="B446" s="233"/>
      <c r="C446" s="401"/>
      <c r="D446" s="930"/>
      <c r="E446" s="930"/>
      <c r="F446" s="930"/>
    </row>
    <row r="447" spans="1:6" ht="14.4">
      <c r="A447" s="233"/>
      <c r="B447" s="233"/>
      <c r="C447" s="401"/>
      <c r="D447" s="930"/>
      <c r="E447" s="930"/>
      <c r="F447" s="930"/>
    </row>
    <row r="448" spans="1:6" ht="14.4">
      <c r="A448" s="233"/>
      <c r="B448" s="233"/>
      <c r="C448" s="401"/>
      <c r="D448" s="930"/>
      <c r="E448" s="930"/>
      <c r="F448" s="930"/>
    </row>
    <row r="449" spans="1:6" ht="14.4">
      <c r="A449" s="233"/>
      <c r="B449" s="233"/>
      <c r="C449" s="401"/>
      <c r="D449" s="930"/>
      <c r="E449" s="930"/>
      <c r="F449" s="930"/>
    </row>
    <row r="450" spans="1:6" ht="14.4">
      <c r="A450" s="233"/>
      <c r="B450" s="233"/>
      <c r="C450" s="401"/>
      <c r="D450" s="930"/>
      <c r="E450" s="930"/>
      <c r="F450" s="930"/>
    </row>
    <row r="451" spans="1:6" ht="14.4">
      <c r="A451" s="233"/>
      <c r="B451" s="233"/>
      <c r="C451" s="401"/>
      <c r="D451" s="930"/>
      <c r="E451" s="930"/>
      <c r="F451" s="930"/>
    </row>
    <row r="452" spans="1:6" ht="14.4">
      <c r="A452" s="233"/>
      <c r="B452" s="233"/>
      <c r="C452" s="401"/>
      <c r="D452" s="930"/>
      <c r="E452" s="930"/>
      <c r="F452" s="930"/>
    </row>
    <row r="453" spans="1:6" ht="14.4">
      <c r="A453" s="233"/>
      <c r="B453" s="233"/>
      <c r="C453" s="401"/>
      <c r="D453" s="930"/>
      <c r="E453" s="930"/>
      <c r="F453" s="930"/>
    </row>
    <row r="454" spans="1:6" ht="14.4">
      <c r="A454" s="233"/>
      <c r="B454" s="233"/>
      <c r="C454" s="401"/>
      <c r="D454" s="930"/>
      <c r="E454" s="930"/>
      <c r="F454" s="930"/>
    </row>
    <row r="455" spans="1:6" ht="14.4">
      <c r="A455" s="233"/>
      <c r="B455" s="233"/>
      <c r="C455" s="401"/>
      <c r="D455" s="930"/>
      <c r="E455" s="930"/>
      <c r="F455" s="930"/>
    </row>
    <row r="456" spans="1:6" ht="14.4">
      <c r="A456" s="233"/>
      <c r="B456" s="233"/>
      <c r="C456" s="401"/>
      <c r="D456" s="930"/>
      <c r="E456" s="930"/>
      <c r="F456" s="930"/>
    </row>
    <row r="457" spans="1:6" ht="14.4">
      <c r="A457" s="233"/>
      <c r="B457" s="233"/>
      <c r="C457" s="401"/>
      <c r="D457" s="930"/>
      <c r="E457" s="930"/>
      <c r="F457" s="930"/>
    </row>
    <row r="458" spans="1:6" ht="14.4">
      <c r="A458" s="233"/>
      <c r="B458" s="233"/>
      <c r="C458" s="401"/>
      <c r="D458" s="930"/>
      <c r="E458" s="930"/>
      <c r="F458" s="930"/>
    </row>
    <row r="459" spans="1:6" ht="14.4">
      <c r="A459" s="233"/>
      <c r="B459" s="233"/>
      <c r="C459" s="401"/>
      <c r="D459" s="930"/>
      <c r="E459" s="930"/>
      <c r="F459" s="930"/>
    </row>
    <row r="460" spans="1:6" ht="14.4">
      <c r="A460" s="233"/>
      <c r="B460" s="233"/>
      <c r="C460" s="401"/>
      <c r="D460" s="930"/>
      <c r="E460" s="930"/>
      <c r="F460" s="930"/>
    </row>
    <row r="461" spans="1:6" ht="14.4">
      <c r="A461" s="233"/>
      <c r="B461" s="233"/>
      <c r="C461" s="401"/>
      <c r="D461" s="930"/>
      <c r="E461" s="930"/>
      <c r="F461" s="930"/>
    </row>
    <row r="462" spans="1:6" ht="14.4">
      <c r="A462" s="233"/>
      <c r="B462" s="233"/>
      <c r="C462" s="401"/>
      <c r="D462" s="930"/>
      <c r="E462" s="930"/>
      <c r="F462" s="930"/>
    </row>
    <row r="463" spans="1:6" ht="14.4">
      <c r="A463" s="233"/>
      <c r="B463" s="233"/>
      <c r="C463" s="401"/>
      <c r="D463" s="930"/>
      <c r="E463" s="930"/>
      <c r="F463" s="930"/>
    </row>
    <row r="464" spans="1:6" ht="13.2" hidden="1">
      <c r="A464" s="401"/>
      <c r="B464" s="401"/>
      <c r="C464" s="401"/>
      <c r="D464" s="930"/>
      <c r="E464" s="930"/>
      <c r="F464" s="930"/>
    </row>
    <row r="465" spans="1:6" ht="13.2" hidden="1">
      <c r="A465" s="401"/>
      <c r="B465" s="401"/>
      <c r="C465" s="401"/>
      <c r="D465" s="232"/>
      <c r="E465" s="37"/>
      <c r="F465" s="37"/>
    </row>
    <row r="466" spans="1:6" ht="14.4">
      <c r="A466" s="233"/>
      <c r="B466" s="515" t="s">
        <v>325</v>
      </c>
      <c r="C466" s="864"/>
      <c r="D466" s="952" t="s">
        <v>447</v>
      </c>
      <c r="E466" s="952"/>
      <c r="F466" s="952"/>
    </row>
    <row r="467" spans="1:6" ht="13.2">
      <c r="A467" s="401"/>
      <c r="B467" s="401"/>
      <c r="C467" s="401"/>
      <c r="D467"/>
      <c r="E467" s="812" t="s">
        <v>448</v>
      </c>
      <c r="F467" s="812"/>
    </row>
    <row r="468" spans="1:6" ht="13.65" customHeight="1">
      <c r="A468" s="401"/>
      <c r="B468" s="401"/>
      <c r="C468" s="401"/>
      <c r="D468" s="930" t="s">
        <v>449</v>
      </c>
      <c r="E468" s="930"/>
      <c r="F468" s="930"/>
    </row>
    <row r="469" spans="1:6" ht="13.65" customHeight="1">
      <c r="A469" s="401"/>
      <c r="B469" s="401"/>
      <c r="C469" s="401"/>
      <c r="D469" s="930"/>
      <c r="E469" s="930"/>
      <c r="F469" s="930"/>
    </row>
    <row r="470" spans="1:6" ht="13.2">
      <c r="A470" s="401"/>
      <c r="B470" s="401"/>
      <c r="C470" s="401"/>
      <c r="D470" s="232"/>
      <c r="E470" s="37"/>
      <c r="F470" s="37"/>
    </row>
    <row r="471" spans="1:6" ht="14.4" customHeight="1">
      <c r="A471" s="233"/>
      <c r="B471" s="515" t="s">
        <v>325</v>
      </c>
      <c r="C471" s="864"/>
      <c r="D471" s="930" t="s">
        <v>450</v>
      </c>
      <c r="E471" s="930"/>
      <c r="F471" s="930"/>
    </row>
    <row r="472" spans="1:6" ht="13.2">
      <c r="A472" s="401"/>
      <c r="B472" s="401"/>
      <c r="C472" s="401"/>
      <c r="D472" s="930"/>
      <c r="E472" s="930"/>
      <c r="F472" s="930"/>
    </row>
    <row r="473" spans="1:6" ht="13.2">
      <c r="A473" s="401"/>
      <c r="B473" s="401"/>
      <c r="C473" s="401"/>
      <c r="D473" s="930"/>
      <c r="E473" s="930"/>
      <c r="F473" s="930"/>
    </row>
    <row r="474" spans="1:6" ht="13.2">
      <c r="A474" s="401"/>
      <c r="B474" s="401"/>
      <c r="C474" s="401"/>
      <c r="D474" s="178"/>
      <c r="E474" s="178"/>
      <c r="F474" s="178"/>
    </row>
    <row r="475" spans="1:6" ht="14.4">
      <c r="A475" s="401"/>
      <c r="B475" s="515" t="s">
        <v>325</v>
      </c>
      <c r="C475" s="233"/>
      <c r="D475" s="930" t="s">
        <v>451</v>
      </c>
      <c r="E475" s="930"/>
      <c r="F475" s="930"/>
    </row>
    <row r="476" spans="1:6" ht="13.2">
      <c r="A476" s="401"/>
      <c r="B476" s="401"/>
      <c r="C476" s="401"/>
      <c r="D476" s="930"/>
      <c r="E476" s="930"/>
      <c r="F476" s="930"/>
    </row>
    <row r="477" spans="1:6" ht="13.2">
      <c r="A477" s="401"/>
      <c r="B477" s="401"/>
      <c r="C477" s="401"/>
      <c r="D477" s="232"/>
      <c r="E477" s="232"/>
      <c r="F477" s="37"/>
    </row>
    <row r="478" spans="1:6" ht="14.4">
      <c r="A478" s="401"/>
      <c r="B478" s="515" t="s">
        <v>325</v>
      </c>
      <c r="C478" s="233"/>
      <c r="D478" s="930" t="s">
        <v>452</v>
      </c>
      <c r="E478" s="930"/>
      <c r="F478" s="930"/>
    </row>
    <row r="479" spans="1:6" ht="13.2">
      <c r="A479" s="401"/>
      <c r="B479" s="401"/>
      <c r="C479" s="401"/>
      <c r="D479" s="930"/>
      <c r="E479" s="930"/>
      <c r="F479" s="930"/>
    </row>
    <row r="480" spans="1:6" ht="13.2">
      <c r="A480" s="401"/>
      <c r="B480" s="401"/>
      <c r="C480" s="401"/>
      <c r="D480" s="930"/>
      <c r="E480" s="930"/>
      <c r="F480" s="930"/>
    </row>
    <row r="481" spans="2:6" ht="13.2">
      <c r="B481" s="401"/>
      <c r="C481" s="401"/>
      <c r="D481" s="930"/>
      <c r="E481" s="930"/>
      <c r="F481" s="930"/>
    </row>
    <row r="482" spans="2:6" ht="13.2">
      <c r="B482" s="515" t="s">
        <v>325</v>
      </c>
      <c r="C482" s="401"/>
      <c r="D482" s="930"/>
      <c r="E482" s="930"/>
      <c r="F482" s="930"/>
    </row>
    <row r="483" spans="2:6" ht="13.2">
      <c r="B483" s="401"/>
      <c r="C483" s="401"/>
      <c r="D483" s="930"/>
      <c r="E483" s="930"/>
      <c r="F483" s="930"/>
    </row>
    <row r="484" spans="2:6" ht="13.2">
      <c r="B484" s="401"/>
      <c r="C484" s="401"/>
      <c r="D484" s="930"/>
      <c r="E484" s="930"/>
      <c r="F484" s="930"/>
    </row>
    <row r="485" spans="2:6" ht="13.2">
      <c r="B485" s="515" t="s">
        <v>325</v>
      </c>
      <c r="C485" s="401"/>
      <c r="D485" s="930"/>
      <c r="E485" s="930"/>
      <c r="F485" s="930"/>
    </row>
    <row r="486" spans="2:6" ht="13.2">
      <c r="B486" s="401"/>
      <c r="C486" s="401"/>
      <c r="D486" s="930"/>
      <c r="E486" s="930"/>
      <c r="F486" s="930"/>
    </row>
    <row r="487" spans="2:6" ht="13.2">
      <c r="B487" s="401"/>
      <c r="C487" s="401"/>
      <c r="D487" s="930"/>
      <c r="E487" s="930"/>
      <c r="F487" s="930"/>
    </row>
    <row r="488" spans="2:6" ht="13.2">
      <c r="B488" s="401"/>
      <c r="C488" s="401"/>
      <c r="D488" s="930"/>
      <c r="E488" s="930"/>
      <c r="F488" s="930"/>
    </row>
    <row r="489" spans="2:6" ht="13.2">
      <c r="B489" s="515" t="s">
        <v>325</v>
      </c>
      <c r="C489" s="401"/>
      <c r="D489" s="930"/>
      <c r="E489" s="930"/>
      <c r="F489" s="930"/>
    </row>
    <row r="490" spans="2:6" ht="13.2">
      <c r="B490" s="401"/>
      <c r="C490" s="401"/>
      <c r="D490" s="930"/>
      <c r="E490" s="930"/>
      <c r="F490" s="930"/>
    </row>
    <row r="491" spans="2:6" ht="13.2">
      <c r="B491" s="515" t="s">
        <v>325</v>
      </c>
      <c r="C491" s="401"/>
      <c r="D491" s="930"/>
      <c r="E491" s="930"/>
      <c r="F491" s="930"/>
    </row>
    <row r="492" spans="2:6" ht="13.2">
      <c r="B492" s="401"/>
      <c r="C492" s="401"/>
      <c r="D492" s="930"/>
      <c r="E492" s="930"/>
      <c r="F492" s="930"/>
    </row>
    <row r="493" spans="2:6" ht="13.65" customHeight="1">
      <c r="B493" s="515" t="s">
        <v>325</v>
      </c>
      <c r="C493" s="401"/>
      <c r="D493" s="930" t="s">
        <v>453</v>
      </c>
      <c r="E493" s="930"/>
      <c r="F493" s="930"/>
    </row>
    <row r="494" spans="2:6" ht="13.2">
      <c r="B494" s="401"/>
      <c r="C494" s="401"/>
      <c r="D494" s="930"/>
      <c r="E494" s="930"/>
      <c r="F494" s="930"/>
    </row>
    <row r="495" spans="2:6" ht="13.2">
      <c r="B495" s="401"/>
      <c r="C495" s="401"/>
      <c r="D495" s="930"/>
      <c r="E495" s="930"/>
      <c r="F495" s="930"/>
    </row>
    <row r="496" spans="2:6" ht="13.2">
      <c r="B496" s="401"/>
      <c r="C496" s="401"/>
      <c r="D496" s="930"/>
      <c r="E496" s="930"/>
      <c r="F496" s="930"/>
    </row>
    <row r="497" spans="1:7" ht="13.2">
      <c r="A497" s="401"/>
      <c r="B497" s="401"/>
      <c r="C497" s="401"/>
      <c r="D497" s="930"/>
      <c r="E497" s="930"/>
      <c r="F497" s="930"/>
      <c r="G497" s="37"/>
    </row>
    <row r="498" spans="1:7" ht="13.2">
      <c r="A498" s="401"/>
      <c r="B498" s="401"/>
      <c r="C498" s="401"/>
      <c r="D498" s="232"/>
      <c r="E498" s="37"/>
      <c r="F498" s="37"/>
      <c r="G498" s="37"/>
    </row>
    <row r="499" spans="1:7" ht="13.2">
      <c r="A499" s="401"/>
      <c r="B499" s="515" t="s">
        <v>325</v>
      </c>
      <c r="C499" s="401"/>
      <c r="D499" s="952" t="s">
        <v>454</v>
      </c>
      <c r="E499" s="952"/>
      <c r="F499" s="952"/>
      <c r="G499" s="37"/>
    </row>
    <row r="500" spans="1:7" ht="13.2">
      <c r="A500" s="232"/>
      <c r="B500" s="232"/>
      <c r="C500" s="401"/>
      <c r="D500" s="37"/>
      <c r="E500" s="37"/>
      <c r="F500" s="37"/>
      <c r="G500" s="37"/>
    </row>
    <row r="501" spans="1:7" ht="13.2">
      <c r="A501" s="956" t="s">
        <v>455</v>
      </c>
      <c r="B501" s="956"/>
      <c r="C501" s="956"/>
      <c r="D501" s="956"/>
      <c r="E501" s="956"/>
      <c r="F501" s="956"/>
      <c r="G501" s="956"/>
    </row>
    <row r="502" spans="1:7" ht="13.2">
      <c r="A502" s="232"/>
      <c r="B502" s="232"/>
      <c r="C502" s="401"/>
      <c r="D502" s="37"/>
      <c r="E502" s="37"/>
      <c r="F502" s="37"/>
      <c r="G502" s="37"/>
    </row>
    <row r="503" spans="1:7" ht="13.2">
      <c r="A503" s="401"/>
      <c r="B503" s="401"/>
      <c r="C503" s="401"/>
      <c r="D503" s="960" t="s">
        <v>456</v>
      </c>
      <c r="E503" s="960"/>
      <c r="F503" s="960"/>
      <c r="G503" s="37"/>
    </row>
    <row r="504" spans="1:7" ht="13.2">
      <c r="A504" s="401"/>
      <c r="B504" s="401"/>
      <c r="C504" s="401"/>
      <c r="D504" s="961" t="s">
        <v>457</v>
      </c>
      <c r="E504" s="961"/>
      <c r="F504" s="961"/>
      <c r="G504" s="37"/>
    </row>
    <row r="505" spans="1:7" ht="14.4">
      <c r="A505" s="233"/>
      <c r="B505" s="233"/>
      <c r="C505" s="401"/>
      <c r="D505" s="340"/>
      <c r="E505" s="37"/>
      <c r="F505" s="37"/>
      <c r="G505" s="37"/>
    </row>
    <row r="506" spans="1:7" ht="14.4">
      <c r="A506" s="233"/>
      <c r="B506" s="515" t="s">
        <v>323</v>
      </c>
      <c r="C506" s="401"/>
      <c r="D506" s="951" t="s">
        <v>458</v>
      </c>
      <c r="E506" s="951"/>
      <c r="F506" s="951"/>
      <c r="G506" s="37"/>
    </row>
    <row r="507" spans="1:7" ht="14.4">
      <c r="A507" s="233"/>
      <c r="B507" s="233"/>
      <c r="C507" s="401"/>
      <c r="D507" s="951"/>
      <c r="E507" s="951"/>
      <c r="F507" s="951"/>
      <c r="G507" s="37"/>
    </row>
    <row r="508" spans="1:7" ht="14.4">
      <c r="A508" s="233"/>
      <c r="B508" s="233"/>
      <c r="C508" s="401"/>
      <c r="D508" s="232"/>
      <c r="E508" s="37"/>
      <c r="F508" s="37"/>
      <c r="G508" s="37"/>
    </row>
    <row r="509" spans="1:7" ht="14.4">
      <c r="A509" s="233"/>
      <c r="B509" s="515" t="s">
        <v>323</v>
      </c>
      <c r="C509" s="401"/>
      <c r="D509" s="962" t="s">
        <v>459</v>
      </c>
      <c r="E509" s="959"/>
      <c r="F509" s="959"/>
      <c r="G509" s="37"/>
    </row>
    <row r="510" spans="1:7" ht="14.4">
      <c r="A510" s="233"/>
      <c r="B510" s="233"/>
      <c r="C510" s="401"/>
      <c r="D510" s="959"/>
      <c r="E510" s="959"/>
      <c r="F510" s="959"/>
      <c r="G510" s="37"/>
    </row>
    <row r="511" spans="1:7" ht="14.4">
      <c r="A511" s="233"/>
      <c r="B511" s="233"/>
      <c r="C511" s="401"/>
      <c r="D511" s="959"/>
      <c r="E511" s="959"/>
      <c r="F511" s="959"/>
      <c r="G511"/>
    </row>
    <row r="512" spans="1:7" ht="14.4">
      <c r="A512" s="233"/>
      <c r="B512" s="233"/>
      <c r="C512" s="401"/>
      <c r="D512" s="959"/>
      <c r="E512" s="959"/>
      <c r="F512" s="959"/>
      <c r="G512"/>
    </row>
    <row r="513" spans="1:7" ht="13.2">
      <c r="A513" s="401"/>
      <c r="B513" s="401"/>
      <c r="C513" s="401"/>
      <c r="D513" s="37"/>
      <c r="E513" s="37"/>
      <c r="F513" s="37"/>
      <c r="G513"/>
    </row>
    <row r="514" spans="1:7" ht="14.4">
      <c r="A514" s="233"/>
      <c r="B514" s="515" t="s">
        <v>323</v>
      </c>
      <c r="C514" s="401"/>
      <c r="D514" s="952" t="s">
        <v>460</v>
      </c>
      <c r="E514" s="952"/>
      <c r="F514" s="952"/>
      <c r="G514"/>
    </row>
    <row r="515" spans="1:7" ht="13.2">
      <c r="A515" s="401"/>
      <c r="B515" s="401"/>
      <c r="C515" s="401"/>
      <c r="D515" s="232"/>
      <c r="E515" s="37"/>
      <c r="F515" s="37"/>
      <c r="G515"/>
    </row>
    <row r="516" spans="1:7" ht="14.4">
      <c r="A516" s="233"/>
      <c r="B516" s="515" t="s">
        <v>323</v>
      </c>
      <c r="C516" s="401"/>
      <c r="D516" s="930" t="s">
        <v>461</v>
      </c>
      <c r="E516" s="930"/>
      <c r="F516" s="930"/>
      <c r="G516"/>
    </row>
    <row r="517" spans="1:7" ht="13.2">
      <c r="A517" s="401"/>
      <c r="B517" s="401"/>
      <c r="C517" s="401"/>
      <c r="D517" s="930"/>
      <c r="E517" s="930"/>
      <c r="F517" s="930"/>
      <c r="G517"/>
    </row>
    <row r="518" spans="1:7" ht="13.2">
      <c r="A518" s="401"/>
      <c r="B518" s="401"/>
      <c r="C518" s="401"/>
      <c r="D518" s="340"/>
      <c r="E518" s="37"/>
      <c r="F518" s="37"/>
      <c r="G518"/>
    </row>
    <row r="519" spans="1:7" ht="14.4">
      <c r="A519" s="233"/>
      <c r="B519" s="515" t="s">
        <v>325</v>
      </c>
      <c r="C519" s="401"/>
      <c r="D519" s="952" t="s">
        <v>462</v>
      </c>
      <c r="E519" s="952"/>
      <c r="F519" s="952"/>
      <c r="G519" s="37"/>
    </row>
    <row r="520" spans="1:7" ht="14.4">
      <c r="A520" s="233"/>
      <c r="B520" s="233"/>
      <c r="C520" s="401"/>
      <c r="D520" s="232"/>
      <c r="E520" s="37"/>
      <c r="F520" s="37"/>
      <c r="G520" s="37"/>
    </row>
    <row r="521" spans="1:7" ht="13.2">
      <c r="A521" s="956" t="s">
        <v>463</v>
      </c>
      <c r="B521" s="956"/>
      <c r="C521" s="956"/>
      <c r="D521" s="956"/>
      <c r="E521" s="956"/>
      <c r="F521" s="956"/>
      <c r="G521" s="956"/>
    </row>
    <row r="522" spans="1:7" ht="12" customHeight="1">
      <c r="A522" s="233"/>
      <c r="B522" s="233"/>
      <c r="C522" s="401"/>
      <c r="D522" s="232"/>
      <c r="E522" s="37"/>
      <c r="F522" s="37"/>
      <c r="G522" s="37"/>
    </row>
    <row r="523" spans="1:7" ht="13.2">
      <c r="A523" s="401"/>
      <c r="B523" s="515" t="s">
        <v>323</v>
      </c>
      <c r="C523" s="167"/>
      <c r="D523" s="979" t="s">
        <v>464</v>
      </c>
      <c r="E523" s="979"/>
      <c r="F523" s="979"/>
      <c r="G523" s="37"/>
    </row>
    <row r="524" spans="1:7" ht="13.2">
      <c r="A524" s="401"/>
      <c r="B524" s="401"/>
      <c r="C524" s="167"/>
      <c r="D524" s="979"/>
      <c r="E524" s="979"/>
      <c r="F524" s="979"/>
      <c r="G524" s="37"/>
    </row>
    <row r="525" spans="1:7" ht="13.2">
      <c r="A525" s="168"/>
      <c r="B525" s="168"/>
      <c r="C525" s="168"/>
      <c r="D525" s="979"/>
      <c r="E525" s="979"/>
      <c r="F525" s="979"/>
      <c r="G525" s="37"/>
    </row>
    <row r="526" spans="1:7" ht="13.2">
      <c r="A526" s="168"/>
      <c r="B526" s="168"/>
      <c r="C526" s="168"/>
      <c r="D526" s="979"/>
      <c r="E526" s="979"/>
      <c r="F526" s="979"/>
      <c r="G526" s="37"/>
    </row>
    <row r="527" spans="1:7" ht="13.2">
      <c r="A527" s="168"/>
      <c r="B527" s="168"/>
      <c r="C527" s="168"/>
      <c r="D527" s="37"/>
      <c r="E527" s="37"/>
      <c r="F527" s="37"/>
      <c r="G527" s="37"/>
    </row>
    <row r="528" spans="1:7" ht="14.4">
      <c r="A528" s="233"/>
      <c r="B528" s="515" t="s">
        <v>325</v>
      </c>
      <c r="C528" s="864"/>
      <c r="D528" s="930" t="s">
        <v>465</v>
      </c>
      <c r="E528" s="930"/>
      <c r="F528" s="930"/>
      <c r="G528"/>
    </row>
    <row r="529" spans="1:7" ht="13.2">
      <c r="A529" s="864"/>
      <c r="B529" s="864"/>
      <c r="C529" s="864"/>
      <c r="D529" s="930"/>
      <c r="E529" s="930"/>
      <c r="F529" s="930"/>
      <c r="G529"/>
    </row>
    <row r="530" spans="1:7" ht="13.2">
      <c r="A530" s="168"/>
      <c r="B530" s="168"/>
      <c r="C530" s="168"/>
      <c r="D530" s="232"/>
      <c r="E530" s="37"/>
      <c r="F530" s="37"/>
      <c r="G530"/>
    </row>
    <row r="531" spans="1:7" ht="13.2">
      <c r="A531" s="168"/>
      <c r="B531" s="515" t="s">
        <v>323</v>
      </c>
      <c r="C531" s="168"/>
      <c r="D531" s="813" t="s">
        <v>466</v>
      </c>
      <c r="E531" s="814"/>
      <c r="F531" s="37"/>
      <c r="G531"/>
    </row>
    <row r="532" spans="1:7" ht="13.2">
      <c r="A532" s="168"/>
      <c r="B532" s="168"/>
      <c r="C532" s="168"/>
      <c r="D532" s="814"/>
      <c r="E532" s="84" t="s">
        <v>467</v>
      </c>
      <c r="F532" s="37"/>
      <c r="G532"/>
    </row>
    <row r="533" spans="1:7" ht="14.4">
      <c r="A533" s="233"/>
      <c r="B533"/>
      <c r="C533" s="401"/>
      <c r="D533" s="951" t="s">
        <v>468</v>
      </c>
      <c r="E533" s="951"/>
      <c r="F533" s="951"/>
      <c r="G533"/>
    </row>
    <row r="534" spans="1:7" ht="14.4">
      <c r="A534" s="233"/>
      <c r="B534" s="233"/>
      <c r="C534" s="401"/>
      <c r="D534" s="951"/>
      <c r="E534" s="951"/>
      <c r="F534" s="951"/>
      <c r="G534"/>
    </row>
    <row r="535" spans="1:7" ht="13.2">
      <c r="A535" s="401"/>
      <c r="B535" s="401"/>
      <c r="C535" s="401"/>
      <c r="D535" s="951"/>
      <c r="E535" s="951"/>
      <c r="F535" s="951"/>
      <c r="G535" s="37"/>
    </row>
    <row r="536" spans="1:7" ht="12" customHeight="1">
      <c r="A536" s="232"/>
      <c r="B536" s="232"/>
      <c r="C536" s="864"/>
      <c r="D536" s="37"/>
      <c r="E536" s="232"/>
      <c r="F536" s="37"/>
      <c r="G536" s="37"/>
    </row>
    <row r="537" spans="1:7" ht="13.2">
      <c r="A537" s="956" t="s">
        <v>469</v>
      </c>
      <c r="B537" s="956"/>
      <c r="C537" s="956"/>
      <c r="D537" s="956"/>
      <c r="E537" s="956"/>
      <c r="F537" s="956"/>
      <c r="G537" s="956"/>
    </row>
    <row r="538" spans="1:7" ht="12" customHeight="1">
      <c r="A538" s="232"/>
      <c r="B538" s="232"/>
      <c r="C538" s="864"/>
      <c r="D538" s="37"/>
      <c r="E538" s="232"/>
      <c r="F538" s="37"/>
      <c r="G538" s="37"/>
    </row>
    <row r="539" spans="1:7" ht="13.2">
      <c r="A539" s="401"/>
      <c r="B539" s="401"/>
      <c r="C539" s="864"/>
      <c r="D539" s="957" t="s">
        <v>470</v>
      </c>
      <c r="E539" s="957"/>
      <c r="F539" s="957"/>
      <c r="G539" s="37"/>
    </row>
    <row r="540" spans="1:7" ht="13.2">
      <c r="A540" s="401"/>
      <c r="B540" s="401"/>
      <c r="C540" s="401"/>
      <c r="D540" s="37"/>
      <c r="E540" s="37"/>
      <c r="F540" s="37"/>
      <c r="G540" s="37"/>
    </row>
    <row r="541" spans="1:7" ht="13.2">
      <c r="A541" s="401"/>
      <c r="B541" s="515" t="s">
        <v>325</v>
      </c>
      <c r="C541" s="401"/>
      <c r="D541" s="930" t="s">
        <v>471</v>
      </c>
      <c r="E541" s="930"/>
      <c r="F541" s="930"/>
      <c r="G541" s="37"/>
    </row>
    <row r="542" spans="1:7" ht="13.2">
      <c r="A542" s="401"/>
      <c r="B542" s="401"/>
      <c r="C542" s="401"/>
      <c r="D542" s="930"/>
      <c r="E542" s="930"/>
      <c r="F542" s="930"/>
      <c r="G542" s="37"/>
    </row>
    <row r="543" spans="1:7" ht="12" customHeight="1">
      <c r="A543" s="864"/>
      <c r="B543" s="864"/>
      <c r="C543" s="864"/>
      <c r="D543" s="232"/>
      <c r="E543" s="37"/>
      <c r="F543" s="37"/>
      <c r="G543" s="37"/>
    </row>
    <row r="544" spans="1:7" ht="14.4">
      <c r="A544" s="233"/>
      <c r="B544" s="515" t="s">
        <v>325</v>
      </c>
      <c r="C544" s="864"/>
      <c r="D544" s="930" t="s">
        <v>472</v>
      </c>
      <c r="E544" s="930"/>
      <c r="F544" s="930"/>
      <c r="G544" s="37"/>
    </row>
    <row r="545" spans="1:7" ht="13.2">
      <c r="A545" s="864"/>
      <c r="B545" s="864"/>
      <c r="C545" s="864"/>
      <c r="D545" s="930"/>
      <c r="E545" s="930"/>
      <c r="F545" s="930"/>
      <c r="G545" s="37"/>
    </row>
    <row r="546" spans="1:7" ht="12" customHeight="1">
      <c r="A546" s="864"/>
      <c r="B546" s="864"/>
      <c r="C546" s="864"/>
      <c r="D546" s="232"/>
      <c r="E546" s="37"/>
      <c r="F546" s="37"/>
      <c r="G546" s="37"/>
    </row>
    <row r="547" spans="1:7" ht="13.2">
      <c r="A547" s="976" t="s">
        <v>473</v>
      </c>
      <c r="B547" s="976"/>
      <c r="C547" s="976"/>
      <c r="D547" s="976"/>
      <c r="E547" s="976"/>
      <c r="F547" s="976"/>
      <c r="G547" s="976"/>
    </row>
    <row r="548" spans="1:7" ht="12" customHeight="1">
      <c r="A548" s="232"/>
      <c r="B548" s="232"/>
      <c r="C548" s="864"/>
      <c r="D548" s="232"/>
      <c r="E548" s="37"/>
      <c r="F548" s="37"/>
      <c r="G548" s="37"/>
    </row>
    <row r="549" spans="1:7" ht="13.2">
      <c r="A549" s="401"/>
      <c r="B549" s="401"/>
      <c r="C549" s="864"/>
      <c r="D549" s="957" t="s">
        <v>474</v>
      </c>
      <c r="E549" s="957"/>
      <c r="F549" s="957"/>
      <c r="G549" s="37"/>
    </row>
    <row r="550" spans="1:7" ht="13.2">
      <c r="A550" s="401"/>
      <c r="B550" s="401"/>
      <c r="C550" s="864"/>
      <c r="D550" s="952" t="s">
        <v>475</v>
      </c>
      <c r="E550" s="952"/>
      <c r="F550" s="952"/>
      <c r="G550" s="37"/>
    </row>
    <row r="551" spans="1:7" ht="13.2">
      <c r="A551" s="401"/>
      <c r="B551" s="401"/>
      <c r="C551" s="864"/>
      <c r="D551" s="232"/>
      <c r="E551" s="232"/>
      <c r="F551" s="232"/>
      <c r="G551" s="37"/>
    </row>
    <row r="552" spans="1:7" ht="14.4">
      <c r="A552" s="233"/>
      <c r="B552" s="515" t="s">
        <v>323</v>
      </c>
      <c r="C552" s="864"/>
      <c r="D552" s="952" t="s">
        <v>476</v>
      </c>
      <c r="E552" s="952"/>
      <c r="F552" s="952"/>
      <c r="G552" s="37"/>
    </row>
    <row r="553" spans="1:7" ht="12" customHeight="1">
      <c r="A553" s="864"/>
      <c r="B553" s="864"/>
      <c r="C553" s="864"/>
      <c r="D553" s="232"/>
      <c r="E553"/>
      <c r="F553"/>
      <c r="G553"/>
    </row>
    <row r="554" spans="1:7" ht="14.4" customHeight="1">
      <c r="A554" s="233"/>
      <c r="B554" s="515" t="s">
        <v>323</v>
      </c>
      <c r="C554" s="864"/>
      <c r="D554" s="930" t="s">
        <v>477</v>
      </c>
      <c r="E554" s="930"/>
      <c r="F554" s="930"/>
      <c r="G554"/>
    </row>
    <row r="555" spans="1:7" ht="13.2">
      <c r="A555" s="864"/>
      <c r="B555" s="864"/>
      <c r="C555" s="864"/>
      <c r="D555" s="930"/>
      <c r="E555" s="930"/>
      <c r="F555" s="930"/>
      <c r="G555"/>
    </row>
    <row r="556" spans="1:7" ht="12" customHeight="1">
      <c r="A556" s="864"/>
      <c r="B556" s="864"/>
      <c r="C556" s="864"/>
      <c r="D556" s="232"/>
      <c r="E556"/>
      <c r="F556"/>
      <c r="G556"/>
    </row>
    <row r="557" spans="1:7" ht="14.4">
      <c r="A557" s="233"/>
      <c r="B557" s="515" t="s">
        <v>323</v>
      </c>
      <c r="C557" s="864"/>
      <c r="D557" s="930" t="s">
        <v>478</v>
      </c>
      <c r="E557" s="930"/>
      <c r="F557" s="930"/>
      <c r="G557"/>
    </row>
    <row r="558" spans="1:7" ht="13.2">
      <c r="A558" s="864"/>
      <c r="B558" s="864"/>
      <c r="C558" s="864"/>
      <c r="D558" s="930"/>
      <c r="E558" s="930"/>
      <c r="F558" s="930"/>
      <c r="G558"/>
    </row>
    <row r="559" spans="1:7" ht="12" customHeight="1">
      <c r="A559" s="864"/>
      <c r="B559" s="864"/>
      <c r="C559" s="864"/>
      <c r="D559" s="232"/>
      <c r="E559"/>
      <c r="F559"/>
      <c r="G559"/>
    </row>
    <row r="560" spans="1:7" ht="14.4">
      <c r="A560" s="233"/>
      <c r="B560" s="515" t="s">
        <v>323</v>
      </c>
      <c r="C560" s="864"/>
      <c r="D560" s="930" t="s">
        <v>479</v>
      </c>
      <c r="E560" s="930"/>
      <c r="F560" s="930"/>
      <c r="G560"/>
    </row>
    <row r="561" spans="1:7" ht="13.2">
      <c r="A561" s="864"/>
      <c r="B561" s="864"/>
      <c r="C561" s="864"/>
      <c r="D561" s="930"/>
      <c r="E561" s="930"/>
      <c r="F561" s="930"/>
      <c r="G561"/>
    </row>
    <row r="562" spans="1:7" ht="12" customHeight="1">
      <c r="A562" s="864"/>
      <c r="B562" s="864"/>
      <c r="C562" s="864"/>
      <c r="D562" s="232"/>
      <c r="E562"/>
      <c r="F562"/>
      <c r="G562"/>
    </row>
    <row r="563" spans="1:7" ht="14.4" customHeight="1">
      <c r="A563" s="233"/>
      <c r="B563" s="515" t="s">
        <v>323</v>
      </c>
      <c r="C563" s="864"/>
      <c r="D563" s="930" t="s">
        <v>480</v>
      </c>
      <c r="E563" s="930"/>
      <c r="F563" s="930"/>
      <c r="G563"/>
    </row>
    <row r="564" spans="1:7" ht="13.2">
      <c r="A564" s="864"/>
      <c r="B564" s="864"/>
      <c r="C564" s="864"/>
      <c r="D564" s="930"/>
      <c r="E564" s="930"/>
      <c r="F564" s="930"/>
      <c r="G564"/>
    </row>
    <row r="565" spans="1:7" ht="13.2">
      <c r="A565" s="864"/>
      <c r="B565" s="864"/>
      <c r="C565" s="864"/>
      <c r="D565" s="930"/>
      <c r="E565" s="930"/>
      <c r="F565" s="930"/>
      <c r="G565"/>
    </row>
    <row r="566" spans="1:7" ht="13.2">
      <c r="A566" s="864"/>
      <c r="B566" s="864"/>
      <c r="C566" s="864"/>
      <c r="D566" s="232"/>
      <c r="E566"/>
      <c r="F566"/>
      <c r="G566"/>
    </row>
    <row r="567" spans="1:7" ht="14.4">
      <c r="A567" s="233"/>
      <c r="B567" s="515" t="s">
        <v>325</v>
      </c>
      <c r="C567" s="864"/>
      <c r="D567" s="930" t="s">
        <v>481</v>
      </c>
      <c r="E567" s="930"/>
      <c r="F567" s="930"/>
      <c r="G567"/>
    </row>
    <row r="568" spans="1:7" ht="13.2">
      <c r="A568" s="864"/>
      <c r="B568" s="864"/>
      <c r="C568" s="864"/>
      <c r="D568" s="930"/>
      <c r="E568" s="930"/>
      <c r="F568" s="930"/>
      <c r="G568"/>
    </row>
    <row r="569" spans="1:7" ht="13.2">
      <c r="A569" s="864"/>
      <c r="B569" s="864"/>
      <c r="C569" s="864"/>
      <c r="D569" s="232"/>
      <c r="E569" s="37"/>
      <c r="F569" s="37"/>
      <c r="G569"/>
    </row>
    <row r="570" spans="1:7" ht="14.4">
      <c r="A570" s="233"/>
      <c r="B570" s="515" t="s">
        <v>325</v>
      </c>
      <c r="C570" s="864"/>
      <c r="D570" s="930" t="s">
        <v>482</v>
      </c>
      <c r="E570" s="930"/>
      <c r="F570" s="930"/>
      <c r="G570"/>
    </row>
    <row r="571" spans="1:7" ht="13.2">
      <c r="A571" s="864"/>
      <c r="B571" s="864"/>
      <c r="C571" s="864"/>
      <c r="D571" s="930"/>
      <c r="E571" s="930"/>
      <c r="F571" s="930"/>
      <c r="G571"/>
    </row>
    <row r="572" spans="1:7" ht="12" customHeight="1">
      <c r="A572" s="864"/>
      <c r="B572" s="864"/>
      <c r="C572" s="864"/>
      <c r="D572" s="232"/>
      <c r="E572" s="37"/>
      <c r="F572" s="37"/>
      <c r="G572"/>
    </row>
    <row r="573" spans="1:7" ht="14.4">
      <c r="A573" s="233"/>
      <c r="B573" s="515" t="s">
        <v>323</v>
      </c>
      <c r="C573" s="864"/>
      <c r="D573" s="952" t="s">
        <v>483</v>
      </c>
      <c r="E573" s="952"/>
      <c r="F573" s="952"/>
      <c r="G573"/>
    </row>
    <row r="574" spans="1:7" ht="14.4">
      <c r="A574" s="233"/>
      <c r="B574" s="233"/>
      <c r="C574" s="864"/>
      <c r="D574" s="978" t="s">
        <v>484</v>
      </c>
      <c r="E574" s="978"/>
      <c r="F574" s="978"/>
      <c r="G574"/>
    </row>
    <row r="575" spans="1:7" ht="13.2">
      <c r="A575" s="18"/>
      <c r="B575" s="18"/>
      <c r="C575" s="864"/>
      <c r="D575" s="815"/>
      <c r="E575" s="84" t="s">
        <v>485</v>
      </c>
      <c r="F575" s="816"/>
      <c r="G575"/>
    </row>
    <row r="576" spans="1:7" ht="15" customHeight="1">
      <c r="A576" s="18"/>
      <c r="B576" s="18"/>
      <c r="C576" s="864"/>
      <c r="D576" s="930" t="s">
        <v>486</v>
      </c>
      <c r="E576" s="930"/>
      <c r="F576" s="930"/>
      <c r="G576"/>
    </row>
    <row r="577" spans="1:7" ht="13.2">
      <c r="A577" s="18"/>
      <c r="B577" s="18"/>
      <c r="C577" s="864"/>
      <c r="D577" s="930"/>
      <c r="E577" s="930"/>
      <c r="F577" s="930"/>
      <c r="G577"/>
    </row>
    <row r="578" spans="1:7" ht="13.2">
      <c r="A578" s="18"/>
      <c r="B578" s="18"/>
      <c r="C578" s="864"/>
      <c r="D578" s="930"/>
      <c r="E578" s="930"/>
      <c r="F578" s="930"/>
      <c r="G578"/>
    </row>
    <row r="579" spans="1:7" ht="13.2">
      <c r="A579" s="18"/>
      <c r="B579" s="18"/>
      <c r="C579" s="864"/>
      <c r="D579" s="930"/>
      <c r="E579" s="930"/>
      <c r="F579" s="930"/>
      <c r="G579"/>
    </row>
    <row r="580" spans="1:7" ht="13.2">
      <c r="A580" s="18"/>
      <c r="B580" s="18"/>
      <c r="C580" s="864"/>
      <c r="D580" s="930"/>
      <c r="E580" s="930"/>
      <c r="F580" s="930"/>
      <c r="G580"/>
    </row>
    <row r="581" spans="1:7" ht="13.2">
      <c r="A581" s="18"/>
      <c r="B581" s="18"/>
      <c r="C581" s="864"/>
      <c r="D581" s="930"/>
      <c r="E581" s="930"/>
      <c r="F581" s="930"/>
      <c r="G581"/>
    </row>
    <row r="582" spans="1:7" ht="13.2">
      <c r="A582" s="18"/>
      <c r="B582" s="18"/>
      <c r="C582" s="864"/>
      <c r="D582" s="930"/>
      <c r="E582" s="930"/>
      <c r="F582" s="930"/>
      <c r="G582"/>
    </row>
    <row r="583" spans="1:7" ht="13.2">
      <c r="A583" s="18"/>
      <c r="B583" s="18"/>
      <c r="C583" s="864"/>
      <c r="D583" s="930"/>
      <c r="E583" s="930"/>
      <c r="F583" s="930"/>
      <c r="G583"/>
    </row>
    <row r="584" spans="1:7" ht="13.2">
      <c r="A584" s="18"/>
      <c r="B584" s="18"/>
      <c r="C584" s="864"/>
      <c r="D584" s="930"/>
      <c r="E584" s="930"/>
      <c r="F584" s="930"/>
      <c r="G584"/>
    </row>
    <row r="585" spans="1:7" ht="13.2">
      <c r="A585" s="18"/>
      <c r="B585" s="18"/>
      <c r="C585" s="864"/>
      <c r="D585" s="668"/>
      <c r="E585" s="668"/>
      <c r="F585" s="668"/>
      <c r="G585"/>
    </row>
    <row r="586" spans="1:7" ht="14.4">
      <c r="A586" s="233"/>
      <c r="B586" s="515" t="s">
        <v>323</v>
      </c>
      <c r="C586" s="864"/>
      <c r="D586" s="952" t="s">
        <v>487</v>
      </c>
      <c r="E586" s="952"/>
      <c r="F586" s="952"/>
      <c r="G586"/>
    </row>
    <row r="587" spans="1:7" ht="13.65" customHeight="1">
      <c r="A587" s="401"/>
      <c r="B587" s="401"/>
      <c r="C587" s="864"/>
      <c r="D587" s="930" t="s">
        <v>488</v>
      </c>
      <c r="E587" s="930"/>
      <c r="F587" s="930"/>
      <c r="G587"/>
    </row>
    <row r="588" spans="1:7" ht="13.2">
      <c r="A588" s="864"/>
      <c r="B588" s="864"/>
      <c r="C588" s="864"/>
      <c r="D588" s="930"/>
      <c r="E588" s="930"/>
      <c r="F588" s="930"/>
      <c r="G588"/>
    </row>
    <row r="589" spans="1:7" ht="13.2">
      <c r="A589" s="864"/>
      <c r="B589" s="864"/>
      <c r="C589" s="864"/>
      <c r="D589" s="930"/>
      <c r="E589" s="930"/>
      <c r="F589" s="930"/>
      <c r="G589"/>
    </row>
    <row r="590" spans="1:7" ht="13.2">
      <c r="A590" s="864"/>
      <c r="B590" s="864"/>
      <c r="C590" s="864"/>
      <c r="D590" s="668"/>
      <c r="E590" s="668"/>
      <c r="F590" s="668"/>
      <c r="G590"/>
    </row>
    <row r="591" spans="1:7" ht="14.4" customHeight="1">
      <c r="A591" s="233"/>
      <c r="B591" s="515" t="s">
        <v>323</v>
      </c>
      <c r="C591" s="864"/>
      <c r="D591" s="930" t="s">
        <v>489</v>
      </c>
      <c r="E591" s="930"/>
      <c r="F591" s="930"/>
      <c r="G591"/>
    </row>
    <row r="592" spans="1:7" ht="14.4">
      <c r="A592" s="233"/>
      <c r="B592" s="233"/>
      <c r="C592" s="864"/>
      <c r="D592" s="930"/>
      <c r="E592" s="930"/>
      <c r="F592" s="930"/>
      <c r="G592"/>
    </row>
    <row r="593" spans="1:7" ht="14.4">
      <c r="A593" s="233"/>
      <c r="B593" s="233"/>
      <c r="C593" s="864"/>
      <c r="D593" s="930"/>
      <c r="E593" s="930"/>
      <c r="F593" s="930"/>
      <c r="G593" s="37"/>
    </row>
    <row r="594" spans="1:7" ht="13.2">
      <c r="A594" s="864"/>
      <c r="B594" s="864"/>
      <c r="C594" s="864"/>
      <c r="D594" s="930"/>
      <c r="E594" s="930"/>
      <c r="F594" s="930"/>
      <c r="G594" s="37"/>
    </row>
    <row r="595" spans="1:7" ht="13.2">
      <c r="A595" s="864"/>
      <c r="B595" s="864"/>
      <c r="C595" s="864"/>
      <c r="D595" s="232"/>
      <c r="E595" s="37"/>
      <c r="F595" s="37"/>
      <c r="G595" s="37"/>
    </row>
    <row r="596" spans="1:7" ht="13.2">
      <c r="A596" s="168"/>
      <c r="B596" s="515" t="s">
        <v>325</v>
      </c>
      <c r="C596" s="168"/>
      <c r="D596" s="955" t="s">
        <v>490</v>
      </c>
      <c r="E596" s="955"/>
      <c r="F596" s="955"/>
      <c r="G596" s="37"/>
    </row>
    <row r="597" spans="1:7" ht="13.2">
      <c r="A597" s="168"/>
      <c r="B597" s="168"/>
      <c r="C597" s="168"/>
      <c r="D597" s="37"/>
      <c r="E597" s="37"/>
      <c r="F597" s="37"/>
      <c r="G597" s="37"/>
    </row>
    <row r="598" spans="1:7" ht="13.2">
      <c r="A598" s="864"/>
      <c r="B598" s="864"/>
      <c r="C598" s="864"/>
      <c r="D598" s="178"/>
      <c r="E598" s="178"/>
      <c r="F598" s="178"/>
      <c r="G598" s="37"/>
    </row>
    <row r="599" spans="1:7" ht="13.2">
      <c r="A599" s="956" t="s">
        <v>491</v>
      </c>
      <c r="B599" s="956"/>
      <c r="C599" s="956"/>
      <c r="D599" s="956"/>
      <c r="E599" s="956"/>
      <c r="F599" s="956"/>
      <c r="G599" s="956"/>
    </row>
    <row r="600" spans="1:7" ht="13.2">
      <c r="A600" s="864"/>
      <c r="B600" s="864"/>
      <c r="C600" s="864"/>
      <c r="D600" s="37"/>
      <c r="E600" s="37"/>
      <c r="F600" s="37"/>
      <c r="G600" s="37"/>
    </row>
    <row r="601" spans="1:7" ht="13.2">
      <c r="A601" s="401"/>
      <c r="B601" s="401"/>
      <c r="C601" s="167"/>
      <c r="D601" s="958" t="s">
        <v>492</v>
      </c>
      <c r="E601" s="958"/>
      <c r="F601" s="958"/>
      <c r="G601" s="37"/>
    </row>
    <row r="602" spans="1:7" ht="13.2">
      <c r="A602" s="401"/>
      <c r="B602" s="401"/>
      <c r="C602" s="167"/>
      <c r="D602" s="959" t="s">
        <v>493</v>
      </c>
      <c r="E602" s="959"/>
      <c r="F602" s="959"/>
      <c r="G602" s="37"/>
    </row>
    <row r="603" spans="1:7" ht="13.2">
      <c r="A603" s="401"/>
      <c r="B603" s="401"/>
      <c r="C603" s="167"/>
      <c r="D603" s="300"/>
      <c r="E603" s="37"/>
      <c r="F603" s="37"/>
      <c r="G603" s="37"/>
    </row>
    <row r="604" spans="1:7" ht="14.4">
      <c r="A604" s="233"/>
      <c r="B604" s="515" t="s">
        <v>323</v>
      </c>
      <c r="C604" s="401"/>
      <c r="D604" s="959" t="s">
        <v>494</v>
      </c>
      <c r="E604" s="959"/>
      <c r="F604" s="959"/>
      <c r="G604" s="37"/>
    </row>
    <row r="605" spans="1:7" ht="13.2">
      <c r="A605" s="18"/>
      <c r="B605" s="18"/>
      <c r="C605" s="401"/>
      <c r="D605" s="295"/>
      <c r="E605" s="37"/>
      <c r="F605" s="37"/>
      <c r="G605" s="37"/>
    </row>
    <row r="606" spans="1:7" ht="14.4" customHeight="1">
      <c r="A606" s="233"/>
      <c r="B606" s="515" t="s">
        <v>323</v>
      </c>
      <c r="C606" s="401"/>
      <c r="D606" s="959" t="s">
        <v>495</v>
      </c>
      <c r="E606" s="959"/>
      <c r="F606" s="959"/>
      <c r="G606" s="37"/>
    </row>
    <row r="607" spans="1:7" ht="14.4" customHeight="1">
      <c r="A607" s="233"/>
      <c r="B607" s="233"/>
      <c r="C607" s="401"/>
      <c r="D607" s="959"/>
      <c r="E607" s="959"/>
      <c r="F607" s="959"/>
      <c r="G607" s="37"/>
    </row>
    <row r="608" spans="1:7" ht="14.4">
      <c r="A608" s="233"/>
      <c r="B608" s="233"/>
      <c r="C608" s="401"/>
      <c r="D608" s="959"/>
      <c r="E608" s="959"/>
      <c r="F608" s="959"/>
      <c r="G608" s="37"/>
    </row>
    <row r="609" spans="1:7" ht="14.4">
      <c r="A609" s="233"/>
      <c r="B609" s="233"/>
      <c r="C609" s="401"/>
      <c r="D609" s="518"/>
      <c r="E609" s="518"/>
      <c r="F609" s="518"/>
      <c r="G609" s="37"/>
    </row>
    <row r="610" spans="1:7" ht="14.4">
      <c r="A610" s="233"/>
      <c r="B610" s="515" t="s">
        <v>325</v>
      </c>
      <c r="C610" s="401"/>
      <c r="D610" s="959" t="s">
        <v>496</v>
      </c>
      <c r="E610" s="959"/>
      <c r="F610" s="959"/>
      <c r="G610" s="37"/>
    </row>
    <row r="611" spans="1:7" ht="14.4">
      <c r="A611" s="233"/>
      <c r="B611" s="233"/>
      <c r="C611" s="401"/>
      <c r="D611" s="959"/>
      <c r="E611" s="959"/>
      <c r="F611" s="959"/>
      <c r="G611" s="37"/>
    </row>
    <row r="612" spans="1:7" ht="14.4">
      <c r="A612" s="233"/>
      <c r="B612" s="233"/>
      <c r="C612" s="401"/>
      <c r="D612" s="959"/>
      <c r="E612" s="959"/>
      <c r="F612" s="959"/>
      <c r="G612" s="37"/>
    </row>
    <row r="613" spans="1:7" ht="14.4">
      <c r="A613" s="233"/>
      <c r="B613" s="233"/>
      <c r="C613" s="401"/>
      <c r="D613" s="959"/>
      <c r="E613" s="959"/>
      <c r="F613" s="959"/>
      <c r="G613" s="37"/>
    </row>
    <row r="614" spans="1:7" ht="14.4">
      <c r="A614" s="233"/>
      <c r="B614" s="233"/>
      <c r="C614" s="401"/>
      <c r="D614" s="300"/>
      <c r="E614" s="37"/>
      <c r="F614" s="37"/>
      <c r="G614" s="37"/>
    </row>
    <row r="615" spans="1:7" ht="14.4">
      <c r="A615" s="233"/>
      <c r="B615" s="515" t="s">
        <v>323</v>
      </c>
      <c r="C615" s="401"/>
      <c r="D615" s="959" t="s">
        <v>497</v>
      </c>
      <c r="E615" s="959"/>
      <c r="F615" s="959"/>
      <c r="G615" s="37"/>
    </row>
    <row r="616" spans="1:7" ht="14.4">
      <c r="A616" s="233"/>
      <c r="B616" s="233"/>
      <c r="C616" s="401"/>
      <c r="D616" s="959"/>
      <c r="E616" s="959"/>
      <c r="F616" s="959"/>
      <c r="G616" s="37"/>
    </row>
    <row r="617" spans="1:7" ht="14.4">
      <c r="A617" s="233"/>
      <c r="B617" s="233"/>
      <c r="C617" s="401"/>
      <c r="D617" s="300"/>
      <c r="E617" s="37"/>
      <c r="F617" s="37"/>
      <c r="G617" s="37"/>
    </row>
    <row r="618" spans="1:7" ht="14.4" customHeight="1">
      <c r="A618" s="233"/>
      <c r="B618" s="515" t="s">
        <v>325</v>
      </c>
      <c r="C618" s="401"/>
      <c r="D618" s="959" t="s">
        <v>498</v>
      </c>
      <c r="E618" s="959"/>
      <c r="F618" s="959"/>
      <c r="G618" s="37"/>
    </row>
    <row r="619" spans="1:7" ht="14.4">
      <c r="A619" s="233"/>
      <c r="B619" s="233"/>
      <c r="C619" s="401"/>
      <c r="D619" s="959"/>
      <c r="E619" s="959"/>
      <c r="F619" s="959"/>
      <c r="G619" s="37"/>
    </row>
    <row r="620" spans="1:7" ht="14.4">
      <c r="A620" s="233"/>
      <c r="B620" s="233"/>
      <c r="C620" s="401"/>
      <c r="D620" s="300"/>
      <c r="E620" s="37"/>
      <c r="F620" s="37"/>
      <c r="G620" s="37"/>
    </row>
    <row r="621" spans="1:7" ht="14.4">
      <c r="A621" s="233"/>
      <c r="B621" s="515" t="s">
        <v>323</v>
      </c>
      <c r="C621" s="401"/>
      <c r="D621" s="959" t="s">
        <v>499</v>
      </c>
      <c r="E621" s="959"/>
      <c r="F621" s="959"/>
      <c r="G621" s="37"/>
    </row>
    <row r="622" spans="1:7" ht="13.2">
      <c r="A622" s="18"/>
      <c r="B622" s="18"/>
      <c r="C622" s="401"/>
      <c r="D622" s="37"/>
      <c r="E622" s="37"/>
      <c r="F622" s="37"/>
      <c r="G622" s="37"/>
    </row>
    <row r="623" spans="1:7" ht="13.2">
      <c r="A623" s="956" t="s">
        <v>500</v>
      </c>
      <c r="B623" s="956"/>
      <c r="C623" s="956"/>
      <c r="D623" s="956"/>
      <c r="E623" s="956"/>
      <c r="F623" s="956"/>
      <c r="G623" s="956"/>
    </row>
    <row r="624" spans="1:7" ht="13.2">
      <c r="A624" s="56"/>
      <c r="B624" s="56"/>
      <c r="C624" s="401"/>
      <c r="D624" s="37"/>
      <c r="E624" s="37"/>
      <c r="F624" s="37"/>
      <c r="G624" s="37"/>
    </row>
    <row r="625" spans="1:7" ht="13.2">
      <c r="A625" s="401"/>
      <c r="B625" s="401"/>
      <c r="C625" s="168"/>
      <c r="D625" s="965" t="s">
        <v>501</v>
      </c>
      <c r="E625" s="965"/>
      <c r="F625" s="965"/>
      <c r="G625" s="37"/>
    </row>
    <row r="626" spans="1:7" ht="13.2">
      <c r="A626" s="401"/>
      <c r="B626" s="401"/>
      <c r="C626" s="168"/>
      <c r="D626" s="955" t="s">
        <v>502</v>
      </c>
      <c r="E626" s="955"/>
      <c r="F626" s="955"/>
      <c r="G626" s="37"/>
    </row>
    <row r="627" spans="1:7" ht="13.2">
      <c r="A627" s="401"/>
      <c r="B627" s="401"/>
      <c r="C627" s="168"/>
      <c r="D627" s="266"/>
      <c r="E627" s="266"/>
      <c r="F627" s="266"/>
      <c r="G627" s="37"/>
    </row>
    <row r="628" spans="1:7" ht="14.25" customHeight="1">
      <c r="A628" s="233"/>
      <c r="B628" s="515" t="s">
        <v>323</v>
      </c>
      <c r="C628" s="401"/>
      <c r="D628" s="948" t="s">
        <v>503</v>
      </c>
      <c r="E628" s="949"/>
      <c r="F628" s="949"/>
      <c r="G628" s="37"/>
    </row>
    <row r="629" spans="1:7" ht="13.2">
      <c r="A629" s="401"/>
      <c r="B629" s="401"/>
      <c r="C629" s="401"/>
      <c r="D629" s="949"/>
      <c r="E629" s="949"/>
      <c r="F629" s="949"/>
      <c r="G629" s="37"/>
    </row>
    <row r="630" spans="1:7" ht="13.2">
      <c r="A630" s="401"/>
      <c r="B630" s="401"/>
      <c r="C630" s="401"/>
      <c r="D630" s="817"/>
      <c r="E630" s="811" t="s">
        <v>504</v>
      </c>
      <c r="F630" s="817"/>
      <c r="G630" s="37"/>
    </row>
    <row r="631" spans="1:7" ht="13.2">
      <c r="A631" s="56"/>
      <c r="B631" s="56"/>
      <c r="C631" s="401"/>
      <c r="D631" s="37"/>
      <c r="E631" s="37"/>
      <c r="F631" s="37"/>
      <c r="G631" s="37"/>
    </row>
    <row r="632" spans="1:7" ht="12" customHeight="1">
      <c r="A632" s="956" t="s">
        <v>505</v>
      </c>
      <c r="B632" s="956"/>
      <c r="C632" s="956"/>
      <c r="D632" s="956"/>
      <c r="E632" s="956"/>
      <c r="F632" s="956"/>
      <c r="G632" s="956"/>
    </row>
    <row r="633" spans="1:7" ht="13.2">
      <c r="A633" s="232"/>
      <c r="B633" s="232"/>
      <c r="C633" s="401"/>
      <c r="D633" s="37"/>
      <c r="E633" s="37"/>
      <c r="F633" s="37"/>
      <c r="G633" s="37"/>
    </row>
    <row r="634" spans="1:7" ht="13.2">
      <c r="A634" s="401"/>
      <c r="B634" s="401"/>
      <c r="C634" s="167"/>
      <c r="D634" s="957" t="s">
        <v>506</v>
      </c>
      <c r="E634" s="957"/>
      <c r="F634" s="957"/>
      <c r="G634" s="37"/>
    </row>
    <row r="635" spans="1:7" ht="13.2">
      <c r="A635" s="168"/>
      <c r="B635" s="168"/>
      <c r="C635" s="168"/>
      <c r="D635" s="952" t="s">
        <v>507</v>
      </c>
      <c r="E635" s="952"/>
      <c r="F635" s="952"/>
      <c r="G635" s="37"/>
    </row>
    <row r="636" spans="1:7" ht="13.2">
      <c r="A636" s="168"/>
      <c r="B636" s="168"/>
      <c r="C636" s="168"/>
      <c r="D636" s="37"/>
      <c r="E636" s="37"/>
      <c r="F636" s="37"/>
      <c r="G636" s="37"/>
    </row>
    <row r="637" spans="1:7" ht="14.4">
      <c r="A637" s="233"/>
      <c r="B637" s="233"/>
      <c r="C637" s="401"/>
      <c r="D637" s="965" t="s">
        <v>508</v>
      </c>
      <c r="E637" s="965"/>
      <c r="F637" s="965"/>
      <c r="G637" s="37"/>
    </row>
    <row r="638" spans="1:7" ht="14.4">
      <c r="A638" s="233"/>
      <c r="B638" s="515" t="s">
        <v>323</v>
      </c>
      <c r="C638" s="401"/>
      <c r="D638" s="955" t="s">
        <v>509</v>
      </c>
      <c r="E638" s="955"/>
      <c r="F638" s="955"/>
      <c r="G638" s="37"/>
    </row>
    <row r="639" spans="1:7" ht="14.4">
      <c r="A639" s="233"/>
      <c r="B639" s="233"/>
      <c r="C639" s="401"/>
      <c r="D639" s="232"/>
      <c r="E639" s="37"/>
      <c r="F639" s="37"/>
      <c r="G639" s="37"/>
    </row>
    <row r="640" spans="1:7" ht="14.4">
      <c r="A640" s="233"/>
      <c r="B640" s="515" t="s">
        <v>323</v>
      </c>
      <c r="C640" s="401"/>
      <c r="D640" s="930" t="s">
        <v>510</v>
      </c>
      <c r="E640" s="930"/>
      <c r="F640" s="930"/>
      <c r="G640" s="37"/>
    </row>
    <row r="641" spans="1:7" ht="14.4">
      <c r="A641" s="233"/>
      <c r="B641" s="233"/>
      <c r="C641" s="401"/>
      <c r="D641" s="930"/>
      <c r="E641" s="930"/>
      <c r="F641" s="930"/>
      <c r="G641" s="37"/>
    </row>
    <row r="642" spans="1:7" ht="14.4">
      <c r="A642" s="233"/>
      <c r="B642" s="233"/>
      <c r="C642" s="401"/>
      <c r="D642" s="232"/>
      <c r="E642" s="37"/>
      <c r="F642" s="37"/>
      <c r="G642" s="37"/>
    </row>
    <row r="643" spans="1:7" ht="14.4">
      <c r="A643" s="233"/>
      <c r="B643" s="515" t="s">
        <v>325</v>
      </c>
      <c r="C643" s="401"/>
      <c r="D643" s="930" t="s">
        <v>511</v>
      </c>
      <c r="E643" s="930"/>
      <c r="F643" s="930"/>
      <c r="G643" s="37"/>
    </row>
    <row r="644" spans="1:7" ht="13.65" customHeight="1">
      <c r="A644" s="401"/>
      <c r="B644" s="401"/>
      <c r="C644" s="401"/>
      <c r="D644" s="930"/>
      <c r="E644" s="930"/>
      <c r="F644" s="930"/>
      <c r="G644" s="37"/>
    </row>
    <row r="645" spans="1:7" ht="13.2">
      <c r="A645" s="401"/>
      <c r="B645" s="401"/>
      <c r="C645" s="401"/>
      <c r="D645" s="37"/>
      <c r="E645" s="37"/>
      <c r="F645" s="37"/>
      <c r="G645" s="37"/>
    </row>
    <row r="646" spans="1:7" ht="14.4">
      <c r="A646" s="233"/>
      <c r="B646" s="515" t="s">
        <v>323</v>
      </c>
      <c r="C646" s="401"/>
      <c r="D646" s="955" t="s">
        <v>512</v>
      </c>
      <c r="E646" s="955"/>
      <c r="F646" s="955"/>
      <c r="G646" s="37"/>
    </row>
    <row r="647" spans="1:7" ht="13.2">
      <c r="A647" s="167"/>
      <c r="B647" s="167"/>
      <c r="C647" s="167"/>
      <c r="D647" s="37"/>
      <c r="E647" s="37"/>
      <c r="F647" s="37"/>
      <c r="G647" s="37"/>
    </row>
    <row r="648" spans="1:7" ht="13.2">
      <c r="A648" s="956" t="s">
        <v>513</v>
      </c>
      <c r="B648" s="956"/>
      <c r="C648" s="956"/>
      <c r="D648" s="956"/>
      <c r="E648" s="956"/>
      <c r="F648" s="956"/>
      <c r="G648" s="956"/>
    </row>
    <row r="649" spans="1:7" ht="13.2">
      <c r="A649" s="167"/>
      <c r="B649" s="167"/>
      <c r="C649" s="167"/>
      <c r="D649" s="37"/>
      <c r="E649" s="37"/>
      <c r="F649" s="37"/>
      <c r="G649" s="37"/>
    </row>
    <row r="650" spans="1:7" ht="13.2">
      <c r="A650" s="401"/>
      <c r="B650" s="401"/>
      <c r="C650" s="18"/>
      <c r="D650" s="992" t="s">
        <v>514</v>
      </c>
      <c r="E650" s="992"/>
      <c r="F650" s="992"/>
      <c r="G650" s="37"/>
    </row>
    <row r="651" spans="1:7" ht="13.2">
      <c r="A651" s="18"/>
      <c r="B651" s="18"/>
      <c r="C651" s="401"/>
      <c r="D651" s="3"/>
      <c r="E651" s="37"/>
      <c r="F651" s="37"/>
      <c r="G651" s="37"/>
    </row>
    <row r="652" spans="1:7" ht="14.25" customHeight="1">
      <c r="A652" s="233"/>
      <c r="B652" s="515" t="s">
        <v>323</v>
      </c>
      <c r="C652" s="401"/>
      <c r="D652" s="948" t="s">
        <v>515</v>
      </c>
      <c r="E652" s="948"/>
      <c r="F652" s="948"/>
      <c r="G652" s="37"/>
    </row>
    <row r="653" spans="1:7" ht="14.4">
      <c r="A653" s="233"/>
      <c r="B653" s="233"/>
      <c r="C653" s="401"/>
      <c r="D653" s="948"/>
      <c r="E653" s="948"/>
      <c r="F653" s="948"/>
      <c r="G653" s="37"/>
    </row>
    <row r="654" spans="1:7" ht="13.2">
      <c r="A654" s="401"/>
      <c r="B654" s="401"/>
      <c r="C654" s="401"/>
      <c r="D654" s="817"/>
      <c r="E654" s="811" t="s">
        <v>516</v>
      </c>
      <c r="F654" s="817"/>
      <c r="G654" s="37"/>
    </row>
    <row r="655" spans="1:7" ht="13.2">
      <c r="A655" s="401"/>
      <c r="B655" s="401"/>
      <c r="C655" s="401"/>
      <c r="D655" s="933" t="s">
        <v>517</v>
      </c>
      <c r="E655" s="933"/>
      <c r="F655" s="933"/>
      <c r="G655" s="37"/>
    </row>
    <row r="656" spans="1:7" ht="12.75" customHeight="1">
      <c r="A656" s="401"/>
      <c r="B656" s="401"/>
      <c r="C656" s="401"/>
      <c r="D656" s="933"/>
      <c r="E656" s="933"/>
      <c r="F656" s="933"/>
      <c r="G656" s="37"/>
    </row>
    <row r="657" spans="1:9" ht="13.2">
      <c r="A657" s="401"/>
      <c r="B657"/>
      <c r="C657" s="401"/>
      <c r="D657" s="933"/>
      <c r="E657" s="933"/>
      <c r="F657" s="933"/>
      <c r="G657" s="37"/>
    </row>
    <row r="658" spans="1:9" ht="13.2">
      <c r="A658" s="401"/>
      <c r="B658" s="401"/>
      <c r="C658" s="401"/>
      <c r="D658" s="37"/>
      <c r="E658" s="37"/>
      <c r="F658" s="37"/>
      <c r="G658" s="37"/>
    </row>
    <row r="659" spans="1:9" ht="14.4">
      <c r="A659" s="259"/>
      <c r="B659" s="515" t="s">
        <v>323</v>
      </c>
      <c r="C659" s="401"/>
      <c r="D659" s="993" t="s">
        <v>518</v>
      </c>
      <c r="E659" s="993"/>
      <c r="F659" s="993"/>
      <c r="G659" s="232"/>
    </row>
    <row r="660" spans="1:9" ht="14.4">
      <c r="A660" s="259"/>
      <c r="B660" s="259"/>
      <c r="C660" s="401"/>
      <c r="D660" s="993"/>
      <c r="E660" s="993"/>
      <c r="F660" s="993"/>
      <c r="G660" s="232"/>
    </row>
    <row r="661" spans="1:9" ht="14.4">
      <c r="A661" s="259"/>
      <c r="B661" s="259"/>
      <c r="C661" s="401"/>
      <c r="D661" s="232"/>
      <c r="E661" s="232"/>
      <c r="F661" s="232"/>
      <c r="G661" s="232"/>
    </row>
    <row r="662" spans="1:9" ht="13.65" customHeight="1">
      <c r="A662" s="259"/>
      <c r="B662" s="515" t="s">
        <v>325</v>
      </c>
      <c r="C662" s="401"/>
      <c r="D662" s="966" t="s">
        <v>519</v>
      </c>
      <c r="E662" s="966"/>
      <c r="F662" s="966"/>
      <c r="G662" s="232"/>
    </row>
    <row r="663" spans="1:9" ht="14.4">
      <c r="A663" s="259"/>
      <c r="B663" s="259"/>
      <c r="C663" s="401"/>
      <c r="D663" s="966"/>
      <c r="E663" s="966"/>
      <c r="F663" s="966"/>
      <c r="G663" s="232"/>
    </row>
    <row r="664" spans="1:9" ht="14.4">
      <c r="A664" s="233"/>
      <c r="B664" s="233"/>
      <c r="C664" s="401"/>
      <c r="D664" s="531"/>
      <c r="E664" s="531"/>
      <c r="F664" s="531"/>
      <c r="G664" s="232"/>
    </row>
    <row r="665" spans="1:9" ht="14.4">
      <c r="A665" s="233"/>
      <c r="B665" s="515" t="s">
        <v>320</v>
      </c>
      <c r="C665" s="864"/>
      <c r="D665" s="994" t="s">
        <v>520</v>
      </c>
      <c r="E665" s="994"/>
      <c r="F665" s="994"/>
      <c r="G665" s="232"/>
    </row>
    <row r="666" spans="1:9" ht="13.2">
      <c r="A666" s="232"/>
      <c r="B666" s="232"/>
      <c r="C666" s="864"/>
      <c r="D666" s="232"/>
      <c r="E666" s="232"/>
      <c r="F666" s="232"/>
      <c r="G666" s="232"/>
      <c r="H666" s="229"/>
      <c r="I666" s="229"/>
    </row>
    <row r="667" spans="1:9" ht="13.2">
      <c r="A667" s="956" t="s">
        <v>521</v>
      </c>
      <c r="B667" s="956"/>
      <c r="C667" s="956"/>
      <c r="D667" s="956"/>
      <c r="E667" s="956"/>
      <c r="F667" s="956"/>
      <c r="G667" s="956"/>
    </row>
    <row r="668" spans="1:9" ht="13.2">
      <c r="A668" s="232"/>
      <c r="B668" s="232"/>
      <c r="C668" s="864"/>
      <c r="D668" s="232"/>
      <c r="E668" s="232"/>
      <c r="F668" s="232"/>
      <c r="G668" s="232"/>
    </row>
    <row r="669" spans="1:9" ht="13.2">
      <c r="A669" s="401"/>
      <c r="B669" s="401"/>
      <c r="C669" s="167"/>
      <c r="D669" s="957" t="s">
        <v>522</v>
      </c>
      <c r="E669" s="957"/>
      <c r="F669" s="957"/>
      <c r="G669" s="232"/>
    </row>
    <row r="670" spans="1:9" ht="13.2">
      <c r="A670" s="168"/>
      <c r="B670" s="168"/>
      <c r="C670" s="168"/>
      <c r="D670" s="952" t="s">
        <v>523</v>
      </c>
      <c r="E670" s="952"/>
      <c r="F670" s="952"/>
      <c r="G670" s="232"/>
    </row>
    <row r="671" spans="1:9" ht="13.2">
      <c r="A671" s="168"/>
      <c r="B671" s="168"/>
      <c r="C671" s="168"/>
      <c r="D671" s="232"/>
      <c r="E671" s="232"/>
      <c r="F671" s="232"/>
      <c r="G671" s="232"/>
    </row>
    <row r="672" spans="1:9" ht="14.4" customHeight="1">
      <c r="A672" s="233"/>
      <c r="B672" s="515" t="s">
        <v>323</v>
      </c>
      <c r="C672" s="864"/>
      <c r="D672" s="930" t="s">
        <v>524</v>
      </c>
      <c r="E672" s="930"/>
      <c r="F672" s="930"/>
      <c r="G672" s="232"/>
    </row>
    <row r="673" spans="1:7" ht="14.4">
      <c r="A673" s="233"/>
      <c r="B673" s="233"/>
      <c r="C673" s="864"/>
      <c r="D673" s="930"/>
      <c r="E673" s="930"/>
      <c r="F673" s="930"/>
      <c r="G673" s="232"/>
    </row>
    <row r="674" spans="1:7" ht="14.4">
      <c r="A674" s="233"/>
      <c r="B674" s="233"/>
      <c r="C674" s="864"/>
      <c r="D674" s="930"/>
      <c r="E674" s="930"/>
      <c r="F674" s="930"/>
      <c r="G674" s="232"/>
    </row>
    <row r="675" spans="1:7" ht="14.4">
      <c r="A675" s="233"/>
      <c r="B675" s="233"/>
      <c r="C675" s="864"/>
      <c r="D675" s="930"/>
      <c r="E675" s="930"/>
      <c r="F675" s="930"/>
      <c r="G675" s="232"/>
    </row>
    <row r="676" spans="1:7" ht="14.4">
      <c r="A676" s="233"/>
      <c r="B676" s="233"/>
      <c r="C676" s="864"/>
      <c r="D676" s="930"/>
      <c r="E676" s="930"/>
      <c r="F676" s="930"/>
      <c r="G676" s="232"/>
    </row>
    <row r="677" spans="1:7" ht="14.4">
      <c r="A677" s="233"/>
      <c r="B677" s="233"/>
      <c r="C677" s="864"/>
      <c r="D677" s="930"/>
      <c r="E677" s="930"/>
      <c r="F677" s="930"/>
      <c r="G677" s="232"/>
    </row>
    <row r="678" spans="1:7" ht="14.4" hidden="1">
      <c r="A678" s="233"/>
      <c r="B678" s="233"/>
      <c r="C678" s="864"/>
      <c r="D678" s="300"/>
      <c r="E678" s="37"/>
      <c r="F678" s="232"/>
      <c r="G678" s="232"/>
    </row>
    <row r="679" spans="1:7" ht="14.4" hidden="1">
      <c r="A679" s="233"/>
      <c r="B679" s="515" t="s">
        <v>320</v>
      </c>
      <c r="C679" s="864"/>
      <c r="D679" s="981" t="s">
        <v>525</v>
      </c>
      <c r="E679" s="981"/>
      <c r="F679" s="981"/>
      <c r="G679" s="232"/>
    </row>
    <row r="680" spans="1:7" ht="14.4" hidden="1">
      <c r="A680" s="233"/>
      <c r="B680" s="233"/>
      <c r="C680" s="864"/>
      <c r="D680" s="964" t="s">
        <v>526</v>
      </c>
      <c r="E680" s="964"/>
      <c r="F680" s="964"/>
      <c r="G680" s="232"/>
    </row>
    <row r="681" spans="1:7" ht="14.4" hidden="1">
      <c r="A681" s="233"/>
      <c r="B681" s="233"/>
      <c r="C681" s="864"/>
      <c r="D681" s="964"/>
      <c r="E681" s="964"/>
      <c r="F681" s="964"/>
      <c r="G681" s="232"/>
    </row>
    <row r="682" spans="1:7" ht="14.4" hidden="1">
      <c r="A682" s="233"/>
      <c r="B682" s="233"/>
      <c r="C682" s="864"/>
      <c r="D682" s="964"/>
      <c r="E682" s="964"/>
      <c r="F682" s="964"/>
      <c r="G682" s="232"/>
    </row>
    <row r="683" spans="1:7" ht="14.4" hidden="1">
      <c r="A683" s="233"/>
      <c r="B683" s="233"/>
      <c r="C683" s="864"/>
      <c r="D683" s="964"/>
      <c r="E683" s="964"/>
      <c r="F683" s="964"/>
      <c r="G683" s="232"/>
    </row>
    <row r="684" spans="1:7" ht="14.4" hidden="1">
      <c r="A684" s="233"/>
      <c r="B684" s="233"/>
      <c r="C684" s="864"/>
      <c r="D684" s="964"/>
      <c r="E684" s="964"/>
      <c r="F684" s="964"/>
      <c r="G684" s="232"/>
    </row>
    <row r="685" spans="1:7" ht="14.4" hidden="1">
      <c r="A685" s="233"/>
      <c r="B685" s="233"/>
      <c r="C685" s="864"/>
      <c r="D685" s="995" t="s">
        <v>527</v>
      </c>
      <c r="E685" s="995"/>
      <c r="F685" s="995"/>
      <c r="G685" s="232"/>
    </row>
    <row r="686" spans="1:7" ht="13.2">
      <c r="A686" s="232"/>
      <c r="B686" s="232"/>
      <c r="C686" s="864"/>
      <c r="D686" s="232"/>
      <c r="E686" s="232"/>
      <c r="F686" s="232"/>
      <c r="G686" s="232"/>
    </row>
    <row r="687" spans="1:7" ht="13.2">
      <c r="A687" s="956" t="s">
        <v>528</v>
      </c>
      <c r="B687" s="956"/>
      <c r="C687" s="956"/>
      <c r="D687" s="956"/>
      <c r="E687" s="956"/>
      <c r="F687" s="956"/>
      <c r="G687" s="956"/>
    </row>
    <row r="688" spans="1:7" ht="13.2">
      <c r="A688" s="232"/>
      <c r="B688" s="232"/>
      <c r="C688" s="864"/>
      <c r="D688" s="232"/>
      <c r="E688" s="232"/>
      <c r="F688" s="232"/>
      <c r="G688" s="232"/>
    </row>
    <row r="689" spans="1:7" ht="13.2">
      <c r="A689" s="401"/>
      <c r="B689" s="401"/>
      <c r="C689" s="167"/>
      <c r="D689" s="957" t="s">
        <v>529</v>
      </c>
      <c r="E689" s="957"/>
      <c r="F689" s="957"/>
      <c r="G689" s="232"/>
    </row>
    <row r="690" spans="1:7" ht="13.2">
      <c r="A690" s="167"/>
      <c r="B690" s="167"/>
      <c r="C690" s="167"/>
      <c r="D690" s="957" t="s">
        <v>530</v>
      </c>
      <c r="E690" s="957"/>
      <c r="F690" s="957"/>
      <c r="G690" s="232"/>
    </row>
    <row r="691" spans="1:7" ht="13.2">
      <c r="A691" s="168"/>
      <c r="B691" s="168"/>
      <c r="C691" s="168"/>
      <c r="D691" s="952" t="s">
        <v>531</v>
      </c>
      <c r="E691" s="952"/>
      <c r="F691" s="952"/>
      <c r="G691" s="37"/>
    </row>
    <row r="692" spans="1:7" ht="14.25" customHeight="1">
      <c r="A692" s="168"/>
      <c r="B692" s="168"/>
      <c r="C692" s="168"/>
      <c r="D692" s="37"/>
      <c r="E692" s="37"/>
      <c r="F692" s="37"/>
      <c r="G692" s="37"/>
    </row>
    <row r="693" spans="1:7" ht="14.4">
      <c r="A693" s="233"/>
      <c r="B693" s="515" t="s">
        <v>323</v>
      </c>
      <c r="C693" s="168"/>
      <c r="D693" s="952" t="s">
        <v>532</v>
      </c>
      <c r="E693" s="952"/>
      <c r="F693" s="952"/>
      <c r="G693" s="37"/>
    </row>
    <row r="694" spans="1:7" ht="13.2">
      <c r="A694" s="168"/>
      <c r="B694" s="168"/>
      <c r="C694" s="168"/>
      <c r="D694" s="952" t="s">
        <v>533</v>
      </c>
      <c r="E694" s="952"/>
      <c r="F694" s="952"/>
      <c r="G694" s="37"/>
    </row>
    <row r="695" spans="1:7" ht="12.75" customHeight="1">
      <c r="A695" s="168"/>
      <c r="B695" s="168"/>
      <c r="C695" s="168"/>
      <c r="D695" s="37"/>
      <c r="E695" s="811" t="s">
        <v>534</v>
      </c>
      <c r="F695" s="15"/>
      <c r="G695" s="37"/>
    </row>
    <row r="696" spans="1:7" ht="13.2">
      <c r="A696" s="168"/>
      <c r="B696" s="168"/>
      <c r="C696" s="168"/>
      <c r="D696" s="37"/>
      <c r="E696" s="810" t="s">
        <v>535</v>
      </c>
      <c r="F696" s="15"/>
      <c r="G696" s="37"/>
    </row>
    <row r="697" spans="1:7" ht="13.2">
      <c r="A697" s="168"/>
      <c r="B697" s="168"/>
      <c r="C697" s="168"/>
      <c r="D697" s="862"/>
      <c r="E697" s="862"/>
      <c r="F697" s="862"/>
      <c r="G697" s="37"/>
    </row>
    <row r="698" spans="1:7" ht="14.4">
      <c r="A698" s="233"/>
      <c r="B698" s="515" t="s">
        <v>325</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5" t="s">
        <v>323</v>
      </c>
      <c r="C702" s="168"/>
      <c r="D702" s="952" t="s">
        <v>537</v>
      </c>
      <c r="E702" s="952"/>
      <c r="F702" s="952"/>
      <c r="G702" s="37"/>
    </row>
    <row r="703" spans="1:7" ht="14.4">
      <c r="A703" s="233"/>
      <c r="B703" s="233"/>
      <c r="C703" s="168"/>
      <c r="D703" s="952" t="s">
        <v>533</v>
      </c>
      <c r="E703" s="952"/>
      <c r="F703" s="952"/>
      <c r="G703" s="37"/>
    </row>
    <row r="704" spans="1:7" ht="13.2">
      <c r="A704" s="168"/>
      <c r="B704" s="168"/>
      <c r="C704" s="168"/>
      <c r="D704" s="37"/>
      <c r="E704" s="968" t="s">
        <v>538</v>
      </c>
      <c r="F704" s="968"/>
      <c r="G704" s="37"/>
    </row>
    <row r="705" spans="1:6" ht="13.2">
      <c r="A705" s="168"/>
      <c r="B705" s="168"/>
      <c r="C705" s="168"/>
      <c r="D705" s="3"/>
      <c r="E705" s="37"/>
      <c r="F705" s="37"/>
    </row>
    <row r="706" spans="1:6" ht="14.4">
      <c r="A706" s="233"/>
      <c r="B706" s="515" t="s">
        <v>325</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5" t="s">
        <v>325</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4" customHeight="1">
      <c r="A716" s="233"/>
      <c r="B716" s="515" t="s">
        <v>325</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5"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5"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4" customHeight="1">
      <c r="A736" s="233"/>
      <c r="B736" s="515"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4" customHeight="1">
      <c r="A740" s="233"/>
      <c r="B740" s="515"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2"/>
      <c r="E743" s="37"/>
      <c r="F743" s="37"/>
      <c r="G743" s="37"/>
      <c r="H743" s="229"/>
      <c r="I743" s="229"/>
    </row>
    <row r="744" spans="1:9" ht="14.4">
      <c r="A744" s="233"/>
      <c r="B744" s="515"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5"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90" t="s">
        <v>548</v>
      </c>
      <c r="E756" s="990"/>
      <c r="F756" s="990"/>
      <c r="G756" s="37"/>
      <c r="H756" s="229"/>
      <c r="I756" s="229"/>
    </row>
    <row r="757" spans="1:9" ht="13.2">
      <c r="A757" s="168"/>
      <c r="B757" s="168"/>
      <c r="C757" s="168"/>
      <c r="D757" s="467"/>
      <c r="E757" s="37"/>
      <c r="F757" s="37"/>
      <c r="G757" s="37"/>
      <c r="H757" s="229"/>
      <c r="I757" s="229"/>
    </row>
    <row r="758" spans="1:9" ht="13.2">
      <c r="A758" s="976" t="s">
        <v>549</v>
      </c>
      <c r="B758" s="976"/>
      <c r="C758" s="976"/>
      <c r="D758" s="976"/>
      <c r="E758" s="976"/>
      <c r="F758" s="976"/>
      <c r="G758" s="976"/>
      <c r="H758" s="229"/>
      <c r="I758" s="229"/>
    </row>
    <row r="759" spans="1:9" ht="13.2">
      <c r="A759" s="168"/>
      <c r="B759" s="168"/>
      <c r="C759" s="168"/>
      <c r="D759" s="862"/>
      <c r="E759" s="37"/>
      <c r="F759" s="37"/>
      <c r="G759" s="37"/>
      <c r="H759" s="229"/>
      <c r="I759" s="229"/>
    </row>
    <row r="760" spans="1:9" ht="13.2">
      <c r="A760" s="401"/>
      <c r="B760" s="401"/>
      <c r="C760" s="168"/>
      <c r="D760" s="958" t="s">
        <v>550</v>
      </c>
      <c r="E760" s="958"/>
      <c r="F760" s="958"/>
      <c r="G760" s="37"/>
      <c r="H760" s="229"/>
      <c r="I760" s="229"/>
    </row>
    <row r="761" spans="1:9" ht="13.2">
      <c r="A761" s="167"/>
      <c r="B761" s="167"/>
      <c r="C761" s="167"/>
      <c r="D761" s="955" t="s">
        <v>551</v>
      </c>
      <c r="E761" s="955"/>
      <c r="F761" s="955"/>
      <c r="G761" s="37"/>
      <c r="H761" s="229"/>
      <c r="I761" s="229"/>
    </row>
    <row r="762" spans="1:9" ht="13.2">
      <c r="A762" s="168"/>
      <c r="B762" s="168"/>
      <c r="C762" s="168"/>
      <c r="D762" s="37"/>
      <c r="E762" s="37"/>
      <c r="F762" s="37"/>
      <c r="G762" s="37"/>
      <c r="H762" s="229"/>
      <c r="I762" s="229"/>
    </row>
    <row r="763" spans="1:9" ht="14.25" customHeight="1">
      <c r="A763" s="233"/>
      <c r="B763" s="515" t="s">
        <v>323</v>
      </c>
      <c r="C763" s="401"/>
      <c r="D763" s="930" t="s">
        <v>552</v>
      </c>
      <c r="E763" s="930"/>
      <c r="F763" s="930"/>
      <c r="G763" s="37"/>
      <c r="H763" s="229"/>
      <c r="I763" s="229"/>
    </row>
    <row r="764" spans="1:9" ht="11.25" customHeight="1">
      <c r="A764" s="401"/>
      <c r="B764" s="401"/>
      <c r="C764" s="401"/>
      <c r="D764" s="930"/>
      <c r="E764" s="930"/>
      <c r="F764" s="930"/>
      <c r="G764" s="37"/>
      <c r="H764" s="229"/>
      <c r="I764" s="229"/>
    </row>
    <row r="765" spans="1:9" ht="13.2">
      <c r="A765" s="401"/>
      <c r="B765" s="401"/>
      <c r="C765" s="401"/>
      <c r="D765" s="930"/>
      <c r="E765" s="930"/>
      <c r="F765" s="930"/>
      <c r="G765" s="37"/>
      <c r="H765" s="229"/>
      <c r="I765" s="229"/>
    </row>
    <row r="766" spans="1:9" ht="13.2">
      <c r="A766" s="401"/>
      <c r="B766" s="401"/>
      <c r="C766" s="401"/>
      <c r="D766" s="930"/>
      <c r="E766" s="930"/>
      <c r="F766" s="930"/>
      <c r="G766" s="37"/>
      <c r="H766" s="229"/>
      <c r="I766" s="229"/>
    </row>
    <row r="767" spans="1:9" ht="13.2">
      <c r="A767" s="401"/>
      <c r="B767" s="401"/>
      <c r="C767" s="401"/>
      <c r="D767" s="930"/>
      <c r="E767" s="930"/>
      <c r="F767" s="930"/>
      <c r="G767" s="37"/>
      <c r="H767" s="229"/>
      <c r="I767" s="229"/>
    </row>
    <row r="768" spans="1:9" ht="17.25" customHeight="1">
      <c r="A768" s="401"/>
      <c r="B768" s="401"/>
      <c r="C768" s="401"/>
      <c r="D768" s="930"/>
      <c r="E768" s="930"/>
      <c r="F768" s="930"/>
      <c r="G768" s="37"/>
      <c r="H768" s="229"/>
      <c r="I768" s="229"/>
    </row>
    <row r="769" spans="1:9" ht="13.2">
      <c r="A769" s="401"/>
      <c r="B769" s="401"/>
      <c r="C769" s="401"/>
      <c r="D769" s="232"/>
      <c r="E769" s="232"/>
      <c r="F769" s="232"/>
      <c r="G769" s="37"/>
      <c r="H769" s="229"/>
      <c r="I769" s="229"/>
    </row>
    <row r="770" spans="1:9" ht="12.75" customHeight="1">
      <c r="A770" s="401"/>
      <c r="B770" s="515" t="s">
        <v>323</v>
      </c>
      <c r="C770" s="401"/>
      <c r="D770" s="966" t="s">
        <v>553</v>
      </c>
      <c r="E770" s="966"/>
      <c r="F770" s="966"/>
      <c r="G770" s="37"/>
      <c r="H770" s="229"/>
      <c r="I770" s="229"/>
    </row>
    <row r="771" spans="1:9" ht="13.2">
      <c r="A771" s="401"/>
      <c r="B771" s="401"/>
      <c r="C771" s="401"/>
      <c r="D771" s="966"/>
      <c r="E771" s="966"/>
      <c r="F771" s="966"/>
      <c r="G771" s="37"/>
      <c r="H771" s="229"/>
      <c r="I771" s="229"/>
    </row>
    <row r="772" spans="1:9" ht="13.2">
      <c r="A772" s="401"/>
      <c r="B772" s="401"/>
      <c r="C772" s="401"/>
      <c r="D772" s="966"/>
      <c r="E772" s="966"/>
      <c r="F772" s="966"/>
      <c r="G772" s="37"/>
      <c r="H772" s="229"/>
      <c r="I772" s="229"/>
    </row>
    <row r="773" spans="1:9" ht="13.2">
      <c r="A773" s="401"/>
      <c r="B773" s="401"/>
      <c r="C773" s="401"/>
      <c r="D773" s="966"/>
      <c r="E773" s="966"/>
      <c r="F773" s="966"/>
      <c r="G773" s="37"/>
      <c r="H773" s="229"/>
      <c r="I773" s="229"/>
    </row>
    <row r="774" spans="1:9" ht="13.2">
      <c r="A774" s="401"/>
      <c r="B774" s="401"/>
      <c r="C774" s="401"/>
      <c r="D774" s="232"/>
      <c r="E774" s="37"/>
      <c r="F774" s="37"/>
      <c r="G774" s="37"/>
      <c r="H774" s="229"/>
      <c r="I774" s="229"/>
    </row>
    <row r="775" spans="1:9" ht="13.2">
      <c r="A775" s="401"/>
      <c r="B775" s="515" t="s">
        <v>325</v>
      </c>
      <c r="C775" s="353"/>
      <c r="D775" s="964" t="s">
        <v>554</v>
      </c>
      <c r="E775" s="964"/>
      <c r="F775" s="964"/>
      <c r="G775" s="301"/>
      <c r="H775" s="229"/>
      <c r="I775" s="229"/>
    </row>
    <row r="776" spans="1:9" ht="13.2">
      <c r="A776" s="353"/>
      <c r="B776" s="353"/>
      <c r="C776" s="353"/>
      <c r="D776" s="964"/>
      <c r="E776" s="964"/>
      <c r="F776" s="964"/>
      <c r="G776" s="301"/>
      <c r="H776" s="229"/>
      <c r="I776" s="229"/>
    </row>
    <row r="777" spans="1:9" ht="13.2">
      <c r="A777" s="353"/>
      <c r="B777" s="353"/>
      <c r="C777" s="353"/>
      <c r="D777" s="964"/>
      <c r="E777" s="964"/>
      <c r="F777" s="964"/>
      <c r="G777" s="301"/>
      <c r="H777" s="229"/>
      <c r="I777" s="229"/>
    </row>
    <row r="778" spans="1:9" ht="13.2">
      <c r="A778" s="401"/>
      <c r="B778" s="401"/>
      <c r="C778" s="401"/>
      <c r="D778" s="232"/>
      <c r="E778" s="232"/>
      <c r="F778" s="232"/>
      <c r="G778" s="37"/>
      <c r="H778" s="229"/>
      <c r="I778" s="229"/>
    </row>
    <row r="779" spans="1:9" ht="13.2">
      <c r="A779" s="401"/>
      <c r="B779" s="515" t="s">
        <v>323</v>
      </c>
      <c r="C779" s="401"/>
      <c r="D779" s="930" t="s">
        <v>555</v>
      </c>
      <c r="E779" s="930"/>
      <c r="F779" s="930"/>
      <c r="G779" s="37"/>
      <c r="H779" s="229"/>
      <c r="I779" s="229"/>
    </row>
    <row r="780" spans="1:9" ht="13.2">
      <c r="A780" s="401"/>
      <c r="B780" s="401"/>
      <c r="C780" s="401"/>
      <c r="D780" s="930"/>
      <c r="E780" s="930"/>
      <c r="F780" s="930"/>
      <c r="G780" s="37"/>
      <c r="H780" s="229"/>
      <c r="I780" s="229"/>
    </row>
    <row r="781" spans="1:9" ht="13.2">
      <c r="A781" s="401"/>
      <c r="B781" s="401"/>
      <c r="C781" s="401"/>
      <c r="D781" s="178"/>
      <c r="E781" s="178"/>
      <c r="F781" s="178"/>
      <c r="G781" s="37"/>
      <c r="H781" s="229"/>
      <c r="I781" s="229"/>
    </row>
    <row r="782" spans="1:9" ht="13.65" customHeight="1">
      <c r="A782" s="401"/>
      <c r="B782" s="515" t="s">
        <v>325</v>
      </c>
      <c r="C782" s="401"/>
      <c r="D782" s="930" t="s">
        <v>556</v>
      </c>
      <c r="E782" s="930"/>
      <c r="F782" s="930"/>
      <c r="G782" s="37"/>
      <c r="H782" s="229"/>
      <c r="I782" s="229"/>
    </row>
    <row r="783" spans="1:9" ht="13.2">
      <c r="A783" s="401"/>
      <c r="B783" s="401"/>
      <c r="C783" s="401"/>
      <c r="D783" s="930"/>
      <c r="E783" s="930"/>
      <c r="F783" s="930"/>
      <c r="G783" s="37"/>
      <c r="H783" s="229"/>
      <c r="I783" s="229"/>
    </row>
    <row r="784" spans="1:9" ht="13.2">
      <c r="A784" s="401"/>
      <c r="B784" s="401"/>
      <c r="C784" s="401"/>
      <c r="D784" s="930"/>
      <c r="E784" s="930"/>
      <c r="F784" s="930"/>
      <c r="G784" s="37"/>
      <c r="H784" s="229"/>
      <c r="I784" s="229"/>
    </row>
    <row r="785" spans="1:9" ht="13.2">
      <c r="A785" s="401"/>
      <c r="B785" s="401"/>
      <c r="C785" s="401"/>
      <c r="D785" s="178"/>
      <c r="E785" s="178"/>
      <c r="F785" s="178"/>
      <c r="G785" s="37"/>
      <c r="H785" s="229"/>
      <c r="I785" s="229"/>
    </row>
    <row r="786" spans="1:9" ht="12" customHeight="1">
      <c r="A786" s="976" t="s">
        <v>557</v>
      </c>
      <c r="B786" s="976"/>
      <c r="C786" s="976"/>
      <c r="D786" s="976"/>
      <c r="E786" s="976"/>
      <c r="F786" s="976"/>
      <c r="G786" s="976"/>
      <c r="H786" s="229"/>
      <c r="I786" s="229"/>
    </row>
    <row r="787" spans="1:9" ht="13.2">
      <c r="A787" s="56"/>
      <c r="B787" s="56"/>
      <c r="C787" s="401"/>
      <c r="D787" s="37"/>
      <c r="E787" s="37"/>
      <c r="F787" s="37"/>
      <c r="G787" s="37"/>
      <c r="H787" s="229"/>
      <c r="I787" s="229"/>
    </row>
    <row r="788" spans="1:9" ht="13.65" customHeight="1">
      <c r="A788" s="56"/>
      <c r="B788" s="56"/>
      <c r="C788" s="401"/>
      <c r="D788" s="1000" t="s">
        <v>558</v>
      </c>
      <c r="E788" s="1000"/>
      <c r="F788" s="1000"/>
      <c r="G788" s="37"/>
      <c r="H788" s="229"/>
      <c r="I788" s="229"/>
    </row>
    <row r="789" spans="1:9" ht="13.2">
      <c r="A789" s="56"/>
      <c r="B789" s="56"/>
      <c r="C789" s="401"/>
      <c r="D789" s="961" t="s">
        <v>559</v>
      </c>
      <c r="E789" s="961"/>
      <c r="F789" s="961"/>
      <c r="G789" s="37"/>
      <c r="H789" s="229"/>
      <c r="I789" s="229"/>
    </row>
    <row r="790" spans="1:9" ht="13.2">
      <c r="A790" s="56"/>
      <c r="B790" s="56"/>
      <c r="C790" s="401"/>
      <c r="D790" s="340"/>
      <c r="E790" s="340"/>
      <c r="F790" s="340"/>
      <c r="G790" s="37"/>
      <c r="H790" s="229"/>
      <c r="I790" s="229"/>
    </row>
    <row r="791" spans="1:9" ht="13.2">
      <c r="A791" s="56"/>
      <c r="B791" s="515" t="s">
        <v>323</v>
      </c>
      <c r="C791" s="401"/>
      <c r="D791" s="964" t="s">
        <v>560</v>
      </c>
      <c r="E791" s="964"/>
      <c r="F791" s="964"/>
      <c r="G791" s="37"/>
      <c r="H791" s="229"/>
      <c r="I791" s="229"/>
    </row>
    <row r="792" spans="1:9" ht="13.2">
      <c r="A792" s="56"/>
      <c r="B792" s="56"/>
      <c r="C792" s="401"/>
      <c r="D792" s="964"/>
      <c r="E792" s="964"/>
      <c r="F792" s="964"/>
      <c r="G792" s="37"/>
      <c r="H792" s="229"/>
      <c r="I792" s="229"/>
    </row>
    <row r="793" spans="1:9" ht="13.2">
      <c r="A793" s="168"/>
      <c r="B793" s="168"/>
      <c r="C793" s="168"/>
      <c r="D793" s="964"/>
      <c r="E793" s="964"/>
      <c r="F793" s="964"/>
      <c r="G793" s="232"/>
      <c r="H793" s="229"/>
      <c r="I793" s="229"/>
    </row>
    <row r="794" spans="1:9" ht="13.2">
      <c r="A794" s="401"/>
      <c r="B794" s="401"/>
      <c r="C794" s="401"/>
      <c r="D794" s="169"/>
      <c r="E794" s="37"/>
      <c r="F794" s="37"/>
      <c r="G794" s="37"/>
      <c r="H794" s="229"/>
      <c r="I794" s="229"/>
    </row>
    <row r="795" spans="1:9" ht="13.2">
      <c r="A795" s="167"/>
      <c r="B795" s="515" t="s">
        <v>325</v>
      </c>
      <c r="C795" s="167"/>
      <c r="D795" s="964" t="s">
        <v>561</v>
      </c>
      <c r="E795" s="964"/>
      <c r="F795" s="964"/>
      <c r="G795" s="37"/>
      <c r="H795" s="229"/>
      <c r="I795" s="229"/>
    </row>
    <row r="796" spans="1:9" ht="13.2">
      <c r="A796" s="167"/>
      <c r="B796" s="167"/>
      <c r="C796" s="167"/>
      <c r="D796" s="964"/>
      <c r="E796" s="964"/>
      <c r="F796" s="964"/>
      <c r="G796" s="37"/>
      <c r="H796" s="229"/>
      <c r="I796" s="229"/>
    </row>
    <row r="797" spans="1:9" ht="27.75" customHeight="1">
      <c r="A797" s="167"/>
      <c r="B797" s="167"/>
      <c r="C797" s="167"/>
      <c r="D797" s="964"/>
      <c r="E797" s="964"/>
      <c r="F797" s="964"/>
      <c r="G797" s="37"/>
      <c r="H797" s="229"/>
      <c r="I797" s="229"/>
    </row>
    <row r="798" spans="1:9" ht="13.2">
      <c r="A798" s="168"/>
      <c r="B798" s="168"/>
      <c r="C798" s="168"/>
      <c r="D798" s="37"/>
      <c r="E798" s="865"/>
      <c r="F798" s="865"/>
      <c r="G798" s="865"/>
      <c r="H798" s="229"/>
      <c r="I798" s="229"/>
    </row>
    <row r="799" spans="1:9" ht="14.4" customHeight="1">
      <c r="A799" s="233"/>
      <c r="B799" s="515" t="s">
        <v>325</v>
      </c>
      <c r="C799" s="864"/>
      <c r="D799" s="964" t="s">
        <v>562</v>
      </c>
      <c r="E799" s="964"/>
      <c r="F799" s="964"/>
      <c r="G799" s="865"/>
      <c r="H799" s="229"/>
      <c r="I799" s="229"/>
    </row>
    <row r="800" spans="1:9" ht="14.4">
      <c r="A800" s="233"/>
      <c r="B800" s="233"/>
      <c r="C800" s="864"/>
      <c r="D800" s="964"/>
      <c r="E800" s="964"/>
      <c r="F800" s="964"/>
      <c r="G800" s="865"/>
      <c r="H800" s="229"/>
      <c r="I800" s="229"/>
    </row>
    <row r="801" spans="1:9" ht="14.4">
      <c r="A801" s="233"/>
      <c r="B801" s="233"/>
      <c r="C801" s="864"/>
      <c r="D801" s="964"/>
      <c r="E801" s="964"/>
      <c r="F801" s="964"/>
      <c r="G801" s="865"/>
      <c r="H801" s="229"/>
      <c r="I801" s="229"/>
    </row>
    <row r="802" spans="1:9" ht="14.4">
      <c r="A802" s="233"/>
      <c r="B802" s="233"/>
      <c r="C802" s="864"/>
      <c r="D802" s="232"/>
      <c r="E802" s="37"/>
      <c r="F802" s="37"/>
      <c r="G802" s="865"/>
      <c r="H802" s="229"/>
      <c r="I802" s="229"/>
    </row>
    <row r="803" spans="1:9" ht="14.25" customHeight="1">
      <c r="A803" s="233"/>
      <c r="B803" s="515" t="s">
        <v>323</v>
      </c>
      <c r="C803" s="864"/>
      <c r="D803" s="964" t="s">
        <v>563</v>
      </c>
      <c r="E803" s="964"/>
      <c r="F803" s="964"/>
      <c r="G803" s="865"/>
      <c r="H803" s="229"/>
      <c r="I803" s="229"/>
    </row>
    <row r="804" spans="1:9" ht="14.4">
      <c r="A804" s="233"/>
      <c r="B804" s="233"/>
      <c r="C804" s="864"/>
      <c r="D804" s="964"/>
      <c r="E804" s="964"/>
      <c r="F804" s="964"/>
      <c r="G804" s="865"/>
      <c r="H804" s="229"/>
      <c r="I804" s="229"/>
    </row>
    <row r="805" spans="1:9" ht="14.4">
      <c r="A805" s="233"/>
      <c r="B805" s="233"/>
      <c r="C805" s="864"/>
      <c r="D805" s="964"/>
      <c r="E805" s="964"/>
      <c r="F805" s="964"/>
      <c r="G805" s="865"/>
      <c r="H805" s="229"/>
      <c r="I805" s="229"/>
    </row>
    <row r="806" spans="1:9" ht="14.4">
      <c r="A806" s="233"/>
      <c r="B806" s="233"/>
      <c r="C806" s="864"/>
      <c r="D806" s="964"/>
      <c r="E806" s="964"/>
      <c r="F806" s="964"/>
      <c r="G806" s="865"/>
      <c r="H806" s="229"/>
      <c r="I806" s="229"/>
    </row>
    <row r="807" spans="1:9" ht="14.4">
      <c r="A807" s="233"/>
      <c r="B807" s="233"/>
      <c r="C807" s="864"/>
      <c r="D807" s="964"/>
      <c r="E807" s="964"/>
      <c r="F807" s="964"/>
      <c r="G807" s="865"/>
      <c r="H807" s="229"/>
      <c r="I807" s="229"/>
    </row>
    <row r="808" spans="1:9" ht="14.4">
      <c r="A808" s="233"/>
      <c r="B808" s="233"/>
      <c r="C808" s="864"/>
      <c r="D808" s="964" t="s">
        <v>564</v>
      </c>
      <c r="E808" s="964"/>
      <c r="F808" s="964"/>
      <c r="G808" s="865"/>
      <c r="H808" s="229"/>
      <c r="I808" s="229"/>
    </row>
    <row r="809" spans="1:9" ht="14.4">
      <c r="A809" s="233"/>
      <c r="B809" s="233"/>
      <c r="C809" s="864"/>
      <c r="D809" s="964"/>
      <c r="E809" s="964"/>
      <c r="F809" s="964"/>
      <c r="G809" s="865"/>
      <c r="H809" s="229"/>
      <c r="I809" s="229"/>
    </row>
    <row r="810" spans="1:9" ht="14.4">
      <c r="A810" s="233"/>
      <c r="B810" s="233"/>
      <c r="C810" s="864"/>
      <c r="D810" s="964"/>
      <c r="E810" s="964"/>
      <c r="F810" s="964"/>
      <c r="G810" s="865"/>
      <c r="H810" s="229"/>
      <c r="I810" s="229"/>
    </row>
    <row r="811" spans="1:9" ht="14.4">
      <c r="A811" s="233"/>
      <c r="B811" s="401"/>
      <c r="C811" s="864"/>
      <c r="D811" s="866"/>
      <c r="E811" s="866"/>
      <c r="F811" s="866"/>
      <c r="G811" s="865"/>
      <c r="H811" s="229"/>
      <c r="I811" s="229"/>
    </row>
    <row r="812" spans="1:9" ht="14.4">
      <c r="A812" s="233"/>
      <c r="B812" s="515" t="s">
        <v>325</v>
      </c>
      <c r="C812" s="864"/>
      <c r="D812" s="964" t="s">
        <v>565</v>
      </c>
      <c r="E812" s="964"/>
      <c r="F812" s="964"/>
      <c r="G812" s="865"/>
      <c r="H812" s="229"/>
      <c r="I812" s="229"/>
    </row>
    <row r="813" spans="1:9" ht="14.4">
      <c r="A813" s="233"/>
      <c r="B813" s="233"/>
      <c r="C813" s="864"/>
      <c r="D813" s="964"/>
      <c r="E813" s="964"/>
      <c r="F813" s="964"/>
      <c r="G813" s="865"/>
      <c r="H813" s="229"/>
      <c r="I813" s="229"/>
    </row>
    <row r="814" spans="1:9" ht="14.4">
      <c r="A814" s="233"/>
      <c r="B814" s="233"/>
      <c r="C814" s="864"/>
      <c r="D814" s="964"/>
      <c r="E814" s="964"/>
      <c r="F814" s="964"/>
      <c r="G814" s="865"/>
      <c r="H814" s="229"/>
      <c r="I814" s="229"/>
    </row>
    <row r="815" spans="1:9" ht="14.4">
      <c r="A815" s="233"/>
      <c r="B815" s="233"/>
      <c r="C815" s="864"/>
      <c r="D815" s="964"/>
      <c r="E815" s="964"/>
      <c r="F815" s="964"/>
      <c r="G815" s="865"/>
      <c r="H815" s="229"/>
      <c r="I815" s="229"/>
    </row>
    <row r="816" spans="1:9" ht="14.4">
      <c r="A816" s="233"/>
      <c r="B816" s="233"/>
      <c r="C816" s="864"/>
      <c r="D816" s="964"/>
      <c r="E816" s="964"/>
      <c r="F816" s="964"/>
      <c r="G816" s="865"/>
      <c r="H816" s="229"/>
      <c r="I816" s="229"/>
    </row>
    <row r="817" spans="1:9" ht="14.4">
      <c r="A817" s="233"/>
      <c r="B817" s="233"/>
      <c r="C817" s="864"/>
      <c r="D817" s="964"/>
      <c r="E817" s="964"/>
      <c r="F817" s="964"/>
      <c r="G817" s="865"/>
      <c r="H817" s="229"/>
      <c r="I817" s="229"/>
    </row>
    <row r="818" spans="1:9" ht="14.4">
      <c r="A818" s="233"/>
      <c r="B818" s="233"/>
      <c r="C818" s="864"/>
      <c r="D818" s="854"/>
      <c r="E818" s="854"/>
      <c r="F818" s="854"/>
      <c r="G818" s="865"/>
      <c r="H818" s="229"/>
      <c r="I818" s="229"/>
    </row>
    <row r="819" spans="1:9" ht="14.4">
      <c r="A819" s="233"/>
      <c r="B819" s="515" t="s">
        <v>323</v>
      </c>
      <c r="C819" s="864"/>
      <c r="D819" s="964" t="s">
        <v>566</v>
      </c>
      <c r="E819" s="964"/>
      <c r="F819" s="964"/>
      <c r="G819" s="865"/>
      <c r="H819" s="229"/>
      <c r="I819" s="229"/>
    </row>
    <row r="820" spans="1:9" ht="14.4">
      <c r="A820" s="233"/>
      <c r="B820" s="233"/>
      <c r="C820" s="864"/>
      <c r="D820" s="964"/>
      <c r="E820" s="964"/>
      <c r="F820" s="964"/>
      <c r="G820" s="865"/>
      <c r="H820" s="229"/>
      <c r="I820" s="229"/>
    </row>
    <row r="821" spans="1:9" ht="14.4">
      <c r="A821" s="233"/>
      <c r="B821" s="233"/>
      <c r="C821" s="864"/>
      <c r="D821" s="964"/>
      <c r="E821" s="964"/>
      <c r="F821" s="964"/>
      <c r="G821" s="865"/>
      <c r="H821" s="229"/>
      <c r="I821" s="229"/>
    </row>
    <row r="822" spans="1:9" ht="14.4">
      <c r="A822" s="233"/>
      <c r="B822" s="233"/>
      <c r="C822" s="864"/>
      <c r="D822" s="964"/>
      <c r="E822" s="964"/>
      <c r="F822" s="964"/>
      <c r="G822" s="865"/>
      <c r="H822" s="229"/>
      <c r="I822" s="229"/>
    </row>
    <row r="823" spans="1:9" ht="14.4">
      <c r="A823" s="233"/>
      <c r="B823" s="233"/>
      <c r="C823" s="864"/>
      <c r="D823" s="964"/>
      <c r="E823" s="964"/>
      <c r="F823" s="964"/>
      <c r="G823" s="865"/>
      <c r="H823" s="229"/>
      <c r="I823" s="229"/>
    </row>
    <row r="824" spans="1:9" ht="14.4">
      <c r="A824" s="233"/>
      <c r="B824" s="233"/>
      <c r="C824" s="864"/>
      <c r="D824" s="854"/>
      <c r="E824" s="854"/>
      <c r="F824" s="854"/>
      <c r="G824" s="865"/>
      <c r="H824" s="229"/>
      <c r="I824" s="229"/>
    </row>
    <row r="825" spans="1:9" ht="14.4">
      <c r="A825" s="233"/>
      <c r="B825" s="515" t="s">
        <v>325</v>
      </c>
      <c r="C825" s="864"/>
      <c r="D825" s="964" t="s">
        <v>567</v>
      </c>
      <c r="E825" s="964"/>
      <c r="F825" s="964"/>
      <c r="G825" s="865"/>
      <c r="H825" s="229"/>
      <c r="I825" s="229"/>
    </row>
    <row r="826" spans="1:9" ht="14.4">
      <c r="A826" s="233"/>
      <c r="B826" s="233"/>
      <c r="C826" s="864"/>
      <c r="D826" s="964"/>
      <c r="E826" s="964"/>
      <c r="F826" s="964"/>
      <c r="G826" s="865"/>
      <c r="H826" s="229"/>
      <c r="I826" s="229"/>
    </row>
    <row r="827" spans="1:9" ht="14.4">
      <c r="A827" s="233"/>
      <c r="B827" s="233"/>
      <c r="C827" s="864"/>
      <c r="D827" s="964"/>
      <c r="E827" s="964"/>
      <c r="F827" s="964"/>
      <c r="G827" s="865"/>
      <c r="H827" s="229"/>
      <c r="I827" s="229"/>
    </row>
    <row r="828" spans="1:9" ht="14.4">
      <c r="A828" s="233"/>
      <c r="B828" s="233"/>
      <c r="C828" s="864"/>
      <c r="D828" s="964"/>
      <c r="E828" s="964"/>
      <c r="F828" s="964"/>
      <c r="G828" s="865"/>
      <c r="H828" s="229"/>
      <c r="I828" s="229"/>
    </row>
    <row r="829" spans="1:9" ht="14.4">
      <c r="A829" s="233"/>
      <c r="B829" s="233"/>
      <c r="C829" s="864"/>
      <c r="D829" s="865"/>
      <c r="E829" s="37"/>
      <c r="F829" s="37"/>
      <c r="G829" s="865"/>
      <c r="H829" s="229"/>
      <c r="I829" s="229"/>
    </row>
    <row r="830" spans="1:9" ht="14.4">
      <c r="A830" s="233"/>
      <c r="B830" s="515" t="s">
        <v>325</v>
      </c>
      <c r="C830" s="864"/>
      <c r="D830" s="983" t="s">
        <v>568</v>
      </c>
      <c r="E830" s="983"/>
      <c r="F830" s="983"/>
      <c r="G830" s="865"/>
      <c r="H830" s="229"/>
      <c r="I830" s="229"/>
    </row>
    <row r="831" spans="1:9" ht="14.4">
      <c r="A831" s="233"/>
      <c r="B831" s="233"/>
      <c r="C831" s="864"/>
      <c r="D831" s="983"/>
      <c r="E831" s="983"/>
      <c r="F831" s="983"/>
      <c r="G831" s="865"/>
      <c r="H831" s="229"/>
      <c r="I831" s="229"/>
    </row>
    <row r="832" spans="1:9" ht="13.2">
      <c r="A832" s="18"/>
      <c r="B832" s="18"/>
      <c r="C832" s="864"/>
      <c r="D832" s="983"/>
      <c r="E832" s="983"/>
      <c r="F832" s="983"/>
      <c r="G832" s="865"/>
      <c r="H832" s="229"/>
      <c r="I832" s="229"/>
    </row>
    <row r="833" spans="1:9" ht="14.4">
      <c r="A833" s="233"/>
      <c r="B833" s="18"/>
      <c r="C833" s="864"/>
      <c r="D833" s="983"/>
      <c r="E833" s="983"/>
      <c r="F833" s="983"/>
      <c r="G833" s="865"/>
      <c r="H833" s="229"/>
      <c r="I833" s="229"/>
    </row>
    <row r="834" spans="1:9" ht="14.4">
      <c r="A834" s="233"/>
      <c r="B834" s="18"/>
      <c r="C834" s="864"/>
      <c r="D834" s="983"/>
      <c r="E834" s="983"/>
      <c r="F834" s="983"/>
      <c r="G834" s="865"/>
      <c r="H834" s="229"/>
      <c r="I834" s="229"/>
    </row>
    <row r="835" spans="1:9" ht="14.4">
      <c r="A835" s="233"/>
      <c r="B835" s="18"/>
      <c r="C835" s="864"/>
      <c r="D835" s="983"/>
      <c r="E835" s="983"/>
      <c r="F835" s="983"/>
      <c r="G835" s="865"/>
      <c r="H835" s="229"/>
      <c r="I835" s="229"/>
    </row>
    <row r="836" spans="1:9" ht="14.4">
      <c r="A836" s="233"/>
      <c r="B836" s="18"/>
      <c r="C836" s="864"/>
      <c r="D836" s="856"/>
      <c r="E836" s="856"/>
      <c r="F836" s="856"/>
      <c r="G836" s="865"/>
      <c r="H836" s="229"/>
      <c r="I836" s="229"/>
    </row>
    <row r="837" spans="1:9" ht="14.4">
      <c r="A837" s="233"/>
      <c r="B837" s="515" t="s">
        <v>325</v>
      </c>
      <c r="C837" s="864"/>
      <c r="D837" s="964" t="s">
        <v>569</v>
      </c>
      <c r="E837" s="964"/>
      <c r="F837" s="964"/>
      <c r="G837" s="865"/>
      <c r="H837" s="229"/>
      <c r="I837" s="229"/>
    </row>
    <row r="838" spans="1:9" ht="14.4">
      <c r="A838" s="233"/>
      <c r="B838" s="233"/>
      <c r="C838" s="864"/>
      <c r="D838" s="964"/>
      <c r="E838" s="964"/>
      <c r="F838" s="964"/>
      <c r="G838" s="865"/>
      <c r="H838" s="229"/>
      <c r="I838" s="229"/>
    </row>
    <row r="839" spans="1:9" ht="14.4">
      <c r="A839" s="233"/>
      <c r="B839" s="233"/>
      <c r="C839" s="864"/>
      <c r="D839" s="865"/>
      <c r="E839" s="37"/>
      <c r="F839" s="37"/>
      <c r="G839" s="865"/>
      <c r="H839" s="229"/>
      <c r="I839" s="229"/>
    </row>
    <row r="840" spans="1:9" ht="14.4">
      <c r="A840" s="233"/>
      <c r="B840" s="515" t="s">
        <v>325</v>
      </c>
      <c r="C840" s="864"/>
      <c r="D840" s="983" t="s">
        <v>570</v>
      </c>
      <c r="E840" s="983"/>
      <c r="F840" s="983"/>
      <c r="G840" s="865"/>
      <c r="H840" s="229"/>
      <c r="I840" s="229"/>
    </row>
    <row r="841" spans="1:9" ht="14.4">
      <c r="A841" s="233"/>
      <c r="B841" s="233"/>
      <c r="C841" s="864"/>
      <c r="D841" s="983"/>
      <c r="E841" s="983"/>
      <c r="F841" s="983"/>
      <c r="G841" s="865"/>
      <c r="H841" s="229"/>
      <c r="I841" s="229"/>
    </row>
    <row r="842" spans="1:9" ht="13.2">
      <c r="A842" s="18"/>
      <c r="B842" s="18"/>
      <c r="C842" s="864"/>
      <c r="D842" s="865"/>
      <c r="E842" s="37"/>
      <c r="F842" s="37"/>
      <c r="G842" s="865"/>
      <c r="H842" s="229"/>
      <c r="I842" s="229"/>
    </row>
    <row r="843" spans="1:9" ht="13.2">
      <c r="A843" s="956" t="s">
        <v>571</v>
      </c>
      <c r="B843" s="956"/>
      <c r="C843" s="956"/>
      <c r="D843" s="956"/>
      <c r="E843" s="956"/>
      <c r="F843" s="956"/>
      <c r="G843" s="956"/>
      <c r="H843" s="229"/>
      <c r="I843" s="229"/>
    </row>
    <row r="844" spans="1:9" ht="13.2">
      <c r="A844" s="167"/>
      <c r="B844" s="167"/>
      <c r="C844" s="864"/>
      <c r="D844" s="865"/>
      <c r="E844" s="865"/>
      <c r="F844" s="865"/>
      <c r="G844" s="865"/>
      <c r="H844" s="229"/>
      <c r="I844" s="229"/>
    </row>
    <row r="845" spans="1:9" ht="14.4">
      <c r="A845" s="233"/>
      <c r="B845" s="233"/>
      <c r="C845" s="401"/>
      <c r="D845" s="958" t="s">
        <v>572</v>
      </c>
      <c r="E845" s="958"/>
      <c r="F845" s="958"/>
      <c r="G845" s="37"/>
      <c r="H845" s="229"/>
      <c r="I845" s="229"/>
    </row>
    <row r="846" spans="1:9" ht="14.4">
      <c r="A846" s="233"/>
      <c r="B846" s="233"/>
      <c r="C846" s="401"/>
      <c r="D846" s="930" t="s">
        <v>573</v>
      </c>
      <c r="E846" s="930"/>
      <c r="F846" s="930"/>
      <c r="G846" s="37"/>
      <c r="H846" s="229"/>
      <c r="I846" s="229"/>
    </row>
    <row r="847" spans="1:9" ht="14.4">
      <c r="A847" s="233"/>
      <c r="B847" s="233"/>
      <c r="C847" s="401"/>
      <c r="D847" s="178"/>
      <c r="E847" s="178"/>
      <c r="F847" s="178"/>
      <c r="G847" s="37"/>
      <c r="H847" s="229"/>
      <c r="I847" s="229"/>
    </row>
    <row r="848" spans="1:9" ht="13.2">
      <c r="A848" s="401"/>
      <c r="B848" s="515" t="s">
        <v>323</v>
      </c>
      <c r="C848" s="864"/>
      <c r="D848" s="930" t="s">
        <v>574</v>
      </c>
      <c r="E848" s="930"/>
      <c r="F848" s="930"/>
      <c r="G848" s="37"/>
      <c r="H848" s="229"/>
      <c r="I848" s="229"/>
    </row>
    <row r="849" spans="1:9" ht="13.2">
      <c r="A849" s="18"/>
      <c r="B849" s="18"/>
      <c r="C849" s="864"/>
      <c r="D849" s="3" t="s">
        <v>383</v>
      </c>
      <c r="E849" s="935" t="s">
        <v>407</v>
      </c>
      <c r="F849" s="935"/>
      <c r="G849" s="37"/>
      <c r="H849" s="229"/>
      <c r="I849" s="229"/>
    </row>
    <row r="850" spans="1:9" ht="13.2">
      <c r="A850" s="18"/>
      <c r="B850" s="18"/>
      <c r="C850" s="864"/>
      <c r="D850" s="867"/>
      <c r="E850" s="37"/>
      <c r="F850" s="37"/>
      <c r="G850" s="37"/>
      <c r="H850" s="229"/>
      <c r="I850" s="229"/>
    </row>
    <row r="851" spans="1:9" ht="13.2">
      <c r="A851" s="18"/>
      <c r="B851" s="515" t="s">
        <v>325</v>
      </c>
      <c r="C851" s="864"/>
      <c r="D851" s="991" t="s">
        <v>575</v>
      </c>
      <c r="E851" s="991"/>
      <c r="F851" s="991"/>
      <c r="G851" s="37"/>
      <c r="H851" s="229"/>
      <c r="I851" s="229"/>
    </row>
    <row r="852" spans="1:9" ht="13.2">
      <c r="A852" s="18"/>
      <c r="B852" s="18"/>
      <c r="C852" s="864"/>
      <c r="D852" s="991"/>
      <c r="E852" s="991"/>
      <c r="F852" s="991"/>
      <c r="G852" s="37"/>
      <c r="H852" s="229"/>
      <c r="I852" s="229"/>
    </row>
    <row r="853" spans="1:9" ht="13.2">
      <c r="A853" s="18"/>
      <c r="B853" s="18"/>
      <c r="C853" s="864"/>
      <c r="D853" s="991"/>
      <c r="E853" s="991"/>
      <c r="F853" s="991"/>
      <c r="G853" s="37"/>
      <c r="H853" s="229"/>
      <c r="I853" s="229"/>
    </row>
    <row r="854" spans="1:9" ht="13.2">
      <c r="A854" s="18"/>
      <c r="B854" s="18"/>
      <c r="C854" s="864"/>
      <c r="D854" s="991"/>
      <c r="E854" s="991"/>
      <c r="F854" s="991"/>
      <c r="G854" s="37"/>
      <c r="H854" s="229"/>
      <c r="I854" s="229"/>
    </row>
    <row r="855" spans="1:9" ht="13.2">
      <c r="A855" s="18"/>
      <c r="B855" s="18"/>
      <c r="C855" s="864"/>
      <c r="D855" s="991"/>
      <c r="E855" s="991"/>
      <c r="F855" s="991"/>
      <c r="G855" s="37"/>
      <c r="H855" s="229"/>
      <c r="I855" s="229"/>
    </row>
    <row r="856" spans="1:9" ht="13.2">
      <c r="A856" s="18"/>
      <c r="B856" s="18"/>
      <c r="C856" s="864"/>
      <c r="D856" s="991"/>
      <c r="E856" s="991"/>
      <c r="F856" s="991"/>
      <c r="G856" s="37"/>
      <c r="H856" s="229"/>
      <c r="I856" s="229"/>
    </row>
    <row r="857" spans="1:9" ht="13.2">
      <c r="A857" s="18"/>
      <c r="B857" s="18"/>
      <c r="C857" s="864"/>
      <c r="D857" s="991"/>
      <c r="E857" s="991"/>
      <c r="F857" s="991"/>
      <c r="G857" s="37"/>
      <c r="H857" s="229"/>
      <c r="I857" s="229"/>
    </row>
    <row r="858" spans="1:9" ht="13.2">
      <c r="A858" s="18"/>
      <c r="B858" s="18"/>
      <c r="C858" s="864"/>
      <c r="D858" s="991"/>
      <c r="E858" s="991"/>
      <c r="F858" s="991"/>
      <c r="G858" s="37"/>
      <c r="H858" s="229"/>
      <c r="I858" s="229"/>
    </row>
    <row r="859" spans="1:9" ht="13.2">
      <c r="A859" s="18"/>
      <c r="B859" s="18"/>
      <c r="C859" s="864"/>
      <c r="D859" s="991"/>
      <c r="E859" s="991"/>
      <c r="F859" s="991"/>
      <c r="G859" s="37"/>
      <c r="H859" s="229"/>
      <c r="I859" s="229"/>
    </row>
    <row r="860" spans="1:9" ht="13.2">
      <c r="A860" s="18"/>
      <c r="B860" s="18"/>
      <c r="C860" s="864"/>
      <c r="D860" s="867"/>
      <c r="E860" s="37"/>
      <c r="F860" s="37"/>
      <c r="G860" s="37"/>
      <c r="H860" s="229"/>
      <c r="I860" s="229"/>
    </row>
    <row r="861" spans="1:9" ht="14.4">
      <c r="A861" s="233"/>
      <c r="B861" s="515" t="s">
        <v>323</v>
      </c>
      <c r="C861" s="864"/>
      <c r="D861" s="930" t="s">
        <v>576</v>
      </c>
      <c r="E861" s="930"/>
      <c r="F861" s="930"/>
      <c r="G861" s="37"/>
      <c r="H861" s="229"/>
      <c r="I861" s="229"/>
    </row>
    <row r="862" spans="1:9" ht="14.4">
      <c r="A862" s="233"/>
      <c r="B862" s="233"/>
      <c r="C862" s="864"/>
      <c r="D862" s="930"/>
      <c r="E862" s="930"/>
      <c r="F862" s="930"/>
      <c r="G862" s="37"/>
      <c r="H862" s="229"/>
      <c r="I862" s="229"/>
    </row>
    <row r="863" spans="1:9" ht="14.4">
      <c r="A863" s="233"/>
      <c r="B863" s="233"/>
      <c r="C863" s="864"/>
      <c r="D863" s="930"/>
      <c r="E863" s="930"/>
      <c r="F863" s="930"/>
      <c r="G863" s="37"/>
      <c r="H863" s="229"/>
      <c r="I863" s="229"/>
    </row>
    <row r="864" spans="1:9" ht="14.4">
      <c r="A864" s="233"/>
      <c r="B864" s="233"/>
      <c r="C864" s="864"/>
      <c r="D864" s="232"/>
      <c r="E864" s="37"/>
      <c r="F864" s="37"/>
      <c r="G864" s="37"/>
      <c r="H864" s="229"/>
      <c r="I864" s="229"/>
    </row>
    <row r="865" spans="1:9" ht="13.2">
      <c r="A865" s="339"/>
      <c r="B865" s="515" t="s">
        <v>325</v>
      </c>
      <c r="C865" s="864"/>
      <c r="D865" s="958" t="s">
        <v>577</v>
      </c>
      <c r="E865" s="958"/>
      <c r="F865" s="958"/>
      <c r="G865" s="37"/>
      <c r="H865" s="229"/>
      <c r="I865" s="229"/>
    </row>
    <row r="866" spans="1:9" ht="13.2">
      <c r="A866" s="401"/>
      <c r="B866" s="339"/>
      <c r="C866" s="864"/>
      <c r="D866" s="958"/>
      <c r="E866" s="958"/>
      <c r="F866" s="958"/>
      <c r="G866" s="37"/>
      <c r="H866" s="229"/>
      <c r="I866" s="229"/>
    </row>
    <row r="867" spans="1:9" ht="14.25" customHeight="1">
      <c r="A867" s="233"/>
      <c r="B867" s="401"/>
      <c r="C867" s="864"/>
      <c r="D867" s="930" t="s">
        <v>578</v>
      </c>
      <c r="E867" s="930"/>
      <c r="F867" s="930"/>
      <c r="G867" s="37"/>
      <c r="H867" s="229"/>
      <c r="I867" s="229"/>
    </row>
    <row r="868" spans="1:9" ht="14.4">
      <c r="A868" s="233"/>
      <c r="B868" s="233"/>
      <c r="C868" s="864"/>
      <c r="D868" s="930"/>
      <c r="E868" s="930"/>
      <c r="F868" s="930"/>
      <c r="G868" s="37"/>
      <c r="H868" s="229"/>
      <c r="I868" s="229"/>
    </row>
    <row r="869" spans="1:9" ht="14.4">
      <c r="A869" s="233"/>
      <c r="B869" s="233"/>
      <c r="C869" s="864"/>
      <c r="D869" s="930"/>
      <c r="E869" s="930"/>
      <c r="F869" s="930"/>
      <c r="G869" s="37"/>
      <c r="H869" s="229"/>
      <c r="I869" s="229"/>
    </row>
    <row r="870" spans="1:9" ht="14.4">
      <c r="A870" s="233"/>
      <c r="B870" s="233"/>
      <c r="C870" s="864"/>
      <c r="D870" s="930"/>
      <c r="E870" s="930"/>
      <c r="F870" s="930"/>
      <c r="G870" s="37"/>
      <c r="H870" s="229"/>
      <c r="I870" s="229"/>
    </row>
    <row r="871" spans="1:9" ht="14.4">
      <c r="A871" s="233"/>
      <c r="B871" s="233"/>
      <c r="C871" s="864"/>
      <c r="D871" s="930"/>
      <c r="E871" s="930"/>
      <c r="F871" s="930"/>
      <c r="G871" s="37"/>
      <c r="H871" s="229"/>
      <c r="I871" s="229"/>
    </row>
    <row r="872" spans="1:9" ht="14.25" customHeight="1">
      <c r="A872" s="233"/>
      <c r="B872" s="233"/>
      <c r="C872" s="864"/>
      <c r="D872" s="930"/>
      <c r="E872" s="930"/>
      <c r="F872" s="930"/>
      <c r="G872" s="37"/>
      <c r="H872" s="229"/>
      <c r="I872" s="229"/>
    </row>
    <row r="873" spans="1:9" ht="14.4">
      <c r="A873" s="233"/>
      <c r="B873" s="233"/>
      <c r="C873" s="864"/>
      <c r="D873" s="232"/>
      <c r="E873" s="37"/>
      <c r="F873" s="37"/>
      <c r="G873" s="37"/>
      <c r="H873" s="229"/>
      <c r="I873" s="229"/>
    </row>
    <row r="874" spans="1:9" ht="14.4">
      <c r="A874" s="233"/>
      <c r="B874" s="515" t="s">
        <v>325</v>
      </c>
      <c r="C874" s="864"/>
      <c r="D874" s="930" t="s">
        <v>579</v>
      </c>
      <c r="E874" s="930"/>
      <c r="F874" s="930"/>
      <c r="G874" s="37"/>
      <c r="H874" s="229"/>
      <c r="I874" s="229"/>
    </row>
    <row r="875" spans="1:9" ht="14.4">
      <c r="A875" s="233"/>
      <c r="B875" s="233"/>
      <c r="C875" s="864"/>
      <c r="D875" s="930" t="s">
        <v>580</v>
      </c>
      <c r="E875" s="930"/>
      <c r="F875" s="930"/>
      <c r="G875" s="37"/>
      <c r="H875" s="229"/>
      <c r="I875" s="229"/>
    </row>
    <row r="876" spans="1:9" ht="14.4">
      <c r="A876" s="233"/>
      <c r="B876" s="233"/>
      <c r="C876" s="864"/>
      <c r="D876" s="3" t="s">
        <v>379</v>
      </c>
      <c r="E876" s="935" t="s">
        <v>418</v>
      </c>
      <c r="F876" s="935"/>
      <c r="G876" s="37"/>
      <c r="H876" s="229"/>
      <c r="I876" s="229"/>
    </row>
    <row r="877" spans="1:9" ht="14.4">
      <c r="A877" s="233"/>
      <c r="B877" s="233"/>
      <c r="C877" s="864"/>
      <c r="D877" s="232"/>
      <c r="E877" s="37"/>
      <c r="F877" s="37"/>
      <c r="G877" s="37"/>
      <c r="H877" s="229"/>
      <c r="I877" s="229"/>
    </row>
    <row r="878" spans="1:9" ht="14.4">
      <c r="A878" s="233"/>
      <c r="B878" s="515" t="s">
        <v>325</v>
      </c>
      <c r="C878" s="864"/>
      <c r="D878" s="930" t="s">
        <v>581</v>
      </c>
      <c r="E878" s="930"/>
      <c r="F878" s="930"/>
      <c r="G878" s="37"/>
      <c r="H878" s="229"/>
      <c r="I878" s="229"/>
    </row>
    <row r="879" spans="1:9" ht="14.4">
      <c r="A879" s="233"/>
      <c r="B879" s="233"/>
      <c r="C879" s="864"/>
      <c r="D879" s="930"/>
      <c r="E879" s="930"/>
      <c r="F879" s="930"/>
      <c r="G879" s="37"/>
      <c r="H879" s="229"/>
      <c r="I879" s="229"/>
    </row>
    <row r="880" spans="1:9" ht="14.4">
      <c r="A880" s="233"/>
      <c r="B880" s="233"/>
      <c r="C880" s="864"/>
      <c r="D880" s="930"/>
      <c r="E880" s="930"/>
      <c r="F880" s="930"/>
      <c r="G880" s="37"/>
      <c r="H880" s="229"/>
      <c r="I880" s="229"/>
    </row>
    <row r="881" spans="1:9" ht="14.4">
      <c r="A881" s="233"/>
      <c r="B881" s="233"/>
      <c r="C881" s="864"/>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68"/>
      <c r="D883" s="868"/>
      <c r="E883" s="868"/>
      <c r="F883" s="868"/>
      <c r="G883" s="868"/>
      <c r="H883" s="229"/>
      <c r="I883" s="229"/>
    </row>
    <row r="884" spans="1:9" ht="13.2">
      <c r="A884" s="167"/>
      <c r="B884" s="167"/>
      <c r="C884" s="167"/>
      <c r="D884" s="862"/>
      <c r="E884" s="37"/>
      <c r="F884" s="37"/>
      <c r="G884" s="37"/>
      <c r="H884" s="229"/>
      <c r="I884" s="229"/>
    </row>
    <row r="885" spans="1:9" ht="13.2">
      <c r="A885" s="401"/>
      <c r="B885" s="401"/>
      <c r="C885" s="168"/>
      <c r="D885" s="957" t="s">
        <v>583</v>
      </c>
      <c r="E885" s="957"/>
      <c r="F885" s="957"/>
      <c r="G885" s="865"/>
      <c r="H885" s="229"/>
      <c r="I885" s="229"/>
    </row>
    <row r="886" spans="1:9" ht="13.2">
      <c r="A886" s="401"/>
      <c r="B886" s="401"/>
      <c r="C886" s="168"/>
      <c r="D886" s="999" t="s">
        <v>584</v>
      </c>
      <c r="E886" s="999"/>
      <c r="F886" s="999"/>
      <c r="G886" s="865"/>
      <c r="H886" s="229"/>
      <c r="I886" s="229"/>
    </row>
    <row r="887" spans="1:9" ht="13.2">
      <c r="A887" s="401"/>
      <c r="B887" s="401"/>
      <c r="C887" s="168"/>
      <c r="D887" s="857"/>
      <c r="E887" s="857"/>
      <c r="F887" s="857"/>
      <c r="G887" s="865"/>
      <c r="H887" s="229"/>
      <c r="I887" s="229"/>
    </row>
    <row r="888" spans="1:9" ht="14.4">
      <c r="A888" s="233"/>
      <c r="B888" s="515" t="s">
        <v>323</v>
      </c>
      <c r="C888" s="401"/>
      <c r="D888" s="952" t="s">
        <v>585</v>
      </c>
      <c r="E888" s="952"/>
      <c r="F888" s="952"/>
      <c r="G888" s="865"/>
      <c r="H888" s="229"/>
      <c r="I888" s="229"/>
    </row>
    <row r="889" spans="1:9" ht="13.2">
      <c r="A889" s="401"/>
      <c r="B889" s="401"/>
      <c r="C889" s="401"/>
      <c r="D889" s="3" t="s">
        <v>379</v>
      </c>
      <c r="E889" s="998" t="s">
        <v>418</v>
      </c>
      <c r="F889" s="998"/>
      <c r="G889" s="865"/>
    </row>
    <row r="890" spans="1:9" ht="13.2">
      <c r="A890" s="401"/>
      <c r="B890" s="401"/>
      <c r="C890" s="401"/>
      <c r="D890" s="232"/>
      <c r="E890" s="865"/>
      <c r="F890" s="865"/>
      <c r="G890" s="865"/>
      <c r="H890" s="229"/>
      <c r="I890" s="229"/>
    </row>
    <row r="891" spans="1:9" ht="14.4">
      <c r="A891" s="233"/>
      <c r="B891" s="515" t="s">
        <v>323</v>
      </c>
      <c r="C891" s="401"/>
      <c r="D891" s="930" t="s">
        <v>586</v>
      </c>
      <c r="E891" s="977"/>
      <c r="F891" s="977"/>
      <c r="G891" s="37"/>
    </row>
    <row r="892" spans="1:9" ht="12.75" customHeight="1">
      <c r="A892" s="401"/>
      <c r="B892" s="401"/>
      <c r="C892" s="401"/>
      <c r="D892" s="977"/>
      <c r="E892" s="977"/>
      <c r="F892" s="977"/>
      <c r="G892" s="37"/>
    </row>
    <row r="893" spans="1:9" ht="14.4">
      <c r="A893" s="233"/>
      <c r="B893" s="233"/>
      <c r="C893" s="401"/>
      <c r="D893" s="232"/>
      <c r="E893" s="865"/>
      <c r="F893" s="865"/>
      <c r="G893" s="865"/>
      <c r="H893" s="229"/>
      <c r="I893" s="229"/>
    </row>
    <row r="894" spans="1:9" ht="13.2">
      <c r="A894" s="401"/>
      <c r="B894" s="515" t="s">
        <v>325</v>
      </c>
      <c r="C894" s="401"/>
      <c r="D894" s="996" t="s">
        <v>587</v>
      </c>
      <c r="E894" s="996"/>
      <c r="F894" s="996"/>
      <c r="G894" s="865"/>
      <c r="H894" s="229"/>
      <c r="I894" s="229"/>
    </row>
    <row r="895" spans="1:9" ht="29.4" customHeight="1">
      <c r="A895" s="401"/>
      <c r="B895" s="472"/>
      <c r="C895" s="401"/>
      <c r="D895" s="996"/>
      <c r="E895" s="996"/>
      <c r="F895" s="996"/>
      <c r="G895" s="865"/>
      <c r="H895" s="229"/>
      <c r="I895" s="229"/>
    </row>
    <row r="896" spans="1:9" ht="14.4">
      <c r="A896" s="233"/>
      <c r="B896"/>
      <c r="C896" s="401"/>
      <c r="D896" s="930" t="s">
        <v>578</v>
      </c>
      <c r="E896" s="930"/>
      <c r="F896" s="930"/>
      <c r="G896" s="865"/>
      <c r="H896" s="229"/>
      <c r="I896" s="229"/>
    </row>
    <row r="897" spans="1:9" ht="14.4">
      <c r="A897" s="233"/>
      <c r="B897" s="233"/>
      <c r="C897" s="401"/>
      <c r="D897" s="930"/>
      <c r="E897" s="930"/>
      <c r="F897" s="930"/>
      <c r="G897" s="865"/>
      <c r="H897" s="229"/>
      <c r="I897" s="229"/>
    </row>
    <row r="898" spans="1:9" ht="14.4">
      <c r="A898" s="233"/>
      <c r="B898" s="233"/>
      <c r="C898" s="401"/>
      <c r="D898" s="930"/>
      <c r="E898" s="930"/>
      <c r="F898" s="930"/>
      <c r="G898" s="865"/>
      <c r="H898" s="229"/>
      <c r="I898" s="229"/>
    </row>
    <row r="899" spans="1:9" ht="14.4">
      <c r="A899" s="233"/>
      <c r="B899" s="233"/>
      <c r="C899" s="401"/>
      <c r="D899" s="930"/>
      <c r="E899" s="930"/>
      <c r="F899" s="930"/>
      <c r="G899" s="865"/>
      <c r="H899" s="229"/>
      <c r="I899" s="229"/>
    </row>
    <row r="900" spans="1:9" ht="14.4">
      <c r="A900" s="233"/>
      <c r="B900" s="233"/>
      <c r="C900" s="401"/>
      <c r="D900" s="930"/>
      <c r="E900" s="930"/>
      <c r="F900" s="930"/>
      <c r="G900" s="865"/>
      <c r="H900" s="229"/>
      <c r="I900" s="229"/>
    </row>
    <row r="901" spans="1:9" ht="14.4">
      <c r="A901" s="233"/>
      <c r="B901" s="233"/>
      <c r="C901" s="401"/>
      <c r="D901" s="930"/>
      <c r="E901" s="930"/>
      <c r="F901" s="930"/>
      <c r="G901" s="865"/>
      <c r="H901" s="229"/>
      <c r="I901" s="229"/>
    </row>
    <row r="902" spans="1:9" ht="14.4">
      <c r="A902" s="233"/>
      <c r="B902" s="233"/>
      <c r="C902" s="401"/>
      <c r="D902" s="232"/>
      <c r="E902" s="865"/>
      <c r="F902" s="865"/>
      <c r="G902" s="865"/>
      <c r="H902" s="229"/>
      <c r="I902" s="229"/>
    </row>
    <row r="903" spans="1:9" ht="14.4">
      <c r="A903" s="233"/>
      <c r="B903" s="515" t="s">
        <v>325</v>
      </c>
      <c r="C903" s="401"/>
      <c r="D903" s="955" t="s">
        <v>579</v>
      </c>
      <c r="E903" s="955"/>
      <c r="F903" s="955"/>
      <c r="G903" s="865"/>
      <c r="H903" s="229"/>
      <c r="I903" s="229"/>
    </row>
    <row r="904" spans="1:9" ht="14.4">
      <c r="A904" s="233"/>
      <c r="B904" s="233"/>
      <c r="C904" s="401"/>
      <c r="D904" s="955" t="s">
        <v>580</v>
      </c>
      <c r="E904" s="955"/>
      <c r="F904" s="955"/>
      <c r="G904" s="865"/>
      <c r="H904" s="229"/>
      <c r="I904" s="229"/>
    </row>
    <row r="905" spans="1:9" ht="14.4">
      <c r="A905" s="233"/>
      <c r="B905" s="233"/>
      <c r="C905" s="401"/>
      <c r="D905" s="3" t="s">
        <v>588</v>
      </c>
      <c r="E905" s="997" t="s">
        <v>418</v>
      </c>
      <c r="F905" s="997"/>
      <c r="G905" s="865"/>
      <c r="H905" s="229"/>
      <c r="I905" s="229"/>
    </row>
    <row r="906" spans="1:9" ht="14.4">
      <c r="A906" s="233"/>
      <c r="B906" s="233"/>
      <c r="C906" s="401"/>
      <c r="D906" s="232"/>
      <c r="E906" s="865"/>
      <c r="F906" s="865"/>
      <c r="G906" s="865"/>
      <c r="H906" s="229"/>
      <c r="I906" s="229"/>
    </row>
    <row r="907" spans="1:9" ht="14.4">
      <c r="A907" s="233"/>
      <c r="B907" s="515" t="s">
        <v>325</v>
      </c>
      <c r="C907" s="401"/>
      <c r="D907" s="930" t="s">
        <v>581</v>
      </c>
      <c r="E907" s="930"/>
      <c r="F907" s="930"/>
      <c r="G907" s="865"/>
      <c r="H907" s="229"/>
      <c r="I907" s="229"/>
    </row>
    <row r="908" spans="1:9" ht="14.4">
      <c r="A908" s="233"/>
      <c r="B908" s="233"/>
      <c r="C908" s="401"/>
      <c r="D908" s="930"/>
      <c r="E908" s="930"/>
      <c r="F908" s="930"/>
      <c r="G908" s="865"/>
      <c r="H908" s="229"/>
      <c r="I908" s="229"/>
    </row>
    <row r="909" spans="1:9" ht="14.4">
      <c r="A909" s="233"/>
      <c r="B909" s="233"/>
      <c r="C909" s="401"/>
      <c r="D909" s="930"/>
      <c r="E909" s="930"/>
      <c r="F909" s="930"/>
      <c r="G909" s="865"/>
      <c r="H909" s="229"/>
      <c r="I909" s="229"/>
    </row>
    <row r="910" spans="1:9" ht="14.4">
      <c r="A910" s="233"/>
      <c r="B910" s="233"/>
      <c r="C910" s="401"/>
      <c r="D910" s="930"/>
      <c r="E910" s="930"/>
      <c r="F910" s="930"/>
      <c r="G910" s="865"/>
      <c r="H910" s="229"/>
      <c r="I910" s="229"/>
    </row>
    <row r="911" spans="1:9" ht="13.2">
      <c r="A911" s="232"/>
      <c r="B911" s="232"/>
      <c r="C911" s="864"/>
      <c r="D911" s="865"/>
      <c r="E911" s="865"/>
      <c r="F911" s="865"/>
      <c r="G911" s="865"/>
      <c r="H911" s="229"/>
      <c r="I911" s="229"/>
    </row>
    <row r="912" spans="1:9" ht="13.2">
      <c r="A912" s="956" t="s">
        <v>589</v>
      </c>
      <c r="B912" s="956"/>
      <c r="C912" s="956"/>
      <c r="D912" s="956"/>
      <c r="E912" s="956"/>
      <c r="F912" s="956"/>
      <c r="G912" s="956"/>
      <c r="H912" s="229"/>
      <c r="I912" s="229"/>
    </row>
    <row r="913" spans="1:9" ht="13.2">
      <c r="A913" s="232"/>
      <c r="B913" s="232"/>
      <c r="C913" s="864"/>
      <c r="D913" s="865"/>
      <c r="E913" s="865"/>
      <c r="F913" s="865"/>
      <c r="G913" s="865"/>
      <c r="H913" s="229"/>
      <c r="I913" s="229"/>
    </row>
    <row r="914" spans="1:9" ht="13.2">
      <c r="A914" s="401"/>
      <c r="B914" s="401"/>
      <c r="C914" s="864"/>
      <c r="D914" s="981" t="s">
        <v>590</v>
      </c>
      <c r="E914" s="981"/>
      <c r="F914" s="981"/>
      <c r="G914" s="865"/>
      <c r="H914" s="229"/>
      <c r="I914" s="229"/>
    </row>
    <row r="915" spans="1:9" ht="13.2">
      <c r="A915" s="167"/>
      <c r="B915" s="167"/>
      <c r="C915" s="167"/>
      <c r="D915" s="952" t="s">
        <v>591</v>
      </c>
      <c r="E915" s="952"/>
      <c r="F915" s="952"/>
      <c r="G915" s="865"/>
      <c r="H915" s="229"/>
      <c r="I915" s="229"/>
    </row>
    <row r="916" spans="1:9" ht="13.2">
      <c r="A916" s="167"/>
      <c r="B916" s="167"/>
      <c r="C916" s="167"/>
      <c r="D916" s="37"/>
      <c r="E916" s="37"/>
      <c r="F916" s="865"/>
      <c r="G916" s="865"/>
      <c r="H916" s="229"/>
      <c r="I916" s="229"/>
    </row>
    <row r="917" spans="1:9" ht="13.65" customHeight="1">
      <c r="A917" s="167"/>
      <c r="B917" s="515" t="s">
        <v>325</v>
      </c>
      <c r="C917" s="167"/>
      <c r="D917" s="958" t="s">
        <v>592</v>
      </c>
      <c r="E917" s="958"/>
      <c r="F917" s="958"/>
      <c r="G917" s="865"/>
      <c r="H917" s="229"/>
      <c r="I917" s="229"/>
    </row>
    <row r="918" spans="1:9" ht="13.2">
      <c r="A918" s="167"/>
      <c r="B918" s="167"/>
      <c r="C918" s="167"/>
      <c r="D918" s="958"/>
      <c r="E918" s="958"/>
      <c r="F918" s="958"/>
      <c r="G918" s="865"/>
      <c r="H918" s="229"/>
      <c r="I918" s="229"/>
    </row>
    <row r="919" spans="1:9" ht="13.2">
      <c r="A919" s="167"/>
      <c r="B919" s="167"/>
      <c r="C919" s="167"/>
      <c r="D919" s="958"/>
      <c r="E919" s="958"/>
      <c r="F919" s="958"/>
      <c r="G919" s="865"/>
      <c r="H919" s="229"/>
      <c r="I919" s="229"/>
    </row>
    <row r="920" spans="1:9" ht="13.2">
      <c r="A920" s="167"/>
      <c r="B920" s="167"/>
      <c r="C920" s="167"/>
      <c r="D920" s="958"/>
      <c r="E920" s="958"/>
      <c r="F920" s="958"/>
      <c r="G920" s="865"/>
      <c r="H920" s="229"/>
      <c r="I920" s="229"/>
    </row>
    <row r="921" spans="1:9" ht="13.2">
      <c r="A921" s="167"/>
      <c r="B921" s="167"/>
      <c r="C921" s="167"/>
      <c r="D921" s="958"/>
      <c r="E921" s="958"/>
      <c r="F921" s="958"/>
      <c r="G921" s="865"/>
      <c r="H921" s="229"/>
      <c r="I921" s="229"/>
    </row>
    <row r="922" spans="1:9" ht="13.2">
      <c r="A922" s="168"/>
      <c r="B922" s="168"/>
      <c r="C922" s="168"/>
      <c r="D922" s="37"/>
      <c r="E922" s="37"/>
      <c r="F922" s="865"/>
      <c r="G922" s="865"/>
      <c r="H922" s="229"/>
      <c r="I922" s="229"/>
    </row>
    <row r="923" spans="1:9" ht="14.25" customHeight="1">
      <c r="A923" s="233"/>
      <c r="B923" s="515" t="s">
        <v>323</v>
      </c>
      <c r="C923" s="168"/>
      <c r="D923" s="935" t="s">
        <v>593</v>
      </c>
      <c r="E923" s="935"/>
      <c r="F923" s="935"/>
      <c r="G923" s="865"/>
      <c r="H923" s="229"/>
      <c r="I923" s="229"/>
    </row>
    <row r="924" spans="1:9" ht="14.25" customHeight="1">
      <c r="A924" s="233"/>
      <c r="B924" s="233"/>
      <c r="C924" s="168"/>
      <c r="D924" s="935"/>
      <c r="E924" s="935"/>
      <c r="F924" s="935"/>
      <c r="G924" s="865"/>
      <c r="H924" s="229"/>
      <c r="I924" s="229"/>
    </row>
    <row r="925" spans="1:9" ht="14.25" customHeight="1">
      <c r="A925" s="233"/>
      <c r="B925" s="233"/>
      <c r="C925" s="168"/>
      <c r="D925" s="935"/>
      <c r="E925" s="935"/>
      <c r="F925" s="935"/>
      <c r="G925" s="865"/>
      <c r="H925" s="229"/>
      <c r="I925" s="229"/>
    </row>
    <row r="926" spans="1:9" ht="14.25" customHeight="1">
      <c r="A926" s="233"/>
      <c r="B926" s="233"/>
      <c r="C926" s="168"/>
      <c r="D926" s="935"/>
      <c r="E926" s="935"/>
      <c r="F926" s="935"/>
      <c r="G926" s="865"/>
      <c r="H926" s="229"/>
      <c r="I926" s="229"/>
    </row>
    <row r="927" spans="1:9" ht="14.25" customHeight="1">
      <c r="A927" s="168"/>
      <c r="B927" s="168"/>
      <c r="C927" s="168"/>
      <c r="D927" s="935"/>
      <c r="E927" s="935"/>
      <c r="F927" s="935"/>
      <c r="G927" s="865"/>
      <c r="H927" s="229"/>
      <c r="I927" s="229"/>
    </row>
    <row r="928" spans="1:9" ht="14.25" customHeight="1">
      <c r="A928" s="168"/>
      <c r="B928" s="168"/>
      <c r="C928" s="168"/>
      <c r="D928" s="935"/>
      <c r="E928" s="935"/>
      <c r="F928" s="935"/>
      <c r="G928" s="865"/>
      <c r="H928" s="229"/>
      <c r="I928" s="229"/>
    </row>
    <row r="929" spans="1:9" ht="14.25" customHeight="1">
      <c r="A929" s="168"/>
      <c r="B929" s="168"/>
      <c r="C929" s="168"/>
      <c r="D929" s="935"/>
      <c r="E929" s="935"/>
      <c r="F929" s="935"/>
      <c r="G929" s="865"/>
      <c r="H929" s="229"/>
      <c r="I929" s="229"/>
    </row>
    <row r="930" spans="1:9" ht="14.25" customHeight="1">
      <c r="A930" s="168"/>
      <c r="B930" s="168"/>
      <c r="C930" s="168"/>
      <c r="D930" s="3"/>
      <c r="E930" s="37"/>
      <c r="F930" s="865"/>
      <c r="G930" s="865"/>
      <c r="H930" s="229"/>
      <c r="I930" s="229"/>
    </row>
    <row r="931" spans="1:9" s="271" customFormat="1" ht="14.25" customHeight="1">
      <c r="A931" s="291"/>
      <c r="B931" s="515" t="s">
        <v>325</v>
      </c>
      <c r="C931" s="292"/>
      <c r="D931" s="935" t="s">
        <v>594</v>
      </c>
      <c r="E931" s="935"/>
      <c r="F931" s="935"/>
      <c r="G931" s="869"/>
      <c r="H931" s="293"/>
      <c r="I931" s="293"/>
    </row>
    <row r="932" spans="1:9" s="271" customFormat="1" ht="14.25" customHeight="1">
      <c r="A932" s="291"/>
      <c r="B932" s="291"/>
      <c r="C932" s="292"/>
      <c r="D932" s="935"/>
      <c r="E932" s="935"/>
      <c r="F932" s="935"/>
      <c r="G932" s="869"/>
      <c r="H932" s="293"/>
      <c r="I932" s="293"/>
    </row>
    <row r="933" spans="1:9" s="271" customFormat="1" ht="14.25" customHeight="1">
      <c r="A933" s="291"/>
      <c r="B933" s="291"/>
      <c r="C933" s="292"/>
      <c r="D933" s="935"/>
      <c r="E933" s="935"/>
      <c r="F933" s="935"/>
      <c r="G933" s="869"/>
      <c r="H933" s="293"/>
      <c r="I933" s="293"/>
    </row>
    <row r="934" spans="1:9" s="271" customFormat="1" ht="14.25" customHeight="1">
      <c r="A934" s="291"/>
      <c r="B934" s="291"/>
      <c r="C934" s="292"/>
      <c r="D934" s="935"/>
      <c r="E934" s="935"/>
      <c r="F934" s="935"/>
      <c r="G934" s="869"/>
      <c r="H934" s="293"/>
      <c r="I934" s="293"/>
    </row>
    <row r="935" spans="1:9" s="271" customFormat="1" ht="14.25" customHeight="1">
      <c r="A935" s="291"/>
      <c r="B935" s="291"/>
      <c r="C935" s="292"/>
      <c r="D935" s="935"/>
      <c r="E935" s="935"/>
      <c r="F935" s="935"/>
      <c r="G935" s="869"/>
      <c r="H935" s="293"/>
      <c r="I935" s="293"/>
    </row>
    <row r="936" spans="1:9" s="271" customFormat="1" ht="14.4">
      <c r="A936" s="291"/>
      <c r="B936" s="291"/>
      <c r="C936" s="292"/>
      <c r="D936" s="935"/>
      <c r="E936" s="935"/>
      <c r="F936" s="935"/>
      <c r="G936" s="869"/>
      <c r="H936" s="293"/>
      <c r="I936" s="293"/>
    </row>
    <row r="937" spans="1:9" s="271" customFormat="1" ht="14.25" customHeight="1">
      <c r="A937" s="291"/>
      <c r="B937" s="291"/>
      <c r="C937" s="292"/>
      <c r="D937" s="935"/>
      <c r="E937" s="935"/>
      <c r="F937" s="935"/>
      <c r="G937" s="869"/>
      <c r="H937" s="293"/>
      <c r="I937" s="293"/>
    </row>
    <row r="938" spans="1:9" s="271" customFormat="1" ht="14.25" customHeight="1">
      <c r="A938" s="291"/>
      <c r="B938" s="291"/>
      <c r="C938" s="292"/>
      <c r="D938" s="935"/>
      <c r="E938" s="935"/>
      <c r="F938" s="935"/>
      <c r="G938" s="869"/>
      <c r="H938" s="293"/>
      <c r="I938" s="293"/>
    </row>
    <row r="939" spans="1:9" s="271" customFormat="1" ht="14.25" customHeight="1">
      <c r="A939" s="291"/>
      <c r="B939" s="291"/>
      <c r="C939" s="292"/>
      <c r="D939" s="935"/>
      <c r="E939" s="935"/>
      <c r="F939" s="935"/>
      <c r="G939" s="869"/>
      <c r="H939" s="293"/>
      <c r="I939" s="293"/>
    </row>
    <row r="940" spans="1:9" ht="14.25" customHeight="1">
      <c r="A940" s="168"/>
      <c r="B940" s="168"/>
      <c r="C940" s="168"/>
      <c r="D940" s="3"/>
      <c r="E940" s="37"/>
      <c r="F940" s="865"/>
      <c r="G940" s="865"/>
      <c r="H940" s="229"/>
      <c r="I940" s="229"/>
    </row>
    <row r="941" spans="1:9" ht="14.25" customHeight="1">
      <c r="A941" s="233"/>
      <c r="B941" s="515" t="s">
        <v>323</v>
      </c>
      <c r="C941" s="168"/>
      <c r="D941" s="979" t="s">
        <v>595</v>
      </c>
      <c r="E941" s="979"/>
      <c r="F941" s="979"/>
      <c r="G941" s="865"/>
      <c r="H941" s="229"/>
      <c r="I941" s="229"/>
    </row>
    <row r="942" spans="1:9" ht="14.25" customHeight="1">
      <c r="A942" s="233"/>
      <c r="B942" s="233"/>
      <c r="C942" s="168"/>
      <c r="D942" s="979"/>
      <c r="E942" s="979"/>
      <c r="F942" s="979"/>
      <c r="G942" s="865"/>
      <c r="H942" s="229"/>
      <c r="I942" s="229"/>
    </row>
    <row r="943" spans="1:9" ht="14.25" customHeight="1">
      <c r="A943" s="233"/>
      <c r="B943" s="233"/>
      <c r="C943" s="168"/>
      <c r="D943" s="979"/>
      <c r="E943" s="979"/>
      <c r="F943" s="979"/>
      <c r="G943" s="865"/>
      <c r="H943" s="229"/>
      <c r="I943" s="229"/>
    </row>
    <row r="944" spans="1:9" ht="14.25" customHeight="1">
      <c r="A944" s="233"/>
      <c r="B944" s="233"/>
      <c r="C944" s="168"/>
      <c r="D944" s="979"/>
      <c r="E944" s="979"/>
      <c r="F944" s="979"/>
      <c r="G944" s="865"/>
      <c r="H944" s="229"/>
      <c r="I944" s="229"/>
    </row>
    <row r="945" spans="1:9" ht="14.25" customHeight="1">
      <c r="A945" s="233"/>
      <c r="B945" s="233"/>
      <c r="C945" s="168"/>
      <c r="D945" s="979"/>
      <c r="E945" s="979"/>
      <c r="F945" s="979"/>
      <c r="G945" s="865"/>
      <c r="H945" s="229"/>
      <c r="I945" s="229"/>
    </row>
    <row r="946" spans="1:9" ht="14.25" customHeight="1">
      <c r="A946" s="233"/>
      <c r="B946" s="233"/>
      <c r="C946" s="168"/>
      <c r="D946" s="979"/>
      <c r="E946" s="979"/>
      <c r="F946" s="979"/>
      <c r="G946" s="865"/>
      <c r="H946" s="229"/>
      <c r="I946" s="229"/>
    </row>
    <row r="947" spans="1:9" ht="14.25" customHeight="1">
      <c r="A947" s="233"/>
      <c r="B947" s="233"/>
      <c r="C947" s="168"/>
      <c r="D947" s="979"/>
      <c r="E947" s="979"/>
      <c r="F947" s="979"/>
      <c r="G947" s="865"/>
      <c r="H947" s="229"/>
      <c r="I947" s="229"/>
    </row>
    <row r="948" spans="1:9" ht="14.25" customHeight="1">
      <c r="A948" s="233"/>
      <c r="B948" s="233"/>
      <c r="C948" s="168"/>
      <c r="D948" s="302"/>
      <c r="E948" s="37"/>
      <c r="F948" s="865"/>
      <c r="G948" s="865"/>
      <c r="H948" s="229"/>
      <c r="I948" s="229"/>
    </row>
    <row r="949" spans="1:9" s="365" customFormat="1" ht="14.4">
      <c r="A949" s="233"/>
      <c r="B949" s="515" t="s">
        <v>325</v>
      </c>
      <c r="C949" s="168"/>
      <c r="D949" s="935" t="s">
        <v>596</v>
      </c>
      <c r="E949" s="935"/>
      <c r="F949" s="935"/>
      <c r="G949" s="865"/>
    </row>
    <row r="950" spans="1:9" s="365" customFormat="1" ht="14.4">
      <c r="A950" s="233"/>
      <c r="B950" s="233"/>
      <c r="C950" s="168"/>
      <c r="D950" s="935"/>
      <c r="E950" s="935"/>
      <c r="F950" s="935"/>
      <c r="G950" s="865"/>
    </row>
    <row r="951" spans="1:9" s="365" customFormat="1" ht="14.4">
      <c r="A951" s="233"/>
      <c r="B951" s="233"/>
      <c r="C951" s="168"/>
      <c r="D951" s="935"/>
      <c r="E951" s="935"/>
      <c r="F951" s="935"/>
      <c r="G951" s="865"/>
    </row>
    <row r="952" spans="1:9" s="365" customFormat="1" ht="14.4">
      <c r="A952" s="233"/>
      <c r="B952" s="233"/>
      <c r="C952" s="168"/>
      <c r="D952" s="935"/>
      <c r="E952" s="935"/>
      <c r="F952" s="935"/>
      <c r="G952" s="865"/>
    </row>
    <row r="953" spans="1:9" s="365" customFormat="1" ht="14.4">
      <c r="A953" s="233"/>
      <c r="B953" s="233"/>
      <c r="C953" s="168"/>
      <c r="D953" s="3"/>
      <c r="E953" s="37"/>
      <c r="F953" s="865"/>
      <c r="G953" s="865"/>
    </row>
    <row r="954" spans="1:9" ht="14.25" customHeight="1">
      <c r="A954" s="18"/>
      <c r="B954" s="18"/>
      <c r="C954" s="864"/>
      <c r="D954" s="930" t="s">
        <v>597</v>
      </c>
      <c r="E954" s="930"/>
      <c r="F954" s="930"/>
      <c r="G954" s="865"/>
      <c r="H954" s="229"/>
      <c r="I954" s="229"/>
    </row>
    <row r="955" spans="1:9" ht="14.25" customHeight="1">
      <c r="A955" s="864"/>
      <c r="B955" s="864"/>
      <c r="C955" s="864"/>
      <c r="D955" s="930"/>
      <c r="E955" s="930"/>
      <c r="F955" s="930"/>
      <c r="G955" s="865"/>
      <c r="H955" s="229"/>
      <c r="I955" s="229"/>
    </row>
    <row r="956" spans="1:9" ht="14.25" customHeight="1">
      <c r="A956" s="864"/>
      <c r="B956" s="864"/>
      <c r="C956" s="864"/>
      <c r="D956" s="3"/>
      <c r="E956" s="865"/>
      <c r="F956" s="865"/>
      <c r="G956" s="865"/>
      <c r="H956" s="229"/>
      <c r="I956" s="229"/>
    </row>
    <row r="957" spans="1:9" ht="14.4">
      <c r="A957" s="233"/>
      <c r="B957" s="515" t="s">
        <v>323</v>
      </c>
      <c r="C957" s="401"/>
      <c r="D957" s="930" t="s">
        <v>598</v>
      </c>
      <c r="E957" s="930"/>
      <c r="F957" s="930"/>
      <c r="G957" s="37"/>
    </row>
    <row r="958" spans="1:9" ht="13.2">
      <c r="A958" s="401"/>
      <c r="B958" s="401"/>
      <c r="C958" s="401"/>
      <c r="D958" s="930"/>
      <c r="E958" s="930"/>
      <c r="F958" s="930"/>
      <c r="G958" s="37"/>
    </row>
    <row r="959" spans="1:9" ht="14.25" customHeight="1">
      <c r="A959" s="864"/>
      <c r="B959" s="864"/>
      <c r="C959" s="864"/>
      <c r="D959" s="3"/>
      <c r="E959" s="865"/>
      <c r="F959" s="865"/>
      <c r="G959" s="865"/>
      <c r="H959" s="229"/>
      <c r="I959" s="229"/>
    </row>
    <row r="960" spans="1:9" ht="14.25" customHeight="1">
      <c r="A960" s="168"/>
      <c r="B960" s="168"/>
      <c r="C960" s="168"/>
      <c r="D960" s="981" t="s">
        <v>599</v>
      </c>
      <c r="E960" s="981"/>
      <c r="F960" s="981"/>
      <c r="G960" s="865"/>
      <c r="H960" s="229"/>
      <c r="I960" s="229"/>
    </row>
    <row r="961" spans="1:9" ht="14.25" customHeight="1">
      <c r="A961" s="168"/>
      <c r="B961" s="168"/>
      <c r="C961" s="168"/>
      <c r="D961" s="169"/>
      <c r="E961" s="37"/>
      <c r="F961" s="865"/>
      <c r="G961" s="865"/>
      <c r="H961" s="229"/>
      <c r="I961" s="229"/>
    </row>
    <row r="962" spans="1:9" ht="14.4" customHeight="1">
      <c r="A962" s="233"/>
      <c r="B962" s="515" t="s">
        <v>325</v>
      </c>
      <c r="C962" s="864"/>
      <c r="D962" s="959" t="s">
        <v>600</v>
      </c>
      <c r="E962" s="959"/>
      <c r="F962" s="959"/>
      <c r="G962" s="865"/>
      <c r="H962" s="229"/>
      <c r="I962" s="229"/>
    </row>
    <row r="963" spans="1:9" ht="13.2">
      <c r="A963" s="864"/>
      <c r="B963" s="864"/>
      <c r="C963" s="864"/>
      <c r="D963" s="959"/>
      <c r="E963" s="959"/>
      <c r="F963" s="959"/>
      <c r="G963" s="865"/>
      <c r="H963" s="229"/>
      <c r="I963" s="229"/>
    </row>
    <row r="964" spans="1:9" ht="13.2">
      <c r="A964" s="864"/>
      <c r="B964" s="864"/>
      <c r="C964" s="864"/>
      <c r="D964" s="959"/>
      <c r="E964" s="959"/>
      <c r="F964" s="959"/>
      <c r="G964" s="865"/>
      <c r="H964" s="229"/>
      <c r="I964" s="229"/>
    </row>
    <row r="965" spans="1:9" ht="13.2">
      <c r="A965" s="864"/>
      <c r="B965" s="864"/>
      <c r="C965" s="864"/>
      <c r="D965" s="959"/>
      <c r="E965" s="959"/>
      <c r="F965" s="959"/>
      <c r="G965" s="865"/>
      <c r="H965" s="229"/>
      <c r="I965" s="229"/>
    </row>
    <row r="966" spans="1:9" ht="13.2">
      <c r="A966" s="864"/>
      <c r="B966" s="864"/>
      <c r="C966" s="864"/>
      <c r="D966" s="959"/>
      <c r="E966" s="959"/>
      <c r="F966" s="959"/>
      <c r="G966" s="865"/>
      <c r="H966" s="229"/>
      <c r="I966" s="229"/>
    </row>
    <row r="967" spans="1:9" ht="13.2">
      <c r="A967" s="864"/>
      <c r="B967" s="864"/>
      <c r="C967" s="864"/>
      <c r="D967" s="959"/>
      <c r="E967" s="959"/>
      <c r="F967" s="959"/>
      <c r="G967" s="865"/>
      <c r="H967" s="229"/>
      <c r="I967" s="229"/>
    </row>
    <row r="968" spans="1:9" ht="13.2">
      <c r="A968" s="864"/>
      <c r="B968" s="864"/>
      <c r="C968" s="864"/>
      <c r="D968" s="518"/>
      <c r="E968" s="518"/>
      <c r="F968" s="518"/>
      <c r="G968" s="865"/>
      <c r="H968" s="229"/>
      <c r="I968" s="229"/>
    </row>
    <row r="969" spans="1:9" ht="14.4" customHeight="1">
      <c r="A969" s="233"/>
      <c r="B969" s="515" t="s">
        <v>325</v>
      </c>
      <c r="C969" s="864"/>
      <c r="D969" s="959" t="s">
        <v>601</v>
      </c>
      <c r="E969" s="959"/>
      <c r="F969" s="959"/>
      <c r="G969" s="865"/>
      <c r="H969" s="229"/>
      <c r="I969" s="229"/>
    </row>
    <row r="970" spans="1:9" ht="13.2">
      <c r="A970" s="864"/>
      <c r="B970" s="864"/>
      <c r="C970" s="864"/>
      <c r="D970" s="959"/>
      <c r="E970" s="959"/>
      <c r="F970" s="959"/>
      <c r="G970" s="865"/>
      <c r="H970" s="229"/>
      <c r="I970" s="229"/>
    </row>
    <row r="971" spans="1:9" ht="13.2">
      <c r="A971" s="864"/>
      <c r="B971" s="864"/>
      <c r="C971" s="864"/>
      <c r="D971" s="959"/>
      <c r="E971" s="959"/>
      <c r="F971" s="959"/>
      <c r="G971" s="865"/>
      <c r="H971" s="229"/>
      <c r="I971" s="229"/>
    </row>
    <row r="972" spans="1:9" ht="13.2">
      <c r="A972" s="864"/>
      <c r="B972" s="864"/>
      <c r="C972" s="864"/>
      <c r="D972" s="959"/>
      <c r="E972" s="959"/>
      <c r="F972" s="959"/>
      <c r="G972" s="865"/>
      <c r="H972" s="229"/>
      <c r="I972" s="229"/>
    </row>
    <row r="973" spans="1:9" ht="13.2">
      <c r="A973" s="864"/>
      <c r="B973" s="864"/>
      <c r="C973" s="864"/>
      <c r="D973" s="959"/>
      <c r="E973" s="959"/>
      <c r="F973" s="959"/>
      <c r="G973" s="865"/>
      <c r="H973" s="229"/>
      <c r="I973" s="229"/>
    </row>
    <row r="974" spans="1:9" ht="13.2">
      <c r="A974" s="864"/>
      <c r="B974" s="864"/>
      <c r="C974" s="864"/>
      <c r="D974" s="300"/>
      <c r="E974" s="865"/>
      <c r="F974" s="865"/>
      <c r="G974" s="865"/>
      <c r="H974" s="229"/>
      <c r="I974" s="229"/>
    </row>
    <row r="975" spans="1:9" ht="14.4">
      <c r="A975" s="233"/>
      <c r="B975" s="515" t="s">
        <v>325</v>
      </c>
      <c r="C975" s="864"/>
      <c r="D975" s="959" t="s">
        <v>602</v>
      </c>
      <c r="E975" s="959"/>
      <c r="F975" s="959"/>
      <c r="G975" s="865"/>
      <c r="H975" s="229"/>
      <c r="I975" s="229"/>
    </row>
    <row r="976" spans="1:9" ht="13.2">
      <c r="A976" s="864"/>
      <c r="B976" s="864"/>
      <c r="C976" s="864"/>
      <c r="D976" s="959"/>
      <c r="E976" s="959"/>
      <c r="F976" s="959"/>
      <c r="G976" s="865"/>
      <c r="H976" s="229"/>
      <c r="I976" s="229"/>
    </row>
    <row r="977" spans="1:9" ht="13.2">
      <c r="A977" s="864"/>
      <c r="B977" s="864"/>
      <c r="C977" s="864"/>
      <c r="D977" s="959"/>
      <c r="E977" s="959"/>
      <c r="F977" s="959"/>
      <c r="G977" s="865"/>
      <c r="H977" s="229"/>
      <c r="I977" s="229"/>
    </row>
    <row r="978" spans="1:9" ht="13.2">
      <c r="A978" s="864"/>
      <c r="B978" s="864"/>
      <c r="C978" s="864"/>
      <c r="D978" s="959"/>
      <c r="E978" s="959"/>
      <c r="F978" s="959"/>
      <c r="G978" s="865"/>
      <c r="H978" s="229"/>
      <c r="I978" s="229"/>
    </row>
    <row r="979" spans="1:9" ht="13.2">
      <c r="A979" s="864"/>
      <c r="B979" s="864"/>
      <c r="C979" s="864"/>
      <c r="D979" s="959"/>
      <c r="E979" s="959"/>
      <c r="F979" s="959"/>
      <c r="G979" s="865"/>
      <c r="H979" s="229"/>
      <c r="I979" s="229"/>
    </row>
    <row r="980" spans="1:9" ht="13.2">
      <c r="A980" s="864"/>
      <c r="B980" s="864"/>
      <c r="C980" s="864"/>
      <c r="D980" s="300"/>
      <c r="E980" s="865"/>
      <c r="F980" s="865"/>
      <c r="G980" s="865"/>
      <c r="H980" s="229"/>
      <c r="I980" s="229"/>
    </row>
    <row r="981" spans="1:9" ht="14.4" customHeight="1">
      <c r="A981" s="233"/>
      <c r="B981" s="515" t="s">
        <v>323</v>
      </c>
      <c r="C981" s="864"/>
      <c r="D981" s="959" t="s">
        <v>603</v>
      </c>
      <c r="E981" s="959"/>
      <c r="F981" s="959"/>
      <c r="G981" s="865"/>
      <c r="H981" s="229"/>
      <c r="I981" s="229"/>
    </row>
    <row r="982" spans="1:9" ht="13.2">
      <c r="A982" s="864"/>
      <c r="B982" s="864"/>
      <c r="C982" s="864"/>
      <c r="D982" s="959"/>
      <c r="E982" s="959"/>
      <c r="F982" s="959"/>
      <c r="G982" s="865"/>
      <c r="H982" s="229"/>
      <c r="I982" s="229"/>
    </row>
    <row r="983" spans="1:9" ht="13.2">
      <c r="A983" s="864"/>
      <c r="B983" s="864"/>
      <c r="C983" s="864"/>
      <c r="D983" s="959"/>
      <c r="E983" s="959"/>
      <c r="F983" s="959"/>
      <c r="G983" s="865"/>
      <c r="H983" s="229"/>
      <c r="I983" s="229"/>
    </row>
    <row r="984" spans="1:9" ht="13.2">
      <c r="A984" s="864"/>
      <c r="B984" s="864"/>
      <c r="C984" s="864"/>
      <c r="D984" s="518"/>
      <c r="E984" s="518"/>
      <c r="F984" s="518"/>
      <c r="G984" s="865"/>
      <c r="H984" s="229"/>
      <c r="I984" s="229"/>
    </row>
    <row r="985" spans="1:9" ht="14.4">
      <c r="A985" s="233"/>
      <c r="B985" s="515" t="s">
        <v>325</v>
      </c>
      <c r="C985" s="864"/>
      <c r="D985" s="959" t="s">
        <v>604</v>
      </c>
      <c r="E985" s="959"/>
      <c r="F985" s="959"/>
      <c r="G985" s="865"/>
      <c r="H985" s="229"/>
      <c r="I985" s="229"/>
    </row>
    <row r="986" spans="1:9" ht="13.2">
      <c r="A986" s="864"/>
      <c r="B986" s="864"/>
      <c r="C986" s="864"/>
      <c r="D986" s="959"/>
      <c r="E986" s="959"/>
      <c r="F986" s="959"/>
      <c r="G986" s="865"/>
      <c r="H986" s="229"/>
      <c r="I986" s="229"/>
    </row>
    <row r="987" spans="1:9" ht="13.2">
      <c r="A987" s="864"/>
      <c r="B987" s="864"/>
      <c r="C987" s="864"/>
      <c r="D987" s="300"/>
      <c r="E987" s="865"/>
      <c r="F987" s="865"/>
      <c r="G987" s="865"/>
      <c r="H987" s="229"/>
      <c r="I987" s="229"/>
    </row>
    <row r="988" spans="1:9" ht="13.2">
      <c r="A988" s="864"/>
      <c r="B988" s="515" t="s">
        <v>323</v>
      </c>
      <c r="C988" s="864"/>
      <c r="D988" s="930" t="s">
        <v>605</v>
      </c>
      <c r="E988" s="930"/>
      <c r="F988" s="930"/>
      <c r="G988" s="865"/>
      <c r="H988" s="229"/>
      <c r="I988" s="229"/>
    </row>
    <row r="989" spans="1:9" ht="13.2">
      <c r="A989" s="864"/>
      <c r="B989" s="864"/>
      <c r="C989" s="864"/>
      <c r="D989" s="930"/>
      <c r="E989" s="930"/>
      <c r="F989" s="930"/>
      <c r="G989" s="865"/>
      <c r="H989" s="229"/>
      <c r="I989" s="229"/>
    </row>
    <row r="990" spans="1:9" ht="13.2">
      <c r="A990" s="864"/>
      <c r="B990" s="864"/>
      <c r="C990" s="864"/>
      <c r="D990" s="865"/>
      <c r="E990" s="865"/>
      <c r="F990" s="865"/>
      <c r="G990" s="865"/>
      <c r="H990" s="229"/>
      <c r="I990" s="229"/>
    </row>
    <row r="991" spans="1:9" ht="13.2">
      <c r="A991" s="864"/>
      <c r="B991" s="515" t="s">
        <v>325</v>
      </c>
      <c r="C991" s="864"/>
      <c r="D991" s="983" t="s">
        <v>606</v>
      </c>
      <c r="E991" s="983"/>
      <c r="F991" s="983"/>
      <c r="G991" s="865"/>
      <c r="H991" s="229"/>
      <c r="I991" s="229"/>
    </row>
    <row r="992" spans="1:9" ht="13.2">
      <c r="A992" s="864"/>
      <c r="B992" s="864"/>
      <c r="C992" s="864"/>
      <c r="D992" s="983"/>
      <c r="E992" s="983"/>
      <c r="F992" s="983"/>
      <c r="G992" s="865"/>
      <c r="H992" s="229"/>
      <c r="I992" s="229"/>
    </row>
    <row r="993" spans="1:9" ht="13.2">
      <c r="A993" s="864"/>
      <c r="B993" s="864"/>
      <c r="C993" s="864"/>
      <c r="D993" s="983"/>
      <c r="E993" s="983"/>
      <c r="F993" s="983"/>
      <c r="G993" s="865"/>
      <c r="H993" s="229"/>
      <c r="I993" s="229"/>
    </row>
    <row r="994" spans="1:9" ht="13.2">
      <c r="A994" s="864"/>
      <c r="B994" s="864"/>
      <c r="C994" s="864"/>
      <c r="D994" s="983"/>
      <c r="E994" s="983"/>
      <c r="F994" s="983"/>
      <c r="G994" s="865"/>
      <c r="H994" s="229"/>
      <c r="I994" s="229"/>
    </row>
    <row r="995" spans="1:9" ht="13.2">
      <c r="A995" s="864"/>
      <c r="B995" s="864"/>
      <c r="C995" s="864"/>
      <c r="D995" s="232"/>
      <c r="E995" s="865"/>
      <c r="F995" s="865"/>
      <c r="G995" s="865"/>
      <c r="H995" s="229"/>
      <c r="I995" s="229"/>
    </row>
    <row r="996" spans="1:9" ht="13.2">
      <c r="A996" s="864"/>
      <c r="B996" s="515" t="s">
        <v>325</v>
      </c>
      <c r="C996" s="864"/>
      <c r="D996" s="952" t="s">
        <v>607</v>
      </c>
      <c r="E996" s="952"/>
      <c r="F996" s="952"/>
      <c r="G996" s="865"/>
      <c r="H996" s="229"/>
      <c r="I996" s="229"/>
    </row>
    <row r="997" spans="1:9" ht="13.2">
      <c r="A997" s="864"/>
      <c r="B997" s="864"/>
      <c r="C997" s="864"/>
      <c r="D997" s="232"/>
      <c r="E997" s="865"/>
      <c r="F997" s="865"/>
      <c r="G997" s="865"/>
      <c r="H997" s="229"/>
      <c r="I997" s="229"/>
    </row>
    <row r="998" spans="1:9" ht="13.2">
      <c r="A998" s="864"/>
      <c r="B998" s="515" t="s">
        <v>325</v>
      </c>
      <c r="C998" s="864"/>
      <c r="D998" s="952" t="s">
        <v>608</v>
      </c>
      <c r="E998" s="952"/>
      <c r="F998" s="952"/>
      <c r="G998" s="865"/>
      <c r="H998" s="229"/>
      <c r="I998" s="229"/>
    </row>
    <row r="999" spans="1:9" ht="12.75" customHeight="1">
      <c r="A999" s="864"/>
      <c r="B999" s="864"/>
      <c r="C999" s="864"/>
      <c r="D999" s="865"/>
      <c r="E999" s="865"/>
      <c r="F999" s="865"/>
      <c r="G999" s="865"/>
      <c r="H999" s="229"/>
      <c r="I999" s="229"/>
    </row>
    <row r="1000" spans="1:9" ht="13.2">
      <c r="A1000" s="864"/>
      <c r="B1000" s="401"/>
      <c r="C1000" s="864"/>
      <c r="D1000" s="957" t="s">
        <v>609</v>
      </c>
      <c r="E1000" s="957"/>
      <c r="F1000" s="957"/>
      <c r="G1000" s="865"/>
      <c r="H1000" s="229"/>
      <c r="I1000" s="229"/>
    </row>
    <row r="1001" spans="1:9" ht="13.2">
      <c r="A1001" s="864"/>
      <c r="B1001" s="401"/>
      <c r="C1001" s="864"/>
      <c r="D1001" s="169"/>
      <c r="E1001" s="865"/>
      <c r="F1001" s="865"/>
      <c r="G1001" s="865"/>
      <c r="H1001" s="229"/>
      <c r="I1001" s="229"/>
    </row>
    <row r="1002" spans="1:9" ht="14.4">
      <c r="A1002" s="233"/>
      <c r="B1002" s="515" t="s">
        <v>323</v>
      </c>
      <c r="C1002" s="864"/>
      <c r="D1002" s="930" t="s">
        <v>610</v>
      </c>
      <c r="E1002" s="930"/>
      <c r="F1002" s="930"/>
      <c r="G1002" s="865"/>
      <c r="H1002" s="229"/>
      <c r="I1002" s="229"/>
    </row>
    <row r="1003" spans="1:9" ht="13.2">
      <c r="A1003" s="864"/>
      <c r="B1003" s="864"/>
      <c r="C1003" s="864"/>
      <c r="D1003" s="930"/>
      <c r="E1003" s="930"/>
      <c r="F1003" s="930"/>
      <c r="G1003" s="865"/>
      <c r="H1003" s="229"/>
      <c r="I1003" s="229"/>
    </row>
    <row r="1004" spans="1:9" ht="13.2">
      <c r="A1004" s="864"/>
      <c r="B1004" s="864"/>
      <c r="C1004" s="864"/>
      <c r="D1004" s="930"/>
      <c r="E1004" s="930"/>
      <c r="F1004" s="930"/>
      <c r="G1004" s="865"/>
      <c r="H1004" s="229"/>
      <c r="I1004" s="229"/>
    </row>
    <row r="1005" spans="1:9" ht="13.2">
      <c r="A1005" s="864"/>
      <c r="B1005" s="864"/>
      <c r="C1005" s="864"/>
      <c r="D1005" s="930"/>
      <c r="E1005" s="930"/>
      <c r="F1005" s="930"/>
      <c r="G1005" s="865"/>
      <c r="H1005" s="229"/>
      <c r="I1005" s="229"/>
    </row>
    <row r="1006" spans="1:9" ht="13.2">
      <c r="A1006" s="864"/>
      <c r="B1006" s="864"/>
      <c r="C1006" s="864"/>
      <c r="D1006" s="930"/>
      <c r="E1006" s="930"/>
      <c r="F1006" s="930"/>
      <c r="G1006" s="865"/>
      <c r="H1006" s="229"/>
      <c r="I1006" s="229"/>
    </row>
    <row r="1007" spans="1:9" ht="13.2">
      <c r="A1007" s="864"/>
      <c r="B1007" s="864"/>
      <c r="C1007" s="864"/>
      <c r="D1007" s="37"/>
      <c r="E1007" s="37"/>
      <c r="F1007" s="37"/>
      <c r="G1007" s="865"/>
      <c r="H1007" s="229"/>
      <c r="I1007" s="229"/>
    </row>
    <row r="1008" spans="1:9" ht="14.4">
      <c r="A1008" s="233"/>
      <c r="B1008" s="515" t="s">
        <v>325</v>
      </c>
      <c r="C1008" s="864"/>
      <c r="D1008" s="930" t="s">
        <v>611</v>
      </c>
      <c r="E1008" s="930"/>
      <c r="F1008" s="930"/>
      <c r="G1008" s="865"/>
      <c r="H1008" s="229"/>
      <c r="I1008" s="229"/>
    </row>
    <row r="1009" spans="1:9" ht="13.2">
      <c r="A1009" s="864"/>
      <c r="B1009" s="864"/>
      <c r="C1009" s="864"/>
      <c r="D1009" s="930"/>
      <c r="E1009" s="930"/>
      <c r="F1009" s="930"/>
      <c r="G1009" s="865"/>
      <c r="H1009" s="229"/>
      <c r="I1009" s="229"/>
    </row>
    <row r="1010" spans="1:9" ht="13.2">
      <c r="A1010" s="864"/>
      <c r="B1010" s="864"/>
      <c r="C1010" s="864"/>
      <c r="D1010" s="930"/>
      <c r="E1010" s="930"/>
      <c r="F1010" s="930"/>
      <c r="G1010" s="865"/>
      <c r="H1010" s="229"/>
      <c r="I1010" s="229"/>
    </row>
    <row r="1011" spans="1:9" ht="13.2">
      <c r="A1011" s="864"/>
      <c r="B1011" s="864"/>
      <c r="C1011" s="864"/>
      <c r="D1011" s="930"/>
      <c r="E1011" s="930"/>
      <c r="F1011" s="930"/>
      <c r="G1011" s="865"/>
      <c r="H1011" s="229"/>
      <c r="I1011" s="229"/>
    </row>
    <row r="1012" spans="1:9" ht="13.2">
      <c r="A1012" s="864"/>
      <c r="B1012" s="864"/>
      <c r="C1012" s="864"/>
      <c r="D1012" s="930"/>
      <c r="E1012" s="930"/>
      <c r="F1012" s="930"/>
      <c r="G1012" s="865"/>
      <c r="H1012" s="229"/>
      <c r="I1012" s="229"/>
    </row>
    <row r="1013" spans="1:9" ht="13.2">
      <c r="A1013" s="864"/>
      <c r="B1013" s="864"/>
      <c r="C1013" s="864"/>
      <c r="D1013" s="865"/>
      <c r="E1013" s="865"/>
      <c r="F1013" s="865"/>
      <c r="G1013" s="865"/>
      <c r="H1013" s="229"/>
      <c r="I1013" s="229"/>
    </row>
    <row r="1014" spans="1:9" ht="13.2">
      <c r="A1014" s="864"/>
      <c r="B1014" s="864"/>
      <c r="C1014" s="864"/>
      <c r="D1014" s="957" t="s">
        <v>612</v>
      </c>
      <c r="E1014" s="957"/>
      <c r="F1014" s="957"/>
      <c r="G1014" s="865"/>
      <c r="H1014" s="229"/>
      <c r="I1014" s="229"/>
    </row>
    <row r="1015" spans="1:9" ht="13.2">
      <c r="A1015" s="864"/>
      <c r="B1015" s="864"/>
      <c r="C1015" s="864"/>
      <c r="D1015" s="169"/>
      <c r="E1015" s="865"/>
      <c r="F1015" s="865"/>
      <c r="G1015" s="865"/>
      <c r="H1015" s="229"/>
      <c r="I1015" s="229"/>
    </row>
    <row r="1016" spans="1:9" ht="14.4">
      <c r="A1016" s="233"/>
      <c r="B1016" s="515" t="s">
        <v>323</v>
      </c>
      <c r="C1016" s="864"/>
      <c r="D1016" s="930" t="s">
        <v>613</v>
      </c>
      <c r="E1016" s="930"/>
      <c r="F1016" s="930"/>
      <c r="G1016" s="865"/>
      <c r="H1016" s="229"/>
      <c r="I1016" s="229"/>
    </row>
    <row r="1017" spans="1:9" ht="13.2">
      <c r="A1017" s="864"/>
      <c r="B1017" s="864"/>
      <c r="C1017" s="864"/>
      <c r="D1017" s="930"/>
      <c r="E1017" s="930"/>
      <c r="F1017" s="930"/>
      <c r="G1017" s="865"/>
      <c r="H1017" s="229"/>
      <c r="I1017" s="229"/>
    </row>
    <row r="1018" spans="1:9" ht="13.2">
      <c r="A1018" s="864"/>
      <c r="B1018" s="864"/>
      <c r="C1018" s="864"/>
      <c r="D1018" s="930"/>
      <c r="E1018" s="930"/>
      <c r="F1018" s="930"/>
      <c r="G1018" s="865"/>
      <c r="H1018" s="229"/>
      <c r="I1018" s="229"/>
    </row>
    <row r="1019" spans="1:9" ht="13.2">
      <c r="A1019" s="864"/>
      <c r="B1019" s="864"/>
      <c r="C1019" s="864"/>
      <c r="D1019" s="37"/>
      <c r="E1019" s="37"/>
      <c r="F1019" s="37"/>
      <c r="G1019" s="865"/>
      <c r="H1019" s="229"/>
      <c r="I1019" s="229"/>
    </row>
    <row r="1020" spans="1:9" ht="14.4">
      <c r="A1020" s="233"/>
      <c r="B1020" s="515" t="s">
        <v>325</v>
      </c>
      <c r="C1020" s="864"/>
      <c r="D1020" s="930" t="s">
        <v>614</v>
      </c>
      <c r="E1020" s="930"/>
      <c r="F1020" s="930"/>
      <c r="G1020" s="865"/>
      <c r="H1020" s="229"/>
      <c r="I1020" s="229"/>
    </row>
    <row r="1021" spans="1:9" ht="13.2">
      <c r="A1021" s="864"/>
      <c r="B1021" s="864"/>
      <c r="C1021" s="864"/>
      <c r="D1021" s="930"/>
      <c r="E1021" s="930"/>
      <c r="F1021" s="930"/>
      <c r="G1021" s="865"/>
      <c r="H1021" s="229"/>
      <c r="I1021" s="229"/>
    </row>
    <row r="1022" spans="1:9" ht="13.2">
      <c r="A1022" s="864"/>
      <c r="B1022" s="864"/>
      <c r="C1022" s="864"/>
      <c r="D1022" s="930"/>
      <c r="E1022" s="930"/>
      <c r="F1022" s="930"/>
      <c r="G1022" s="865"/>
      <c r="H1022" s="229"/>
      <c r="I1022" s="229"/>
    </row>
    <row r="1023" spans="1:9" ht="13.2">
      <c r="A1023" s="864"/>
      <c r="B1023" s="864"/>
      <c r="C1023" s="864"/>
      <c r="D1023" s="232"/>
      <c r="E1023" s="865"/>
      <c r="F1023" s="865"/>
      <c r="G1023" s="865"/>
      <c r="H1023" s="229"/>
      <c r="I1023" s="229"/>
    </row>
    <row r="1024" spans="1:9" ht="13.2">
      <c r="A1024" s="864"/>
      <c r="B1024" s="864"/>
      <c r="C1024" s="864"/>
      <c r="D1024" s="957" t="s">
        <v>615</v>
      </c>
      <c r="E1024" s="957"/>
      <c r="F1024" s="957"/>
      <c r="G1024" s="865"/>
      <c r="H1024" s="229"/>
      <c r="I1024" s="229"/>
    </row>
    <row r="1025" spans="1:9" ht="13.2">
      <c r="A1025" s="864"/>
      <c r="B1025" s="864"/>
      <c r="C1025" s="864"/>
      <c r="D1025" s="169"/>
      <c r="E1025" s="865"/>
      <c r="F1025" s="865"/>
      <c r="G1025" s="865"/>
      <c r="H1025" s="229"/>
      <c r="I1025" s="229"/>
    </row>
    <row r="1026" spans="1:9" ht="14.25" customHeight="1">
      <c r="A1026" s="233"/>
      <c r="B1026" s="515" t="s">
        <v>323</v>
      </c>
      <c r="C1026" s="864"/>
      <c r="D1026" s="930" t="s">
        <v>616</v>
      </c>
      <c r="E1026" s="930"/>
      <c r="F1026" s="930"/>
      <c r="G1026" s="178"/>
      <c r="H1026" s="668"/>
      <c r="I1026" s="668"/>
    </row>
    <row r="1027" spans="1:9" ht="13.2">
      <c r="A1027" s="864"/>
      <c r="B1027" s="864"/>
      <c r="C1027" s="864"/>
      <c r="D1027" s="930"/>
      <c r="E1027" s="930"/>
      <c r="F1027" s="930"/>
      <c r="G1027" s="178"/>
      <c r="H1027" s="668"/>
      <c r="I1027" s="668"/>
    </row>
    <row r="1028" spans="1:9" ht="13.2">
      <c r="A1028" s="864"/>
      <c r="B1028" s="864"/>
      <c r="C1028" s="864"/>
      <c r="D1028" s="930"/>
      <c r="E1028" s="930"/>
      <c r="F1028" s="930"/>
      <c r="G1028" s="178"/>
      <c r="H1028" s="668"/>
      <c r="I1028" s="668"/>
    </row>
    <row r="1029" spans="1:9" ht="12" customHeight="1">
      <c r="A1029" s="864"/>
      <c r="B1029" s="864"/>
      <c r="C1029" s="864"/>
      <c r="D1029" s="668"/>
      <c r="E1029" s="668"/>
      <c r="F1029" s="668"/>
      <c r="G1029" s="668"/>
      <c r="H1029" s="668"/>
      <c r="I1029" s="668"/>
    </row>
    <row r="1030" spans="1:9" ht="12.75" customHeight="1">
      <c r="A1030" s="864"/>
      <c r="B1030" s="515" t="s">
        <v>325</v>
      </c>
      <c r="C1030" s="864"/>
      <c r="D1030" s="930" t="s">
        <v>617</v>
      </c>
      <c r="E1030" s="930"/>
      <c r="F1030" s="930"/>
      <c r="G1030" s="668"/>
      <c r="H1030" s="229"/>
      <c r="I1030" s="229"/>
    </row>
    <row r="1031" spans="1:9" ht="13.2">
      <c r="A1031" s="864"/>
      <c r="B1031" s="864"/>
      <c r="C1031" s="864"/>
      <c r="D1031" s="930"/>
      <c r="E1031" s="930"/>
      <c r="F1031" s="930"/>
      <c r="G1031" s="668"/>
      <c r="H1031" s="229"/>
      <c r="I1031" s="229"/>
    </row>
    <row r="1032" spans="1:9" ht="13.2">
      <c r="A1032" s="864"/>
      <c r="B1032" s="864"/>
      <c r="C1032" s="864"/>
      <c r="D1032" s="930"/>
      <c r="E1032" s="930"/>
      <c r="F1032" s="930"/>
      <c r="G1032" s="668"/>
      <c r="H1032" s="229"/>
      <c r="I1032" s="229"/>
    </row>
    <row r="1033" spans="1:9" ht="12" customHeight="1">
      <c r="A1033" s="864"/>
      <c r="B1033" s="864"/>
      <c r="C1033" s="864"/>
      <c r="D1033" s="232"/>
      <c r="E1033" s="865"/>
      <c r="F1033" s="865"/>
      <c r="G1033" s="865"/>
      <c r="H1033" s="229"/>
      <c r="I1033" s="229"/>
    </row>
    <row r="1034" spans="1:9" ht="12.75" customHeight="1">
      <c r="A1034" s="864"/>
      <c r="B1034" s="515" t="s">
        <v>325</v>
      </c>
      <c r="C1034" s="864"/>
      <c r="D1034" s="933" t="s">
        <v>618</v>
      </c>
      <c r="E1034" s="933"/>
      <c r="F1034" s="933"/>
      <c r="G1034" s="810"/>
      <c r="H1034" s="229"/>
      <c r="I1034" s="229"/>
    </row>
    <row r="1035" spans="1:9" ht="13.2">
      <c r="A1035" s="864"/>
      <c r="B1035" s="864"/>
      <c r="C1035" s="864"/>
      <c r="D1035" s="933"/>
      <c r="E1035" s="933"/>
      <c r="F1035" s="933"/>
      <c r="G1035" s="810"/>
      <c r="H1035" s="229"/>
      <c r="I1035" s="229"/>
    </row>
    <row r="1036" spans="1:9" ht="13.2">
      <c r="A1036" s="864"/>
      <c r="B1036" s="864"/>
      <c r="C1036" s="864"/>
      <c r="D1036" s="933"/>
      <c r="E1036" s="933"/>
      <c r="F1036" s="933"/>
      <c r="G1036" s="810"/>
      <c r="H1036" s="229"/>
      <c r="I1036" s="229"/>
    </row>
    <row r="1037" spans="1:9" ht="12" customHeight="1">
      <c r="A1037" s="864"/>
      <c r="B1037" s="864"/>
      <c r="C1037" s="864"/>
      <c r="D1037" s="865"/>
      <c r="E1037" s="865"/>
      <c r="F1037" s="865"/>
      <c r="G1037" s="865"/>
      <c r="H1037" s="229"/>
      <c r="I1037" s="229"/>
    </row>
    <row r="1038" spans="1:9" ht="12.75" customHeight="1">
      <c r="A1038" s="864"/>
      <c r="B1038" s="515" t="s">
        <v>325</v>
      </c>
      <c r="C1038" s="864"/>
      <c r="D1038" s="930" t="s">
        <v>619</v>
      </c>
      <c r="E1038" s="930"/>
      <c r="F1038" s="930"/>
      <c r="G1038" s="810"/>
      <c r="H1038" s="810"/>
      <c r="I1038" s="810"/>
    </row>
    <row r="1039" spans="1:9" ht="13.2">
      <c r="A1039" s="864"/>
      <c r="B1039" s="864"/>
      <c r="C1039" s="864"/>
      <c r="D1039" s="930"/>
      <c r="E1039" s="930"/>
      <c r="F1039" s="930"/>
      <c r="G1039" s="810"/>
      <c r="H1039" s="810"/>
      <c r="I1039" s="810"/>
    </row>
    <row r="1040" spans="1:9" ht="13.2">
      <c r="A1040" s="864"/>
      <c r="B1040" s="864"/>
      <c r="C1040" s="864"/>
      <c r="D1040" s="930"/>
      <c r="E1040" s="930"/>
      <c r="F1040" s="930"/>
      <c r="G1040" s="810"/>
      <c r="H1040" s="810"/>
      <c r="I1040" s="810"/>
    </row>
    <row r="1041" spans="1:9" ht="14.4">
      <c r="A1041" s="233"/>
      <c r="B1041" s="233"/>
      <c r="C1041" s="864"/>
      <c r="D1041" s="232"/>
      <c r="E1041" s="865"/>
      <c r="F1041" s="865"/>
      <c r="G1041" s="865"/>
      <c r="H1041" s="229"/>
      <c r="I1041" s="229"/>
    </row>
    <row r="1042" spans="1:9" ht="12.75" customHeight="1">
      <c r="A1042" s="864"/>
      <c r="B1042" s="515" t="s">
        <v>325</v>
      </c>
      <c r="C1042" s="864"/>
      <c r="D1042" s="930" t="s">
        <v>620</v>
      </c>
      <c r="E1042" s="930"/>
      <c r="F1042" s="930"/>
      <c r="G1042" s="810"/>
      <c r="H1042" s="810"/>
      <c r="I1042" s="810"/>
    </row>
    <row r="1043" spans="1:9" ht="13.2">
      <c r="A1043" s="864"/>
      <c r="B1043" s="864"/>
      <c r="C1043" s="864"/>
      <c r="D1043" s="930"/>
      <c r="E1043" s="930"/>
      <c r="F1043" s="930"/>
      <c r="G1043" s="810"/>
      <c r="H1043" s="810"/>
      <c r="I1043" s="810"/>
    </row>
    <row r="1044" spans="1:9" ht="13.2">
      <c r="A1044" s="864"/>
      <c r="B1044" s="864"/>
      <c r="C1044" s="864"/>
      <c r="D1044" s="930"/>
      <c r="E1044" s="930"/>
      <c r="F1044" s="930"/>
      <c r="G1044" s="810"/>
      <c r="H1044" s="810"/>
      <c r="I1044" s="810"/>
    </row>
    <row r="1045" spans="1:9" ht="13.2">
      <c r="A1045" s="864"/>
      <c r="B1045" s="864"/>
      <c r="C1045" s="864"/>
      <c r="D1045" s="232"/>
      <c r="E1045" s="865"/>
      <c r="F1045" s="865"/>
      <c r="G1045" s="865"/>
      <c r="H1045" s="229"/>
      <c r="I1045" s="229"/>
    </row>
    <row r="1046" spans="1:9" ht="12.75" customHeight="1">
      <c r="A1046" s="864"/>
      <c r="B1046" s="515" t="s">
        <v>325</v>
      </c>
      <c r="C1046" s="864"/>
      <c r="D1046" s="930" t="s">
        <v>621</v>
      </c>
      <c r="E1046" s="930"/>
      <c r="F1046" s="930"/>
      <c r="G1046" s="178"/>
      <c r="H1046" s="229"/>
      <c r="I1046" s="229"/>
    </row>
    <row r="1047" spans="1:9" ht="13.2">
      <c r="A1047" s="864"/>
      <c r="B1047" s="864"/>
      <c r="C1047" s="864"/>
      <c r="D1047" s="930"/>
      <c r="E1047" s="930"/>
      <c r="F1047" s="930"/>
      <c r="G1047" s="178"/>
      <c r="H1047" s="229"/>
      <c r="I1047" s="229"/>
    </row>
    <row r="1048" spans="1:9" ht="13.2">
      <c r="A1048" s="864"/>
      <c r="B1048" s="864"/>
      <c r="C1048" s="864"/>
      <c r="D1048" s="930"/>
      <c r="E1048" s="930"/>
      <c r="F1048" s="930"/>
      <c r="G1048" s="178"/>
      <c r="H1048" s="229"/>
      <c r="I1048" s="229"/>
    </row>
    <row r="1049" spans="1:9" ht="13.2">
      <c r="A1049" s="864"/>
      <c r="B1049" s="864"/>
      <c r="C1049" s="864"/>
      <c r="D1049" s="178"/>
      <c r="E1049" s="178"/>
      <c r="F1049" s="178"/>
      <c r="G1049" s="178"/>
      <c r="H1049" s="229"/>
      <c r="I1049" s="229"/>
    </row>
    <row r="1050" spans="1:9" ht="12.75" customHeight="1">
      <c r="A1050" s="864"/>
      <c r="B1050" s="515" t="s">
        <v>325</v>
      </c>
      <c r="C1050" s="864"/>
      <c r="D1050" s="930" t="s">
        <v>622</v>
      </c>
      <c r="E1050" s="930"/>
      <c r="F1050" s="930"/>
      <c r="G1050" s="178"/>
      <c r="H1050" s="229"/>
      <c r="I1050" s="229"/>
    </row>
    <row r="1051" spans="1:9" ht="13.2">
      <c r="A1051" s="864"/>
      <c r="B1051" s="864"/>
      <c r="C1051" s="864"/>
      <c r="D1051" s="930"/>
      <c r="E1051" s="930"/>
      <c r="F1051" s="930"/>
      <c r="G1051" s="178"/>
      <c r="H1051" s="229"/>
      <c r="I1051" s="229"/>
    </row>
    <row r="1052" spans="1:9" ht="13.2">
      <c r="A1052" s="864"/>
      <c r="B1052" s="864"/>
      <c r="C1052" s="864"/>
      <c r="D1052" s="930"/>
      <c r="E1052" s="930"/>
      <c r="F1052" s="930"/>
      <c r="G1052" s="178"/>
      <c r="H1052" s="229"/>
      <c r="I1052" s="229"/>
    </row>
    <row r="1053" spans="1:9" ht="13.2">
      <c r="A1053" s="864"/>
      <c r="B1053" s="864"/>
      <c r="C1053" s="864"/>
      <c r="D1053" s="258"/>
      <c r="E1053" s="258"/>
      <c r="F1053" s="258"/>
      <c r="G1053" s="258"/>
      <c r="H1053" s="229"/>
      <c r="I1053" s="229"/>
    </row>
    <row r="1054" spans="1:9" ht="12.75" customHeight="1">
      <c r="A1054" s="864"/>
      <c r="B1054" s="515" t="s">
        <v>323</v>
      </c>
      <c r="C1054" s="864"/>
      <c r="D1054" s="975" t="s">
        <v>623</v>
      </c>
      <c r="E1054" s="975"/>
      <c r="F1054" s="975"/>
      <c r="G1054" s="514"/>
      <c r="H1054" s="229"/>
      <c r="I1054" s="229"/>
    </row>
    <row r="1055" spans="1:9" ht="13.2">
      <c r="A1055" s="864"/>
      <c r="B1055" s="864"/>
      <c r="C1055" s="864"/>
      <c r="D1055" s="975"/>
      <c r="E1055" s="975"/>
      <c r="F1055" s="975"/>
      <c r="G1055" s="514"/>
      <c r="H1055" s="229"/>
      <c r="I1055" s="229"/>
    </row>
    <row r="1056" spans="1:9" ht="13.2">
      <c r="A1056" s="864"/>
      <c r="B1056" s="864"/>
      <c r="C1056" s="864"/>
      <c r="D1056" s="975"/>
      <c r="E1056" s="975"/>
      <c r="F1056" s="975"/>
      <c r="G1056" s="514"/>
      <c r="H1056" s="229"/>
      <c r="I1056" s="229"/>
    </row>
    <row r="1057" spans="1:9" ht="13.2">
      <c r="A1057" s="864"/>
      <c r="B1057" s="864"/>
      <c r="C1057" s="864"/>
      <c r="D1057" s="975"/>
      <c r="E1057" s="975"/>
      <c r="F1057" s="975"/>
      <c r="G1057" s="514"/>
      <c r="H1057" s="229"/>
      <c r="I1057" s="229"/>
    </row>
    <row r="1058" spans="1:9" ht="13.2">
      <c r="A1058" s="864"/>
      <c r="B1058" s="864"/>
      <c r="C1058" s="864"/>
      <c r="D1058" s="975"/>
      <c r="E1058" s="975"/>
      <c r="F1058" s="975"/>
      <c r="G1058" s="514"/>
      <c r="H1058" s="229"/>
      <c r="I1058" s="229"/>
    </row>
    <row r="1059" spans="1:9" ht="13.2">
      <c r="A1059" s="864"/>
      <c r="B1059" s="864"/>
      <c r="C1059" s="864"/>
      <c r="D1059" s="975"/>
      <c r="E1059" s="975"/>
      <c r="F1059" s="975"/>
      <c r="G1059" s="514"/>
      <c r="H1059" s="229"/>
      <c r="I1059" s="229"/>
    </row>
    <row r="1060" spans="1:9" ht="13.2">
      <c r="A1060" s="864"/>
      <c r="B1060" s="864"/>
      <c r="C1060" s="864"/>
      <c r="D1060" s="975"/>
      <c r="E1060" s="975"/>
      <c r="F1060" s="975"/>
      <c r="G1060" s="514"/>
      <c r="H1060" s="229"/>
      <c r="I1060" s="229"/>
    </row>
    <row r="1061" spans="1:9" ht="13.2">
      <c r="A1061" s="864"/>
      <c r="B1061" s="864"/>
      <c r="C1061" s="864"/>
      <c r="D1061" s="975"/>
      <c r="E1061" s="975"/>
      <c r="F1061" s="975"/>
      <c r="G1061" s="514"/>
      <c r="H1061" s="229"/>
      <c r="I1061" s="229"/>
    </row>
    <row r="1062" spans="1:9" ht="13.2">
      <c r="A1062" s="864"/>
      <c r="B1062" s="864"/>
      <c r="C1062" s="864"/>
      <c r="D1062" s="975"/>
      <c r="E1062" s="975"/>
      <c r="F1062" s="975"/>
      <c r="G1062" s="514"/>
      <c r="H1062" s="229"/>
      <c r="I1062" s="229"/>
    </row>
    <row r="1063" spans="1:9" ht="13.2">
      <c r="A1063" s="864"/>
      <c r="B1063" s="864"/>
      <c r="C1063" s="864"/>
      <c r="D1063" s="975"/>
      <c r="E1063" s="975"/>
      <c r="F1063" s="975"/>
      <c r="G1063" s="514"/>
      <c r="H1063" s="229"/>
      <c r="I1063" s="229"/>
    </row>
    <row r="1064" spans="1:9" ht="27.75" customHeight="1">
      <c r="A1064" s="864"/>
      <c r="B1064" s="864"/>
      <c r="C1064" s="864"/>
      <c r="D1064" s="975"/>
      <c r="E1064" s="975"/>
      <c r="F1064" s="975"/>
      <c r="G1064" s="514"/>
      <c r="H1064" s="229"/>
      <c r="I1064" s="229"/>
    </row>
    <row r="1065" spans="1:9" ht="13.2">
      <c r="A1065" s="864"/>
      <c r="B1065" s="864"/>
      <c r="C1065" s="864"/>
      <c r="D1065" s="853"/>
      <c r="E1065" s="853"/>
      <c r="F1065" s="853"/>
      <c r="G1065" s="853"/>
      <c r="H1065" s="229"/>
      <c r="I1065" s="229"/>
    </row>
    <row r="1066" spans="1:9" ht="12.75" customHeight="1">
      <c r="A1066" s="864"/>
      <c r="B1066" s="864"/>
      <c r="C1066" s="864"/>
      <c r="D1066" s="957" t="s">
        <v>624</v>
      </c>
      <c r="E1066" s="957"/>
      <c r="F1066" s="957"/>
      <c r="G1066" s="853"/>
      <c r="H1066" s="229"/>
      <c r="I1066" s="229"/>
    </row>
    <row r="1067" spans="1:9" ht="12.75" customHeight="1">
      <c r="A1067" s="864"/>
      <c r="B1067" s="864"/>
      <c r="C1067" s="864"/>
      <c r="D1067" s="169"/>
      <c r="E1067" s="853"/>
      <c r="F1067" s="853"/>
      <c r="G1067" s="853"/>
      <c r="H1067" s="229"/>
      <c r="I1067" s="229"/>
    </row>
    <row r="1068" spans="1:9" ht="14.4">
      <c r="A1068" s="233"/>
      <c r="B1068" s="515" t="s">
        <v>325</v>
      </c>
      <c r="C1068" s="864"/>
      <c r="D1068" s="930" t="s">
        <v>625</v>
      </c>
      <c r="E1068" s="930"/>
      <c r="F1068" s="930"/>
      <c r="G1068" s="865"/>
      <c r="H1068" s="229"/>
      <c r="I1068" s="229"/>
    </row>
    <row r="1069" spans="1:9" ht="13.2">
      <c r="A1069" s="864"/>
      <c r="B1069" s="864"/>
      <c r="C1069" s="864"/>
      <c r="D1069" s="930"/>
      <c r="E1069" s="930"/>
      <c r="F1069" s="930"/>
      <c r="G1069" s="865"/>
      <c r="H1069" s="229"/>
      <c r="I1069" s="229"/>
    </row>
    <row r="1070" spans="1:9" ht="13.2">
      <c r="A1070" s="864"/>
      <c r="B1070" s="864"/>
      <c r="C1070" s="864"/>
      <c r="D1070" s="930"/>
      <c r="E1070" s="930"/>
      <c r="F1070" s="930"/>
      <c r="G1070" s="865"/>
      <c r="H1070" s="229"/>
      <c r="I1070" s="229"/>
    </row>
    <row r="1071" spans="1:9" ht="13.2">
      <c r="A1071" s="864"/>
      <c r="B1071" s="864"/>
      <c r="C1071" s="864"/>
      <c r="D1071" s="930"/>
      <c r="E1071" s="930"/>
      <c r="F1071" s="930"/>
      <c r="G1071" s="865"/>
      <c r="H1071" s="229"/>
      <c r="I1071" s="229"/>
    </row>
    <row r="1072" spans="1:9" ht="13.2">
      <c r="A1072" s="864"/>
      <c r="B1072" s="864"/>
      <c r="C1072" s="864"/>
      <c r="D1072" s="865"/>
      <c r="E1072" s="865"/>
      <c r="F1072" s="865"/>
      <c r="G1072" s="865"/>
      <c r="H1072" s="229"/>
      <c r="I1072" s="229"/>
    </row>
    <row r="1073" spans="1:9" ht="14.4">
      <c r="A1073" s="233"/>
      <c r="B1073" s="515" t="s">
        <v>325</v>
      </c>
      <c r="C1073" s="864"/>
      <c r="D1073" s="930" t="s">
        <v>626</v>
      </c>
      <c r="E1073" s="930"/>
      <c r="F1073" s="930"/>
      <c r="G1073" s="865"/>
      <c r="H1073" s="229"/>
      <c r="I1073" s="229"/>
    </row>
    <row r="1074" spans="1:9" ht="13.2">
      <c r="A1074" s="864"/>
      <c r="B1074" s="864"/>
      <c r="C1074" s="864"/>
      <c r="D1074" s="930"/>
      <c r="E1074" s="930"/>
      <c r="F1074" s="930"/>
      <c r="G1074" s="865"/>
      <c r="H1074" s="229"/>
      <c r="I1074" s="229"/>
    </row>
    <row r="1075" spans="1:9" ht="13.2">
      <c r="A1075" s="864"/>
      <c r="B1075" s="864"/>
      <c r="C1075" s="864"/>
      <c r="D1075" s="930"/>
      <c r="E1075" s="930"/>
      <c r="F1075" s="930"/>
      <c r="G1075" s="865"/>
      <c r="H1075" s="229"/>
      <c r="I1075" s="229"/>
    </row>
    <row r="1076" spans="1:9" ht="13.2">
      <c r="A1076" s="864"/>
      <c r="B1076" s="864"/>
      <c r="C1076" s="864"/>
      <c r="D1076" s="930"/>
      <c r="E1076" s="930"/>
      <c r="F1076" s="930"/>
      <c r="G1076" s="865"/>
      <c r="H1076" s="229"/>
      <c r="I1076" s="229"/>
    </row>
    <row r="1077" spans="1:9" ht="13.2">
      <c r="A1077" s="864"/>
      <c r="B1077" s="864"/>
      <c r="C1077" s="864"/>
      <c r="D1077" s="865"/>
      <c r="E1077" s="865"/>
      <c r="F1077" s="865"/>
      <c r="G1077" s="865"/>
    </row>
    <row r="1078" spans="1:9" ht="13.2">
      <c r="A1078" s="864"/>
      <c r="B1078" s="515" t="s">
        <v>325</v>
      </c>
      <c r="C1078" s="864"/>
      <c r="D1078" s="983" t="s">
        <v>627</v>
      </c>
      <c r="E1078" s="983"/>
      <c r="F1078" s="983"/>
      <c r="G1078" s="865"/>
    </row>
    <row r="1079" spans="1:9" ht="13.2">
      <c r="A1079" s="864"/>
      <c r="B1079" s="864"/>
      <c r="C1079" s="864"/>
      <c r="D1079" s="983"/>
      <c r="E1079" s="983"/>
      <c r="F1079" s="983"/>
      <c r="G1079" s="865"/>
    </row>
    <row r="1080" spans="1:9" ht="13.2">
      <c r="A1080" s="864"/>
      <c r="B1080" s="864"/>
      <c r="C1080" s="864"/>
      <c r="D1080" s="983"/>
      <c r="E1080" s="983"/>
      <c r="F1080" s="983"/>
      <c r="G1080" s="865"/>
    </row>
    <row r="1081" spans="1:9" ht="13.2">
      <c r="A1081" s="864"/>
      <c r="B1081" s="864"/>
      <c r="C1081" s="864"/>
      <c r="D1081" s="865"/>
      <c r="E1081" s="865"/>
      <c r="F1081" s="865"/>
      <c r="G1081" s="865"/>
    </row>
    <row r="1082" spans="1:9" ht="14.4">
      <c r="A1082" s="233"/>
      <c r="B1082" s="515" t="s">
        <v>325</v>
      </c>
      <c r="C1082" s="349"/>
      <c r="D1082" s="984" t="s">
        <v>628</v>
      </c>
      <c r="E1082" s="984"/>
      <c r="F1082" s="984"/>
      <c r="G1082" s="366"/>
    </row>
    <row r="1083" spans="1:9" ht="13.2">
      <c r="A1083" s="349"/>
      <c r="B1083" s="349"/>
      <c r="C1083" s="349"/>
      <c r="D1083" s="984"/>
      <c r="E1083" s="984"/>
      <c r="F1083" s="984"/>
      <c r="G1083" s="366"/>
    </row>
    <row r="1084" spans="1:9" ht="13.2">
      <c r="A1084" s="349"/>
      <c r="B1084" s="349"/>
      <c r="C1084" s="349"/>
      <c r="D1084" s="984"/>
      <c r="E1084" s="984"/>
      <c r="F1084" s="984"/>
      <c r="G1084" s="366"/>
    </row>
    <row r="1085" spans="1:9" ht="13.2">
      <c r="A1085" s="864"/>
      <c r="B1085" s="864"/>
      <c r="C1085" s="864"/>
      <c r="D1085" s="865"/>
      <c r="E1085" s="865"/>
      <c r="F1085" s="865"/>
      <c r="G1085" s="865"/>
    </row>
    <row r="1086" spans="1:9" ht="13.2">
      <c r="A1086" s="401"/>
      <c r="B1086" s="401"/>
      <c r="C1086" s="864"/>
      <c r="D1086" s="957" t="s">
        <v>629</v>
      </c>
      <c r="E1086" s="957"/>
      <c r="F1086" s="957"/>
      <c r="G1086" s="865"/>
    </row>
    <row r="1087" spans="1:9" ht="13.2">
      <c r="A1087" s="401"/>
      <c r="B1087" s="401"/>
      <c r="C1087" s="864"/>
      <c r="D1087" s="169"/>
      <c r="E1087" s="865"/>
      <c r="F1087" s="865"/>
      <c r="G1087" s="865"/>
    </row>
    <row r="1088" spans="1:9" ht="13.2">
      <c r="A1088" s="864"/>
      <c r="B1088" s="515" t="s">
        <v>323</v>
      </c>
      <c r="C1088" s="864"/>
      <c r="D1088" s="930" t="s">
        <v>630</v>
      </c>
      <c r="E1088" s="930"/>
      <c r="F1088" s="930"/>
      <c r="G1088" s="865"/>
    </row>
    <row r="1089" spans="1:7" ht="13.2">
      <c r="A1089" s="864"/>
      <c r="B1089" s="864"/>
      <c r="C1089" s="864"/>
      <c r="D1089" s="930"/>
      <c r="E1089" s="930"/>
      <c r="F1089" s="930"/>
      <c r="G1089" s="865"/>
    </row>
    <row r="1090" spans="1:7" ht="13.2">
      <c r="A1090" s="864"/>
      <c r="B1090" s="864"/>
      <c r="C1090" s="864"/>
      <c r="D1090" s="930"/>
      <c r="E1090" s="930"/>
      <c r="F1090" s="930"/>
      <c r="G1090" s="865"/>
    </row>
    <row r="1091" spans="1:7" ht="13.2">
      <c r="A1091" s="864"/>
      <c r="B1091" s="864"/>
      <c r="C1091" s="864"/>
      <c r="D1091" s="865"/>
      <c r="E1091" s="865"/>
      <c r="F1091" s="865"/>
      <c r="G1091" s="865"/>
    </row>
    <row r="1092" spans="1:7" ht="14.4">
      <c r="A1092" s="233"/>
      <c r="B1092" s="515" t="s">
        <v>325</v>
      </c>
      <c r="C1092" s="864"/>
      <c r="D1092" s="930" t="s">
        <v>631</v>
      </c>
      <c r="E1092" s="930"/>
      <c r="F1092" s="930"/>
      <c r="G1092" s="865"/>
    </row>
    <row r="1093" spans="1:7" ht="13.2">
      <c r="A1093" s="864"/>
      <c r="B1093" s="864"/>
      <c r="C1093" s="864"/>
      <c r="D1093" s="930"/>
      <c r="E1093" s="930"/>
      <c r="F1093" s="930"/>
      <c r="G1093" s="865"/>
    </row>
    <row r="1094" spans="1:7" ht="13.2">
      <c r="A1094" s="864"/>
      <c r="B1094" s="864"/>
      <c r="C1094" s="864"/>
      <c r="D1094" s="930"/>
      <c r="E1094" s="930"/>
      <c r="F1094" s="930"/>
      <c r="G1094" s="865"/>
    </row>
    <row r="1095" spans="1:7" ht="13.2">
      <c r="A1095" s="864"/>
      <c r="B1095" s="864"/>
      <c r="C1095" s="864"/>
      <c r="D1095" s="865"/>
      <c r="E1095" s="865"/>
      <c r="F1095" s="865"/>
      <c r="G1095" s="865"/>
    </row>
    <row r="1096" spans="1:7" ht="13.2">
      <c r="A1096" s="864"/>
      <c r="B1096" s="864"/>
      <c r="C1096" s="864"/>
      <c r="D1096" s="957" t="s">
        <v>632</v>
      </c>
      <c r="E1096" s="957"/>
      <c r="F1096" s="957"/>
      <c r="G1096" s="865"/>
    </row>
    <row r="1097" spans="1:7" ht="13.2">
      <c r="A1097" s="864"/>
      <c r="B1097" s="864"/>
      <c r="C1097" s="864"/>
      <c r="D1097" s="952" t="s">
        <v>633</v>
      </c>
      <c r="E1097" s="952"/>
      <c r="F1097" s="952"/>
      <c r="G1097" s="865"/>
    </row>
    <row r="1098" spans="1:7" ht="13.2">
      <c r="A1098" s="864"/>
      <c r="B1098" s="864"/>
      <c r="C1098" s="864"/>
      <c r="D1098" s="339"/>
      <c r="E1098" s="865"/>
      <c r="F1098" s="865"/>
      <c r="G1098" s="865"/>
    </row>
    <row r="1099" spans="1:7" ht="14.4">
      <c r="A1099" s="233"/>
      <c r="B1099" s="515" t="s">
        <v>325</v>
      </c>
      <c r="C1099" s="864"/>
      <c r="D1099" s="930" t="s">
        <v>634</v>
      </c>
      <c r="E1099" s="930"/>
      <c r="F1099" s="930"/>
      <c r="G1099" s="865"/>
    </row>
    <row r="1100" spans="1:7" ht="13.2">
      <c r="A1100" s="864"/>
      <c r="B1100" s="864"/>
      <c r="C1100" s="864"/>
      <c r="D1100" s="930"/>
      <c r="E1100" s="930"/>
      <c r="F1100" s="930"/>
      <c r="G1100" s="865"/>
    </row>
    <row r="1101" spans="1:7" ht="13.2">
      <c r="A1101" s="864"/>
      <c r="B1101" s="864"/>
      <c r="C1101" s="864"/>
      <c r="D1101" s="865"/>
      <c r="E1101" s="865"/>
      <c r="F1101" s="865"/>
      <c r="G1101" s="865"/>
    </row>
    <row r="1102" spans="1:7" ht="14.4">
      <c r="A1102" s="233"/>
      <c r="B1102" s="515" t="s">
        <v>325</v>
      </c>
      <c r="C1102" s="864"/>
      <c r="D1102" s="930" t="s">
        <v>635</v>
      </c>
      <c r="E1102" s="930"/>
      <c r="F1102" s="930"/>
      <c r="G1102" s="865"/>
    </row>
    <row r="1103" spans="1:7" ht="13.2">
      <c r="A1103" s="864"/>
      <c r="B1103" s="864"/>
      <c r="C1103" s="864"/>
      <c r="D1103" s="930"/>
      <c r="E1103" s="930"/>
      <c r="F1103" s="930"/>
      <c r="G1103" s="865"/>
    </row>
    <row r="1104" spans="1:7" ht="13.2">
      <c r="A1104" s="864"/>
      <c r="B1104" s="864"/>
      <c r="C1104" s="864"/>
      <c r="D1104" s="37"/>
      <c r="E1104" s="865"/>
      <c r="F1104" s="865"/>
      <c r="G1104" s="865"/>
    </row>
    <row r="1105" spans="1:7" ht="13.2">
      <c r="A1105" s="864"/>
      <c r="B1105" s="864"/>
      <c r="C1105" s="864"/>
      <c r="D1105" s="957" t="s">
        <v>636</v>
      </c>
      <c r="E1105" s="957"/>
      <c r="F1105" s="957"/>
      <c r="G1105" s="865"/>
    </row>
    <row r="1106" spans="1:7" ht="13.2">
      <c r="A1106" s="864"/>
      <c r="B1106" s="864"/>
      <c r="C1106" s="864"/>
      <c r="D1106" s="169"/>
      <c r="E1106" s="865"/>
      <c r="F1106" s="865"/>
      <c r="G1106" s="865"/>
    </row>
    <row r="1107" spans="1:7" ht="14.4">
      <c r="A1107" s="233"/>
      <c r="B1107" s="515" t="s">
        <v>323</v>
      </c>
      <c r="C1107" s="864"/>
      <c r="D1107" s="930" t="s">
        <v>637</v>
      </c>
      <c r="E1107" s="930"/>
      <c r="F1107" s="930"/>
      <c r="G1107" s="865"/>
    </row>
    <row r="1108" spans="1:7" ht="13.2">
      <c r="A1108" s="864"/>
      <c r="B1108" s="864"/>
      <c r="C1108" s="864"/>
      <c r="D1108" s="930"/>
      <c r="E1108" s="930"/>
      <c r="F1108" s="930"/>
      <c r="G1108" s="865"/>
    </row>
    <row r="1109" spans="1:7" ht="13.2">
      <c r="A1109" s="864"/>
      <c r="B1109" s="864"/>
      <c r="C1109" s="864"/>
      <c r="D1109" s="930"/>
      <c r="E1109" s="930"/>
      <c r="F1109" s="930"/>
      <c r="G1109" s="865"/>
    </row>
    <row r="1110" spans="1:7" ht="13.2">
      <c r="A1110" s="864"/>
      <c r="B1110" s="864"/>
      <c r="C1110" s="864"/>
      <c r="D1110" s="930"/>
      <c r="E1110" s="930"/>
      <c r="F1110" s="930"/>
      <c r="G1110" s="865"/>
    </row>
    <row r="1111" spans="1:7" ht="13.2">
      <c r="A1111" s="864"/>
      <c r="B1111" s="864"/>
      <c r="C1111" s="864"/>
      <c r="D1111" s="930"/>
      <c r="E1111" s="930"/>
      <c r="F1111" s="930"/>
      <c r="G1111" s="865"/>
    </row>
    <row r="1112" spans="1:7" ht="13.2">
      <c r="A1112" s="864"/>
      <c r="B1112" s="864"/>
      <c r="C1112" s="864"/>
      <c r="D1112" s="930"/>
      <c r="E1112" s="930"/>
      <c r="F1112" s="930"/>
      <c r="G1112" s="865"/>
    </row>
    <row r="1113" spans="1:7" ht="13.2">
      <c r="A1113" s="864"/>
      <c r="B1113" s="864"/>
      <c r="C1113" s="864"/>
      <c r="D1113" s="930"/>
      <c r="E1113" s="930"/>
      <c r="F1113" s="930"/>
      <c r="G1113" s="865"/>
    </row>
    <row r="1114" spans="1:7" ht="13.2">
      <c r="A1114" s="864"/>
      <c r="B1114" s="864"/>
      <c r="C1114" s="864"/>
      <c r="D1114" s="865"/>
      <c r="E1114" s="865"/>
      <c r="F1114" s="865"/>
      <c r="G1114" s="865"/>
    </row>
    <row r="1115" spans="1:7" ht="14.4">
      <c r="A1115" s="233"/>
      <c r="B1115" s="515" t="s">
        <v>325</v>
      </c>
      <c r="C1115" s="864"/>
      <c r="D1115" s="930" t="s">
        <v>638</v>
      </c>
      <c r="E1115" s="930"/>
      <c r="F1115" s="930"/>
      <c r="G1115" s="865"/>
    </row>
    <row r="1116" spans="1:7" ht="13.2">
      <c r="A1116" s="864"/>
      <c r="B1116" s="864"/>
      <c r="C1116" s="864"/>
      <c r="D1116" s="930"/>
      <c r="E1116" s="930"/>
      <c r="F1116" s="930"/>
      <c r="G1116" s="865"/>
    </row>
    <row r="1117" spans="1:7" ht="13.2">
      <c r="A1117" s="864"/>
      <c r="B1117" s="864"/>
      <c r="C1117" s="864"/>
      <c r="D1117" s="930"/>
      <c r="E1117" s="930"/>
      <c r="F1117" s="930"/>
      <c r="G1117" s="865"/>
    </row>
    <row r="1118" spans="1:7" ht="13.2">
      <c r="A1118" s="864"/>
      <c r="B1118" s="864"/>
      <c r="C1118" s="864"/>
      <c r="D1118" s="930"/>
      <c r="E1118" s="930"/>
      <c r="F1118" s="930"/>
      <c r="G1118" s="865"/>
    </row>
    <row r="1119" spans="1:7" ht="13.2">
      <c r="A1119" s="864"/>
      <c r="B1119" s="864"/>
      <c r="C1119" s="864"/>
      <c r="D1119" s="930"/>
      <c r="E1119" s="930"/>
      <c r="F1119" s="930"/>
      <c r="G1119" s="865"/>
    </row>
    <row r="1120" spans="1:7" ht="13.2">
      <c r="A1120" s="864"/>
      <c r="B1120" s="864"/>
      <c r="C1120" s="864"/>
      <c r="D1120" s="930"/>
      <c r="E1120" s="930"/>
      <c r="F1120" s="930"/>
      <c r="G1120" s="865"/>
    </row>
    <row r="1121" spans="1:7" ht="13.2">
      <c r="A1121" s="864"/>
      <c r="B1121" s="864"/>
      <c r="C1121" s="864"/>
      <c r="D1121" s="930"/>
      <c r="E1121" s="930"/>
      <c r="F1121" s="930"/>
      <c r="G1121" s="865"/>
    </row>
    <row r="1122" spans="1:7" ht="13.2">
      <c r="A1122" s="864"/>
      <c r="B1122" s="864"/>
      <c r="C1122" s="864"/>
      <c r="D1122" s="178"/>
      <c r="E1122" s="178"/>
      <c r="F1122" s="178"/>
      <c r="G1122" s="865"/>
    </row>
    <row r="1123" spans="1:7" ht="12.6" customHeight="1">
      <c r="A1123" s="864"/>
      <c r="B1123" s="515" t="s">
        <v>325</v>
      </c>
      <c r="C1123" s="864"/>
      <c r="D1123" s="983" t="s">
        <v>639</v>
      </c>
      <c r="E1123" s="983"/>
      <c r="F1123" s="983"/>
      <c r="G1123" s="865"/>
    </row>
    <row r="1124" spans="1:7" ht="12.6" customHeight="1">
      <c r="A1124" s="864"/>
      <c r="B1124" s="864"/>
      <c r="C1124" s="864"/>
      <c r="D1124" s="983"/>
      <c r="E1124" s="983"/>
      <c r="F1124" s="983"/>
      <c r="G1124" s="865"/>
    </row>
    <row r="1125" spans="1:7" ht="13.2">
      <c r="A1125" s="864"/>
      <c r="B1125" s="864"/>
      <c r="C1125" s="864"/>
      <c r="D1125" s="983"/>
      <c r="E1125" s="983"/>
      <c r="F1125" s="983"/>
      <c r="G1125" s="865"/>
    </row>
    <row r="1126" spans="1:7" ht="13.2">
      <c r="A1126" s="864"/>
      <c r="B1126" s="864"/>
      <c r="C1126" s="864"/>
      <c r="D1126" s="856"/>
      <c r="E1126" s="856"/>
      <c r="F1126" s="856"/>
      <c r="G1126" s="865"/>
    </row>
    <row r="1127" spans="1:7" ht="13.2">
      <c r="A1127" s="401"/>
      <c r="B1127" s="401"/>
      <c r="C1127" s="401"/>
      <c r="D1127" s="957" t="s">
        <v>640</v>
      </c>
      <c r="E1127" s="957"/>
      <c r="F1127" s="957"/>
      <c r="G1127" s="37"/>
    </row>
    <row r="1128" spans="1:7" ht="13.2">
      <c r="A1128" s="401"/>
      <c r="B1128" s="401"/>
      <c r="C1128" s="401"/>
      <c r="D1128" s="169"/>
      <c r="E1128" s="37"/>
      <c r="F1128" s="37"/>
      <c r="G1128" s="37"/>
    </row>
    <row r="1129" spans="1:7" ht="14.4">
      <c r="A1129" s="233"/>
      <c r="B1129" s="515" t="s">
        <v>323</v>
      </c>
      <c r="C1129" s="401"/>
      <c r="D1129" s="930" t="s">
        <v>641</v>
      </c>
      <c r="E1129" s="930"/>
      <c r="F1129" s="930"/>
      <c r="G1129" s="37"/>
    </row>
    <row r="1130" spans="1:7" ht="13.2">
      <c r="A1130" s="401"/>
      <c r="B1130" s="401"/>
      <c r="C1130" s="401"/>
      <c r="D1130" s="930"/>
      <c r="E1130" s="930"/>
      <c r="F1130" s="930"/>
      <c r="G1130" s="37"/>
    </row>
    <row r="1131" spans="1:7" ht="13.2">
      <c r="A1131" s="401"/>
      <c r="B1131" s="401"/>
      <c r="C1131" s="401"/>
      <c r="D1131" s="37"/>
      <c r="E1131" s="37"/>
      <c r="F1131" s="37"/>
      <c r="G1131" s="37"/>
    </row>
    <row r="1132" spans="1:7" ht="14.4">
      <c r="A1132" s="233"/>
      <c r="B1132" s="515" t="s">
        <v>325</v>
      </c>
      <c r="C1132" s="401"/>
      <c r="D1132" s="930" t="s">
        <v>642</v>
      </c>
      <c r="E1132" s="930"/>
      <c r="F1132" s="930"/>
      <c r="G1132" s="37"/>
    </row>
    <row r="1133" spans="1:7" ht="13.2">
      <c r="A1133" s="401"/>
      <c r="B1133" s="401"/>
      <c r="C1133" s="401"/>
      <c r="D1133" s="930"/>
      <c r="E1133" s="930"/>
      <c r="F1133" s="930"/>
      <c r="G1133" s="37"/>
    </row>
    <row r="1134" spans="1:7" ht="13.2">
      <c r="A1134" s="401"/>
      <c r="B1134" s="401"/>
      <c r="C1134" s="401"/>
      <c r="D1134" s="37"/>
      <c r="E1134" s="37"/>
      <c r="F1134" s="37"/>
      <c r="G1134" s="37"/>
    </row>
    <row r="1135" spans="1:7" ht="13.2">
      <c r="A1135" s="401"/>
      <c r="B1135" s="401"/>
      <c r="C1135" s="401"/>
      <c r="D1135" s="957" t="s">
        <v>643</v>
      </c>
      <c r="E1135" s="957"/>
      <c r="F1135" s="957"/>
      <c r="G1135" s="37"/>
    </row>
    <row r="1136" spans="1:7" ht="13.2">
      <c r="A1136" s="401"/>
      <c r="B1136" s="401"/>
      <c r="C1136" s="401"/>
      <c r="D1136" s="169"/>
      <c r="E1136" s="37"/>
      <c r="F1136" s="37"/>
      <c r="G1136" s="37"/>
    </row>
    <row r="1137" spans="1:7" ht="14.4">
      <c r="A1137" s="233"/>
      <c r="B1137" s="515" t="s">
        <v>325</v>
      </c>
      <c r="C1137" s="401"/>
      <c r="D1137" s="952" t="s">
        <v>644</v>
      </c>
      <c r="E1137" s="952"/>
      <c r="F1137" s="952"/>
      <c r="G1137" s="37"/>
    </row>
    <row r="1138" spans="1:7" ht="13.2">
      <c r="A1138" s="401"/>
      <c r="B1138" s="401"/>
      <c r="C1138" s="401"/>
      <c r="D1138" s="37"/>
      <c r="E1138" s="37"/>
      <c r="F1138" s="37"/>
      <c r="G1138" s="37"/>
    </row>
    <row r="1139" spans="1:7" ht="14.4">
      <c r="A1139" s="233"/>
      <c r="B1139" s="515" t="s">
        <v>325</v>
      </c>
      <c r="C1139" s="401"/>
      <c r="D1139" s="930" t="s">
        <v>645</v>
      </c>
      <c r="E1139" s="930"/>
      <c r="F1139" s="930"/>
      <c r="G1139" s="37"/>
    </row>
    <row r="1140" spans="1:7" ht="14.4">
      <c r="A1140" s="233"/>
      <c r="B1140" s="233"/>
      <c r="C1140" s="401"/>
      <c r="D1140" s="930"/>
      <c r="E1140" s="930"/>
      <c r="F1140" s="930"/>
      <c r="G1140" s="37"/>
    </row>
    <row r="1141" spans="1:7" ht="14.4">
      <c r="A1141" s="233"/>
      <c r="B1141" s="233"/>
      <c r="C1141" s="401"/>
      <c r="D1141" s="178"/>
      <c r="E1141" s="178"/>
      <c r="F1141" s="178"/>
      <c r="G1141"/>
    </row>
    <row r="1142" spans="1:7" ht="13.2">
      <c r="A1142" s="401"/>
      <c r="B1142" s="401"/>
      <c r="C1142" s="401"/>
      <c r="D1142" s="957" t="s">
        <v>646</v>
      </c>
      <c r="E1142" s="957"/>
      <c r="F1142" s="957"/>
      <c r="G1142"/>
    </row>
    <row r="1143" spans="1:7" ht="13.2">
      <c r="A1143" s="401"/>
      <c r="B1143" s="401"/>
      <c r="C1143" s="401"/>
      <c r="D1143" s="169"/>
      <c r="E1143" s="37"/>
      <c r="F1143" s="37"/>
      <c r="G1143"/>
    </row>
    <row r="1144" spans="1:7" ht="14.4" customHeight="1">
      <c r="A1144" s="233"/>
      <c r="B1144" s="515" t="s">
        <v>325</v>
      </c>
      <c r="C1144" s="401"/>
      <c r="D1144" s="930" t="s">
        <v>647</v>
      </c>
      <c r="E1144" s="930"/>
      <c r="F1144" s="930"/>
      <c r="G1144"/>
    </row>
    <row r="1145" spans="1:7" ht="14.4">
      <c r="A1145" s="233"/>
      <c r="B1145" s="233"/>
      <c r="C1145" s="401"/>
      <c r="D1145" s="930"/>
      <c r="E1145" s="930"/>
      <c r="F1145" s="930"/>
      <c r="G1145"/>
    </row>
    <row r="1146" spans="1:7" ht="14.4">
      <c r="A1146" s="233"/>
      <c r="B1146" s="233"/>
      <c r="C1146" s="401"/>
      <c r="D1146" s="930"/>
      <c r="E1146" s="930"/>
      <c r="F1146" s="930"/>
      <c r="G1146"/>
    </row>
    <row r="1147" spans="1:7" ht="14.4">
      <c r="A1147" s="233"/>
      <c r="B1147" s="233"/>
      <c r="C1147" s="401"/>
      <c r="D1147" s="930"/>
      <c r="E1147" s="930"/>
      <c r="F1147" s="930"/>
      <c r="G1147"/>
    </row>
    <row r="1148" spans="1:7" ht="14.4">
      <c r="A1148" s="233"/>
      <c r="B1148" s="233"/>
      <c r="C1148" s="401"/>
      <c r="D1148" s="930"/>
      <c r="E1148" s="930"/>
      <c r="F1148" s="930"/>
      <c r="G1148"/>
    </row>
    <row r="1149" spans="1:7" ht="14.4">
      <c r="A1149" s="233"/>
      <c r="B1149" s="233"/>
      <c r="C1149" s="401"/>
      <c r="D1149" s="930"/>
      <c r="E1149" s="930"/>
      <c r="F1149" s="930"/>
      <c r="G1149"/>
    </row>
    <row r="1150" spans="1:7" ht="14.4">
      <c r="A1150" s="233"/>
      <c r="B1150" s="233"/>
      <c r="C1150" s="401"/>
      <c r="D1150" s="930"/>
      <c r="E1150" s="930"/>
      <c r="F1150" s="930"/>
      <c r="G1150"/>
    </row>
    <row r="1151" spans="1:7" ht="14.4">
      <c r="A1151" s="233"/>
      <c r="B1151" s="233"/>
      <c r="C1151" s="401"/>
      <c r="D1151" s="930"/>
      <c r="E1151" s="930"/>
      <c r="F1151" s="930"/>
      <c r="G1151"/>
    </row>
    <row r="1152" spans="1:7" ht="14.4">
      <c r="A1152" s="233"/>
      <c r="B1152" s="233"/>
      <c r="C1152" s="401"/>
      <c r="D1152" s="930"/>
      <c r="E1152" s="930"/>
      <c r="F1152" s="930"/>
      <c r="G1152"/>
    </row>
    <row r="1153" spans="1:7" ht="14.4">
      <c r="A1153" s="233"/>
      <c r="B1153" s="233"/>
      <c r="C1153" s="401"/>
      <c r="D1153" s="930"/>
      <c r="E1153" s="930"/>
      <c r="F1153" s="930"/>
      <c r="G1153"/>
    </row>
    <row r="1154" spans="1:7" ht="14.4">
      <c r="A1154" s="233"/>
      <c r="B1154" s="233"/>
      <c r="C1154" s="401"/>
      <c r="D1154" s="930"/>
      <c r="E1154" s="930"/>
      <c r="F1154" s="930"/>
      <c r="G1154"/>
    </row>
    <row r="1155" spans="1:7" ht="14.4">
      <c r="A1155" s="233"/>
      <c r="B1155" s="233"/>
      <c r="C1155" s="401"/>
      <c r="D1155" s="930"/>
      <c r="E1155" s="930"/>
      <c r="F1155" s="930"/>
      <c r="G1155"/>
    </row>
    <row r="1156" spans="1:7" ht="14.4">
      <c r="A1156" s="233"/>
      <c r="B1156" s="233"/>
      <c r="C1156" s="401"/>
      <c r="D1156" s="930"/>
      <c r="E1156" s="930"/>
      <c r="F1156" s="930"/>
      <c r="G1156"/>
    </row>
    <row r="1157" spans="1:7" ht="38.25" customHeight="1">
      <c r="A1157" s="233"/>
      <c r="B1157" s="233"/>
      <c r="C1157" s="401"/>
      <c r="D1157" s="930"/>
      <c r="E1157" s="930"/>
      <c r="F1157" s="930"/>
      <c r="G1157" s="37"/>
    </row>
    <row r="1158" spans="1:7" ht="13.2">
      <c r="A1158" s="401"/>
      <c r="B1158" s="401"/>
      <c r="C1158" s="401"/>
      <c r="D1158" s="37"/>
      <c r="E1158" s="37"/>
      <c r="F1158" s="37"/>
      <c r="G1158" s="37"/>
    </row>
    <row r="1159" spans="1:7" ht="13.2">
      <c r="A1159" s="956" t="s">
        <v>648</v>
      </c>
      <c r="B1159" s="956"/>
      <c r="C1159" s="956"/>
      <c r="D1159" s="956"/>
      <c r="E1159" s="956"/>
      <c r="F1159" s="956"/>
      <c r="G1159" s="956"/>
    </row>
    <row r="1160" spans="1:7" ht="13.2">
      <c r="A1160" s="232"/>
      <c r="B1160" s="232"/>
      <c r="C1160" s="401"/>
      <c r="D1160" s="37"/>
      <c r="E1160" s="37"/>
      <c r="F1160" s="37"/>
      <c r="G1160" s="37"/>
    </row>
    <row r="1161" spans="1:7" ht="13.2">
      <c r="A1161" s="401"/>
      <c r="B1161" s="401"/>
      <c r="C1161" s="864"/>
      <c r="D1161" s="957" t="s">
        <v>649</v>
      </c>
      <c r="E1161" s="957"/>
      <c r="F1161" s="957"/>
      <c r="G1161" s="37"/>
    </row>
    <row r="1162" spans="1:7" ht="13.2">
      <c r="A1162" s="167"/>
      <c r="B1162" s="167"/>
      <c r="C1162" s="167"/>
      <c r="D1162" s="952" t="s">
        <v>650</v>
      </c>
      <c r="E1162" s="952"/>
      <c r="F1162" s="952"/>
      <c r="G1162" s="37"/>
    </row>
    <row r="1163" spans="1:7" ht="13.2">
      <c r="A1163" s="167"/>
      <c r="B1163" s="167"/>
      <c r="C1163" s="167"/>
      <c r="D1163" s="37"/>
      <c r="E1163" s="37"/>
      <c r="F1163" s="865"/>
      <c r="G1163"/>
    </row>
    <row r="1164" spans="1:7" ht="13.65" customHeight="1">
      <c r="A1164" s="401"/>
      <c r="B1164" s="515" t="s">
        <v>323</v>
      </c>
      <c r="C1164" s="401"/>
      <c r="D1164" s="950" t="s">
        <v>651</v>
      </c>
      <c r="E1164" s="950"/>
      <c r="F1164" s="950"/>
      <c r="G1164"/>
    </row>
    <row r="1165" spans="1:7" ht="13.2">
      <c r="A1165" s="401"/>
      <c r="B1165" s="401"/>
      <c r="C1165" s="401"/>
      <c r="D1165" s="950"/>
      <c r="E1165" s="950"/>
      <c r="F1165" s="950"/>
      <c r="G1165"/>
    </row>
    <row r="1166" spans="1:7" ht="13.2">
      <c r="A1166" s="401"/>
      <c r="B1166" s="401"/>
      <c r="C1166" s="401"/>
      <c r="D1166" s="15"/>
      <c r="E1166" s="811" t="s">
        <v>652</v>
      </c>
      <c r="F1166" s="15"/>
      <c r="G1166"/>
    </row>
    <row r="1167" spans="1:7" ht="13.2">
      <c r="A1167" s="401"/>
      <c r="B1167" s="401"/>
      <c r="C1167" s="401"/>
      <c r="D1167" s="15"/>
      <c r="E1167" s="15"/>
      <c r="F1167" s="15"/>
      <c r="G1167"/>
    </row>
    <row r="1168" spans="1:7" ht="13.2">
      <c r="A1168" s="401"/>
      <c r="B1168" s="401"/>
      <c r="C1168" s="401"/>
      <c r="D1168" s="947" t="s">
        <v>653</v>
      </c>
      <c r="E1168" s="947"/>
      <c r="F1168" s="947"/>
      <c r="G1168"/>
    </row>
    <row r="1169" spans="1:7" ht="13.2">
      <c r="A1169" s="168"/>
      <c r="B1169" s="168"/>
      <c r="C1169" s="168"/>
      <c r="D1169" s="947"/>
      <c r="E1169" s="947"/>
      <c r="F1169" s="947"/>
      <c r="G1169"/>
    </row>
    <row r="1170" spans="1:7" ht="14.4" customHeight="1">
      <c r="A1170" s="168"/>
      <c r="B1170" s="168"/>
      <c r="C1170" s="168"/>
      <c r="D1170" s="947"/>
      <c r="E1170" s="947"/>
      <c r="F1170" s="947"/>
      <c r="G1170"/>
    </row>
    <row r="1171" spans="1:7" ht="13.2">
      <c r="A1171" s="168"/>
      <c r="B1171" s="168"/>
      <c r="C1171" s="168"/>
      <c r="D1171" s="86"/>
      <c r="E1171" s="86"/>
      <c r="F1171" s="86"/>
      <c r="G1171"/>
    </row>
    <row r="1172" spans="1:7" ht="13.2">
      <c r="A1172" s="168"/>
      <c r="B1172" s="515" t="s">
        <v>325</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5"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5" t="s">
        <v>325</v>
      </c>
      <c r="C1180" s="401"/>
      <c r="D1180" s="952" t="s">
        <v>656</v>
      </c>
      <c r="E1180" s="952"/>
      <c r="F1180" s="952"/>
      <c r="G1180"/>
    </row>
    <row r="1181" spans="1:7" ht="13.2">
      <c r="A1181" s="401"/>
      <c r="B1181" s="401"/>
      <c r="C1181" s="401"/>
      <c r="D1181" s="37"/>
      <c r="E1181" s="37"/>
      <c r="F1181" s="37"/>
      <c r="G1181"/>
    </row>
    <row r="1182" spans="1:7" ht="14.4">
      <c r="A1182" s="233"/>
      <c r="B1182" s="515" t="s">
        <v>325</v>
      </c>
      <c r="C1182" s="401"/>
      <c r="D1182" s="952" t="s">
        <v>657</v>
      </c>
      <c r="E1182" s="952"/>
      <c r="F1182" s="952"/>
      <c r="G1182"/>
    </row>
    <row r="1183" spans="1:7" ht="13.2">
      <c r="A1183" s="401"/>
      <c r="B1183" s="401"/>
      <c r="C1183" s="401"/>
      <c r="D1183" s="232"/>
      <c r="E1183" s="37"/>
      <c r="F1183" s="37"/>
      <c r="G1183"/>
    </row>
    <row r="1184" spans="1:7" ht="14.4">
      <c r="A1184" s="233"/>
      <c r="B1184" s="515" t="s">
        <v>323</v>
      </c>
      <c r="C1184" s="401"/>
      <c r="D1184" s="952" t="s">
        <v>658</v>
      </c>
      <c r="E1184" s="952"/>
      <c r="F1184" s="952"/>
      <c r="G1184"/>
    </row>
    <row r="1185" spans="1:7" ht="13.2">
      <c r="A1185" s="401"/>
      <c r="B1185" s="401"/>
      <c r="C1185" s="401"/>
      <c r="D1185" s="232"/>
      <c r="E1185" s="37"/>
      <c r="F1185" s="37"/>
      <c r="G1185"/>
    </row>
    <row r="1186" spans="1:7" ht="14.4">
      <c r="A1186" s="233"/>
      <c r="B1186" s="515" t="s">
        <v>323</v>
      </c>
      <c r="C1186" s="401"/>
      <c r="D1186" s="930" t="s">
        <v>659</v>
      </c>
      <c r="E1186" s="930"/>
      <c r="F1186" s="930"/>
      <c r="G1186"/>
    </row>
    <row r="1187" spans="1:7" ht="14.4">
      <c r="A1187" s="233"/>
      <c r="B1187" s="233"/>
      <c r="C1187" s="401"/>
      <c r="D1187" s="930"/>
      <c r="E1187" s="930"/>
      <c r="F1187" s="930"/>
      <c r="G1187"/>
    </row>
    <row r="1188" spans="1:7" ht="14.4">
      <c r="A1188" s="233"/>
      <c r="B1188" s="233"/>
      <c r="C1188" s="401"/>
      <c r="D1188" s="232"/>
      <c r="E1188" s="37"/>
      <c r="F1188" s="37"/>
      <c r="G1188" s="37"/>
    </row>
    <row r="1189" spans="1:7" s="365" customFormat="1" ht="14.4">
      <c r="A1189" s="249"/>
      <c r="B1189" s="515" t="s">
        <v>325</v>
      </c>
      <c r="C1189" s="688"/>
      <c r="D1189" s="964" t="s">
        <v>660</v>
      </c>
      <c r="E1189" s="964"/>
      <c r="F1189" s="964"/>
      <c r="G1189" s="689"/>
    </row>
    <row r="1190" spans="1:7" s="365" customFormat="1" ht="13.2">
      <c r="A1190" s="688"/>
      <c r="B1190" s="688"/>
      <c r="C1190" s="688"/>
      <c r="D1190" s="964"/>
      <c r="E1190" s="964"/>
      <c r="F1190" s="964"/>
      <c r="G1190" s="689"/>
    </row>
    <row r="1191" spans="1:7" s="365" customFormat="1" ht="13.2">
      <c r="A1191" s="688"/>
      <c r="B1191" s="688"/>
      <c r="C1191" s="688"/>
      <c r="D1191" s="855"/>
      <c r="E1191" s="689"/>
      <c r="F1191" s="689"/>
      <c r="G1191" s="689"/>
    </row>
    <row r="1192" spans="1:7" s="365" customFormat="1" ht="14.4">
      <c r="A1192" s="249"/>
      <c r="B1192" s="515" t="s">
        <v>325</v>
      </c>
      <c r="C1192" s="688"/>
      <c r="D1192" s="982" t="s">
        <v>661</v>
      </c>
      <c r="E1192" s="982"/>
      <c r="F1192" s="982"/>
      <c r="G1192" s="689"/>
    </row>
    <row r="1193" spans="1:7" s="365" customFormat="1" ht="13.2">
      <c r="A1193" s="688"/>
      <c r="B1193" s="688"/>
      <c r="C1193" s="688"/>
      <c r="D1193" s="855"/>
      <c r="E1193" s="689"/>
      <c r="F1193" s="689"/>
      <c r="G1193" s="689"/>
    </row>
    <row r="1194" spans="1:7" ht="14.4">
      <c r="A1194" s="233"/>
      <c r="B1194" s="515" t="s">
        <v>325</v>
      </c>
      <c r="C1194" s="401"/>
      <c r="D1194" s="952" t="s">
        <v>662</v>
      </c>
      <c r="E1194" s="952"/>
      <c r="F1194" s="952"/>
      <c r="G1194" s="37"/>
    </row>
    <row r="1195" spans="1:7" ht="14.4">
      <c r="A1195" s="233"/>
      <c r="B1195" s="233"/>
      <c r="C1195" s="401"/>
      <c r="D1195" s="232"/>
      <c r="E1195" s="37"/>
      <c r="F1195" s="37"/>
      <c r="G1195" s="37"/>
    </row>
    <row r="1196" spans="1:7" ht="14.4">
      <c r="A1196" s="233"/>
      <c r="B1196" s="515" t="s">
        <v>325</v>
      </c>
      <c r="C1196" s="401"/>
      <c r="D1196" s="930" t="s">
        <v>663</v>
      </c>
      <c r="E1196" s="930"/>
      <c r="F1196" s="930"/>
      <c r="G1196" s="37"/>
    </row>
    <row r="1197" spans="1:7" ht="14.4">
      <c r="A1197" s="233"/>
      <c r="B1197" s="233"/>
      <c r="C1197" s="401"/>
      <c r="D1197" s="930"/>
      <c r="E1197" s="930"/>
      <c r="F1197" s="930"/>
      <c r="G1197" s="37"/>
    </row>
    <row r="1198" spans="1:7" ht="13.2">
      <c r="A1198" s="401"/>
      <c r="B1198" s="401"/>
      <c r="C1198" s="401"/>
      <c r="D1198" s="37"/>
      <c r="E1198" s="37"/>
      <c r="F1198" s="37"/>
      <c r="G1198" s="37"/>
    </row>
    <row r="1199" spans="1:7" ht="13.2">
      <c r="A1199" s="956" t="s">
        <v>664</v>
      </c>
      <c r="B1199" s="956"/>
      <c r="C1199" s="956"/>
      <c r="D1199" s="956"/>
      <c r="E1199" s="956"/>
      <c r="F1199" s="956"/>
      <c r="G1199" s="956"/>
    </row>
    <row r="1200" spans="1:7" ht="13.2">
      <c r="A1200" s="401"/>
      <c r="B1200" s="401"/>
      <c r="C1200" s="401"/>
      <c r="D1200" s="37"/>
      <c r="E1200" s="37"/>
      <c r="F1200" s="37"/>
      <c r="G1200" s="37"/>
    </row>
    <row r="1201" spans="1:7" ht="13.2">
      <c r="A1201" s="956" t="s">
        <v>665</v>
      </c>
      <c r="B1201" s="956"/>
      <c r="C1201" s="956"/>
      <c r="D1201" s="956"/>
      <c r="E1201" s="956"/>
      <c r="F1201" s="956"/>
      <c r="G1201" s="956"/>
    </row>
    <row r="1202" spans="1:7" ht="13.2">
      <c r="A1202" s="401"/>
      <c r="B1202" s="401"/>
      <c r="C1202" s="401"/>
      <c r="D1202" s="37"/>
      <c r="E1202" s="37"/>
      <c r="F1202" s="37"/>
      <c r="G1202" s="37"/>
    </row>
    <row r="1203" spans="1:7" ht="13.2">
      <c r="A1203" s="401"/>
      <c r="B1203" s="401"/>
      <c r="C1203" s="401"/>
      <c r="D1203" s="981" t="s">
        <v>666</v>
      </c>
      <c r="E1203" s="981"/>
      <c r="F1203" s="981"/>
      <c r="G1203" s="37"/>
    </row>
    <row r="1204" spans="1:7" ht="13.2">
      <c r="A1204" s="401"/>
      <c r="B1204" s="401"/>
      <c r="C1204" s="401"/>
      <c r="D1204" s="982" t="s">
        <v>667</v>
      </c>
      <c r="E1204" s="982"/>
      <c r="F1204" s="982"/>
      <c r="G1204" s="37"/>
    </row>
    <row r="1205" spans="1:7" ht="13.2">
      <c r="A1205" s="167"/>
      <c r="B1205" s="167"/>
      <c r="C1205" s="167"/>
      <c r="D1205" s="37"/>
      <c r="E1205" s="37"/>
      <c r="F1205" s="37"/>
      <c r="G1205" s="37"/>
    </row>
    <row r="1206" spans="1:7" ht="14.4">
      <c r="A1206" s="233"/>
      <c r="B1206" s="233"/>
      <c r="C1206" s="168"/>
      <c r="D1206" s="981" t="s">
        <v>668</v>
      </c>
      <c r="E1206" s="981"/>
      <c r="F1206" s="981"/>
      <c r="G1206" s="37"/>
    </row>
    <row r="1207" spans="1:7" ht="13.2">
      <c r="A1207" s="401"/>
      <c r="B1207" s="515" t="s">
        <v>323</v>
      </c>
      <c r="C1207" s="401"/>
      <c r="D1207" s="982" t="s">
        <v>669</v>
      </c>
      <c r="E1207" s="982"/>
      <c r="F1207" s="982"/>
      <c r="G1207" s="37"/>
    </row>
    <row r="1208" spans="1:7" ht="13.2">
      <c r="A1208" s="401"/>
      <c r="B1208" s="401"/>
      <c r="C1208" s="401"/>
      <c r="D1208" s="982" t="s">
        <v>670</v>
      </c>
      <c r="E1208" s="982"/>
      <c r="F1208" s="982"/>
      <c r="G1208" s="37"/>
    </row>
    <row r="1209" spans="1:7" ht="13.2">
      <c r="A1209" s="401"/>
      <c r="B1209" s="401"/>
      <c r="C1209" s="401"/>
      <c r="D1209" s="37"/>
      <c r="E1209" s="37"/>
      <c r="F1209" s="37"/>
      <c r="G1209"/>
    </row>
    <row r="1210" spans="1:7" ht="12.75" customHeight="1">
      <c r="A1210" s="401"/>
      <c r="B1210" s="515" t="s">
        <v>325</v>
      </c>
      <c r="C1210" s="401"/>
      <c r="D1210" s="964" t="s">
        <v>671</v>
      </c>
      <c r="E1210" s="964"/>
      <c r="F1210" s="964"/>
      <c r="G1210"/>
    </row>
    <row r="1211" spans="1:7" ht="13.2">
      <c r="A1211" s="401"/>
      <c r="B1211" s="401"/>
      <c r="C1211" s="401"/>
      <c r="D1211" s="964"/>
      <c r="E1211" s="964"/>
      <c r="F1211" s="964"/>
      <c r="G1211"/>
    </row>
    <row r="1212" spans="1:7" ht="13.2">
      <c r="A1212" s="401"/>
      <c r="B1212" s="401"/>
      <c r="C1212" s="401"/>
      <c r="D1212" s="37"/>
      <c r="E1212" s="37"/>
      <c r="F1212" s="37"/>
      <c r="G1212"/>
    </row>
    <row r="1213" spans="1:7" ht="12.75" customHeight="1">
      <c r="A1213" s="401"/>
      <c r="B1213" s="401"/>
      <c r="C1213" s="401"/>
      <c r="D1213" s="37"/>
      <c r="E1213" s="37"/>
      <c r="F1213" s="37"/>
      <c r="G1213" s="37"/>
    </row>
    <row r="1214" spans="1:7" ht="13.2">
      <c r="A1214" s="956" t="s">
        <v>672</v>
      </c>
      <c r="B1214" s="956"/>
      <c r="C1214" s="956"/>
      <c r="D1214" s="956"/>
      <c r="E1214" s="956"/>
      <c r="F1214" s="956"/>
      <c r="G1214" s="956"/>
    </row>
    <row r="1215" spans="1:7" ht="13.2">
      <c r="A1215" s="232"/>
      <c r="B1215" s="232"/>
      <c r="C1215" s="401"/>
      <c r="D1215" s="37"/>
      <c r="E1215" s="37"/>
      <c r="F1215" s="37"/>
      <c r="G1215" s="37"/>
    </row>
    <row r="1216" spans="1:7" ht="12.75" customHeight="1">
      <c r="A1216" s="232"/>
      <c r="B1216" s="232"/>
      <c r="C1216" s="401"/>
      <c r="D1216" s="957" t="s">
        <v>673</v>
      </c>
      <c r="E1216" s="957"/>
      <c r="F1216" s="957"/>
      <c r="G1216" s="37"/>
    </row>
    <row r="1217" spans="1:7" ht="12.75" customHeight="1">
      <c r="A1217" s="232"/>
      <c r="B1217" s="232"/>
      <c r="C1217" s="401"/>
      <c r="D1217" s="952" t="s">
        <v>674</v>
      </c>
      <c r="E1217" s="952"/>
      <c r="F1217" s="952"/>
      <c r="G1217" s="37"/>
    </row>
    <row r="1218" spans="1:7" ht="12.75" customHeight="1">
      <c r="A1218" s="232"/>
      <c r="B1218" s="232"/>
      <c r="C1218" s="401"/>
      <c r="D1218" s="37"/>
      <c r="E1218" s="37"/>
      <c r="F1218" s="37"/>
      <c r="G1218" s="37"/>
    </row>
    <row r="1219" spans="1:7" ht="14.4">
      <c r="A1219" s="233"/>
      <c r="B1219" s="515" t="s">
        <v>323</v>
      </c>
      <c r="C1219" s="401"/>
      <c r="D1219" s="955" t="s">
        <v>675</v>
      </c>
      <c r="E1219" s="955"/>
      <c r="F1219" s="955"/>
      <c r="G1219" s="37"/>
    </row>
    <row r="1220" spans="1:7" ht="13.2">
      <c r="A1220" s="401"/>
      <c r="B1220" s="401"/>
      <c r="C1220" s="401"/>
      <c r="D1220" s="952" t="s">
        <v>533</v>
      </c>
      <c r="E1220" s="952"/>
      <c r="F1220" s="952"/>
      <c r="G1220" s="37"/>
    </row>
    <row r="1221" spans="1:7" ht="13.2">
      <c r="A1221" s="401"/>
      <c r="B1221" s="401"/>
      <c r="C1221" s="401"/>
      <c r="D1221" s="37"/>
      <c r="E1221" s="968" t="s">
        <v>676</v>
      </c>
      <c r="F1221" s="968"/>
      <c r="G1221" s="37"/>
    </row>
    <row r="1222" spans="1:7" ht="13.2">
      <c r="A1222" s="401"/>
      <c r="B1222" s="401"/>
      <c r="C1222" s="401"/>
      <c r="D1222" s="3"/>
      <c r="E1222" s="37"/>
      <c r="F1222" s="37"/>
      <c r="G1222" s="37"/>
    </row>
    <row r="1223" spans="1:7" ht="13.2">
      <c r="A1223" s="401"/>
      <c r="B1223" s="401"/>
      <c r="C1223" s="401"/>
      <c r="D1223" s="980" t="s">
        <v>677</v>
      </c>
      <c r="E1223" s="980"/>
      <c r="F1223" s="980"/>
      <c r="G1223" s="37"/>
    </row>
    <row r="1224" spans="1:7" ht="13.2">
      <c r="A1224" s="401"/>
      <c r="B1224" s="515" t="s">
        <v>325</v>
      </c>
      <c r="C1224" s="401"/>
      <c r="D1224" s="930" t="s">
        <v>678</v>
      </c>
      <c r="E1224" s="930"/>
      <c r="F1224" s="930"/>
      <c r="G1224"/>
    </row>
    <row r="1225" spans="1:7" ht="13.2">
      <c r="A1225" s="401"/>
      <c r="B1225" s="401"/>
      <c r="C1225" s="401"/>
      <c r="D1225" s="930"/>
      <c r="E1225" s="930"/>
      <c r="F1225" s="930"/>
      <c r="G1225"/>
    </row>
    <row r="1226" spans="1:7" ht="13.2">
      <c r="A1226" s="401"/>
      <c r="B1226" s="401"/>
      <c r="C1226" s="401"/>
      <c r="D1226" s="412" t="s">
        <v>679</v>
      </c>
      <c r="E1226"/>
      <c r="F1226"/>
      <c r="G1226"/>
    </row>
    <row r="1227" spans="1:7" ht="13.65" customHeight="1">
      <c r="A1227" s="401"/>
      <c r="B1227" s="401"/>
      <c r="C1227" s="401"/>
      <c r="D1227" s="930" t="s">
        <v>680</v>
      </c>
      <c r="E1227" s="930"/>
      <c r="F1227" s="930"/>
      <c r="G1227"/>
    </row>
    <row r="1228" spans="1:7" ht="13.2">
      <c r="A1228" s="401"/>
      <c r="B1228" s="401"/>
      <c r="C1228" s="401"/>
      <c r="D1228" s="930"/>
      <c r="E1228" s="930"/>
      <c r="F1228" s="930"/>
      <c r="G1228"/>
    </row>
    <row r="1229" spans="1:7" ht="13.2">
      <c r="A1229" s="401"/>
      <c r="B1229" s="401"/>
      <c r="C1229" s="401"/>
      <c r="D1229" s="930"/>
      <c r="E1229" s="930"/>
      <c r="F1229" s="930"/>
      <c r="G1229"/>
    </row>
    <row r="1230" spans="1:7" ht="13.2">
      <c r="A1230" s="401"/>
      <c r="B1230" s="401"/>
      <c r="C1230" s="401"/>
      <c r="D1230" s="930"/>
      <c r="E1230" s="930"/>
      <c r="F1230" s="930"/>
      <c r="G1230"/>
    </row>
    <row r="1231" spans="1:7" ht="13.2">
      <c r="A1231" s="401"/>
      <c r="B1231" s="401"/>
      <c r="C1231" s="401"/>
      <c r="D1231" s="968" t="s">
        <v>681</v>
      </c>
      <c r="E1231" s="968"/>
      <c r="F1231" s="968"/>
      <c r="G1231"/>
    </row>
    <row r="1232" spans="1:7" ht="13.2">
      <c r="A1232" s="401"/>
      <c r="B1232" s="515" t="s">
        <v>325</v>
      </c>
      <c r="C1232" s="401"/>
      <c r="D1232" s="955" t="s">
        <v>682</v>
      </c>
      <c r="E1232" s="955"/>
      <c r="F1232" s="955"/>
      <c r="G1232"/>
    </row>
    <row r="1233" spans="1:7" ht="13.2">
      <c r="A1233" s="401"/>
      <c r="B1233" s="401"/>
      <c r="C1233" s="401"/>
      <c r="D1233" s="37"/>
      <c r="E1233"/>
      <c r="F1233"/>
      <c r="G1233"/>
    </row>
    <row r="1234" spans="1:7" ht="13.2">
      <c r="A1234" s="401"/>
      <c r="B1234" s="401"/>
      <c r="C1234" s="401"/>
      <c r="D1234" s="963" t="s">
        <v>683</v>
      </c>
      <c r="E1234" s="963"/>
      <c r="F1234" s="963"/>
      <c r="G1234"/>
    </row>
    <row r="1235" spans="1:7" ht="13.2">
      <c r="A1235" s="401"/>
      <c r="B1235" s="401"/>
      <c r="C1235" s="401"/>
      <c r="D1235" s="3" t="s">
        <v>684</v>
      </c>
      <c r="E1235"/>
      <c r="F1235"/>
      <c r="G1235"/>
    </row>
    <row r="1236" spans="1:7" ht="14.4" customHeight="1">
      <c r="A1236" s="233"/>
      <c r="B1236" s="515" t="s">
        <v>325</v>
      </c>
      <c r="C1236" s="401"/>
      <c r="D1236" s="930" t="s">
        <v>685</v>
      </c>
      <c r="E1236" s="930"/>
      <c r="F1236" s="930"/>
      <c r="G1236"/>
    </row>
    <row r="1237" spans="1:7" ht="14.4">
      <c r="A1237" s="233"/>
      <c r="B1237" s="233"/>
      <c r="C1237" s="401"/>
      <c r="D1237" s="930"/>
      <c r="E1237" s="930"/>
      <c r="F1237" s="930"/>
      <c r="G1237"/>
    </row>
    <row r="1238" spans="1:7" ht="14.4">
      <c r="A1238" s="233"/>
      <c r="B1238" s="233"/>
      <c r="C1238" s="401"/>
      <c r="D1238" s="930"/>
      <c r="E1238" s="930"/>
      <c r="F1238" s="930"/>
      <c r="G1238"/>
    </row>
    <row r="1239" spans="1:7" ht="14.4">
      <c r="A1239" s="233"/>
      <c r="B1239" s="233"/>
      <c r="C1239" s="401"/>
      <c r="D1239" s="37"/>
      <c r="E1239"/>
      <c r="F1239"/>
      <c r="G1239"/>
    </row>
    <row r="1240" spans="1:7" ht="14.4">
      <c r="A1240" s="233"/>
      <c r="B1240" s="233"/>
      <c r="C1240" s="401"/>
      <c r="D1240" s="339" t="s">
        <v>686</v>
      </c>
      <c r="E1240" s="339"/>
      <c r="F1240" s="339"/>
      <c r="G1240" s="37"/>
    </row>
    <row r="1241" spans="1:7" ht="14.4">
      <c r="A1241" s="233"/>
      <c r="B1241" s="515" t="s">
        <v>325</v>
      </c>
      <c r="C1241" s="401"/>
      <c r="D1241" s="930" t="s">
        <v>687</v>
      </c>
      <c r="E1241" s="930"/>
      <c r="F1241" s="930"/>
      <c r="G1241" s="37"/>
    </row>
    <row r="1242" spans="1:7" ht="14.4">
      <c r="A1242" s="233"/>
      <c r="B1242" s="233"/>
      <c r="C1242" s="401"/>
      <c r="D1242" s="930"/>
      <c r="E1242" s="930"/>
      <c r="F1242" s="930"/>
      <c r="G1242" s="37"/>
    </row>
    <row r="1243" spans="1:7" ht="14.4">
      <c r="A1243" s="233"/>
      <c r="B1243" s="233"/>
      <c r="C1243" s="401"/>
      <c r="D1243" s="930"/>
      <c r="E1243" s="930"/>
      <c r="F1243" s="930"/>
      <c r="G1243" s="37"/>
    </row>
    <row r="1244" spans="1:7" ht="14.4">
      <c r="A1244" s="233"/>
      <c r="B1244" s="233"/>
      <c r="C1244" s="401"/>
      <c r="D1244" s="930"/>
      <c r="E1244" s="930"/>
      <c r="F1244" s="930"/>
      <c r="G1244" s="37"/>
    </row>
    <row r="1245" spans="1:7" ht="14.4">
      <c r="A1245" s="233"/>
      <c r="B1245" s="233"/>
      <c r="C1245" s="401"/>
      <c r="D1245" s="930"/>
      <c r="E1245" s="930"/>
      <c r="F1245" s="930"/>
      <c r="G1245" s="37"/>
    </row>
    <row r="1246" spans="1:7" ht="12.75" customHeight="1">
      <c r="A1246" s="232"/>
      <c r="B1246" s="232"/>
      <c r="C1246" s="401"/>
      <c r="D1246" s="37"/>
      <c r="E1246" s="37"/>
      <c r="F1246" s="37"/>
      <c r="G1246" s="37"/>
    </row>
    <row r="1247" spans="1:7" ht="13.2">
      <c r="A1247" s="956" t="s">
        <v>688</v>
      </c>
      <c r="B1247" s="956"/>
      <c r="C1247" s="956"/>
      <c r="D1247" s="956"/>
      <c r="E1247" s="956"/>
      <c r="F1247" s="956"/>
      <c r="G1247" s="956"/>
    </row>
    <row r="1248" spans="1:7" ht="13.2">
      <c r="A1248" s="232"/>
      <c r="B1248" s="232"/>
      <c r="C1248" s="401"/>
      <c r="D1248" s="37"/>
      <c r="E1248" s="37"/>
      <c r="F1248" s="37"/>
      <c r="G1248" s="37"/>
    </row>
    <row r="1249" spans="1:7" ht="13.2">
      <c r="A1249" s="232"/>
      <c r="B1249" s="232"/>
      <c r="C1249" s="401"/>
      <c r="D1249" s="965" t="s">
        <v>689</v>
      </c>
      <c r="E1249" s="965"/>
      <c r="F1249" s="965"/>
      <c r="G1249" s="37"/>
    </row>
    <row r="1250" spans="1:7" ht="13.2">
      <c r="A1250" s="230"/>
      <c r="B1250" s="230"/>
      <c r="C1250" s="230"/>
      <c r="D1250" s="955" t="s">
        <v>690</v>
      </c>
      <c r="E1250" s="955"/>
      <c r="F1250" s="955"/>
      <c r="G1250" s="231"/>
    </row>
    <row r="1251" spans="1:7" ht="10.5" customHeight="1">
      <c r="A1251" s="401"/>
      <c r="B1251" s="401"/>
      <c r="C1251" s="401"/>
      <c r="D1251" s="37"/>
      <c r="E1251" s="37"/>
      <c r="F1251" s="37"/>
      <c r="G1251" s="37"/>
    </row>
    <row r="1252" spans="1:7" ht="14.4">
      <c r="A1252" s="233"/>
      <c r="B1252" s="515" t="s">
        <v>325</v>
      </c>
      <c r="C1252" s="401"/>
      <c r="D1252" s="955" t="s">
        <v>691</v>
      </c>
      <c r="E1252" s="955"/>
      <c r="F1252" s="955"/>
      <c r="G1252" s="37"/>
    </row>
    <row r="1253" spans="1:7" ht="13.2">
      <c r="A1253" s="401"/>
      <c r="B1253" s="401"/>
      <c r="C1253" s="401"/>
      <c r="D1253" s="37"/>
      <c r="E1253" s="968" t="s">
        <v>692</v>
      </c>
      <c r="F1253" s="968"/>
      <c r="G1253" s="37"/>
    </row>
    <row r="1254" spans="1:7" ht="13.2">
      <c r="A1254" s="401"/>
      <c r="B1254" s="401"/>
      <c r="C1254" s="401"/>
      <c r="D1254" s="84"/>
      <c r="E1254" s="84"/>
      <c r="F1254" s="84"/>
      <c r="G1254" s="37"/>
    </row>
    <row r="1255" spans="1:7" ht="13.65" customHeight="1">
      <c r="A1255" s="401"/>
      <c r="B1255" s="401"/>
      <c r="C1255" s="401"/>
      <c r="D1255" s="37"/>
      <c r="E1255" s="37"/>
      <c r="F1255" s="37"/>
      <c r="G1255" s="37"/>
    </row>
    <row r="1256" spans="1:7" ht="13.65" customHeight="1">
      <c r="A1256" s="401"/>
      <c r="B1256" s="401"/>
      <c r="C1256" s="401"/>
      <c r="D1256" s="37"/>
      <c r="E1256" s="37"/>
      <c r="F1256" s="37"/>
      <c r="G1256" s="37"/>
    </row>
    <row r="1257" spans="1:7" ht="13.65" customHeight="1">
      <c r="A1257" s="401"/>
      <c r="B1257" s="401"/>
      <c r="C1257" s="401"/>
      <c r="D1257" s="37"/>
      <c r="E1257" s="37"/>
      <c r="F1257" s="37"/>
      <c r="G1257" s="37"/>
    </row>
    <row r="1258" spans="1:7" ht="13.65" customHeight="1">
      <c r="A1258" s="401"/>
      <c r="B1258" s="401"/>
      <c r="C1258" s="401"/>
      <c r="D1258" s="37"/>
      <c r="E1258" s="37"/>
      <c r="F1258" s="37"/>
      <c r="G1258" s="37"/>
    </row>
    <row r="1259" spans="1:7" ht="13.65" customHeight="1">
      <c r="A1259" s="401"/>
      <c r="B1259" s="401"/>
      <c r="C1259" s="401"/>
      <c r="D1259" s="37"/>
      <c r="E1259" s="37"/>
      <c r="F1259" s="37"/>
      <c r="G1259" s="37"/>
    </row>
    <row r="1260" spans="1:7" ht="13.65" customHeight="1">
      <c r="A1260" s="401"/>
      <c r="B1260" s="401"/>
      <c r="C1260" s="401"/>
      <c r="D1260" s="37"/>
      <c r="E1260" s="37"/>
      <c r="F1260" s="37"/>
      <c r="G1260" s="37"/>
    </row>
    <row r="1261" spans="1:7" ht="13.65" customHeight="1">
      <c r="A1261" s="401"/>
      <c r="B1261" s="401"/>
      <c r="C1261" s="401"/>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1"/>
      <c r="B1289" s="401"/>
      <c r="C1289" s="401"/>
      <c r="D1289" s="37"/>
      <c r="E1289" s="37"/>
      <c r="F1289" s="37"/>
      <c r="G1289" s="37"/>
    </row>
    <row r="1290" spans="1:7" ht="13.65" customHeight="1">
      <c r="A1290" s="401"/>
      <c r="B1290" s="401"/>
      <c r="C1290" s="401"/>
      <c r="D1290" s="37"/>
      <c r="E1290" s="37"/>
      <c r="F1290" s="37"/>
      <c r="G1290" s="37"/>
    </row>
    <row r="1291" spans="1:7" ht="13.65" customHeight="1">
      <c r="A1291" s="401"/>
      <c r="B1291" s="401"/>
      <c r="C1291" s="401"/>
      <c r="D1291" s="37"/>
      <c r="E1291" s="37"/>
      <c r="F1291" s="37"/>
      <c r="G1291" s="37"/>
    </row>
    <row r="1292" spans="1:7" ht="13.65" customHeight="1">
      <c r="A1292" s="401"/>
      <c r="B1292" s="401"/>
      <c r="C1292" s="401"/>
      <c r="D1292" s="37"/>
      <c r="E1292" s="37"/>
      <c r="F1292" s="37"/>
      <c r="G1292" s="37"/>
    </row>
    <row r="1293" spans="1:7" ht="13.65" customHeight="1">
      <c r="A1293" s="401"/>
      <c r="B1293" s="401"/>
      <c r="C1293" s="401"/>
      <c r="D1293" s="37"/>
      <c r="E1293" s="37"/>
      <c r="F1293" s="37"/>
      <c r="G1293" s="37"/>
    </row>
    <row r="1294" spans="1:7" ht="13.65" customHeight="1">
      <c r="A1294" s="401"/>
      <c r="B1294" s="401"/>
      <c r="C1294" s="401"/>
      <c r="D1294" s="37"/>
      <c r="E1294" s="37"/>
      <c r="F1294" s="37"/>
      <c r="G1294" s="37"/>
    </row>
    <row r="1295" spans="1:7" ht="13.65" customHeight="1">
      <c r="A1295" s="401"/>
      <c r="B1295" s="401"/>
      <c r="C1295" s="401"/>
      <c r="D1295" s="37"/>
      <c r="E1295" s="37"/>
      <c r="F1295" s="37"/>
      <c r="G1295" s="37"/>
    </row>
    <row r="1296" spans="1:7" ht="13.65" customHeight="1">
      <c r="A1296" s="401"/>
      <c r="B1296" s="401"/>
      <c r="C1296" s="401"/>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7" zoomScale="60" zoomScaleNormal="60" workbookViewId="0">
      <selection activeCell="AO634" sqref="AO634:AS634"/>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9" width="2.44140625" customWidth="1"/>
    <col min="40" max="40" width="3" customWidth="1"/>
    <col min="41" max="45" width="2.44140625" customWidth="1"/>
    <col min="46" max="46" width="5.44140625" customWidth="1"/>
    <col min="47" max="126" width="5.44140625" hidden="1"/>
  </cols>
  <sheetData>
    <row r="1" spans="1:46" ht="12.9" customHeight="1">
      <c r="J1" s="161"/>
      <c r="AS1" s="803">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46" customFormat="1" ht="18.75" customHeight="1">
      <c r="A9" s="1011" t="s">
        <v>693</v>
      </c>
      <c r="B9" s="1011"/>
      <c r="C9" s="1011"/>
      <c r="D9" s="1011"/>
      <c r="E9" s="1011"/>
      <c r="F9" s="1011"/>
      <c r="G9" s="1011"/>
      <c r="H9" s="1011"/>
      <c r="I9" s="1011"/>
      <c r="J9" s="1011"/>
      <c r="K9" s="1011"/>
      <c r="L9" s="1011"/>
      <c r="M9" s="1011"/>
      <c r="N9" s="1011"/>
      <c r="O9" s="1011"/>
      <c r="P9" s="1011"/>
      <c r="Q9" s="1011"/>
      <c r="R9" s="1011"/>
      <c r="S9" s="1011"/>
      <c r="T9" s="1011"/>
      <c r="U9" s="1011"/>
      <c r="V9" s="1011"/>
      <c r="W9" s="1011"/>
      <c r="X9" s="1011"/>
      <c r="Y9" s="1011"/>
      <c r="Z9" s="1011"/>
      <c r="AA9" s="1011"/>
      <c r="AB9" s="1011"/>
      <c r="AC9" s="1011"/>
      <c r="AD9" s="1011"/>
      <c r="AE9" s="1011"/>
      <c r="AF9" s="1011"/>
      <c r="AG9" s="1011"/>
      <c r="AH9" s="1011"/>
      <c r="AI9" s="1011"/>
      <c r="AJ9" s="1011"/>
      <c r="AK9" s="1011"/>
      <c r="AL9" s="1011"/>
      <c r="AM9" s="1011"/>
      <c r="AN9" s="1011"/>
      <c r="AO9" s="1011"/>
      <c r="AP9" s="1011"/>
      <c r="AQ9" s="1011"/>
      <c r="AR9" s="1011"/>
      <c r="AS9" s="1011"/>
      <c r="AT9" s="1011"/>
    </row>
    <row r="10" spans="1:46" s="560" customFormat="1" ht="12.9" customHeight="1">
      <c r="A10" s="1012" t="s">
        <v>694</v>
      </c>
      <c r="B10" s="1012"/>
      <c r="C10" s="1012"/>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2"/>
      <c r="Z10" s="1012"/>
      <c r="AA10" s="1012"/>
      <c r="AB10" s="1012"/>
      <c r="AC10" s="1012"/>
      <c r="AD10" s="1012"/>
      <c r="AE10" s="1012"/>
      <c r="AF10" s="1012"/>
      <c r="AG10" s="1012"/>
      <c r="AH10" s="1012"/>
      <c r="AI10" s="1012"/>
      <c r="AJ10" s="1012"/>
      <c r="AK10" s="1012"/>
      <c r="AL10" s="1012"/>
      <c r="AM10" s="1012"/>
      <c r="AN10" s="1012"/>
      <c r="AO10" s="1012"/>
      <c r="AP10" s="1012"/>
      <c r="AQ10" s="1012"/>
      <c r="AR10" s="1012"/>
      <c r="AS10" s="1012"/>
      <c r="AT10" s="1012"/>
    </row>
    <row r="11" spans="1:46" s="37" customFormat="1" ht="12.9" customHeight="1">
      <c r="A11" s="1013" t="s">
        <v>695</v>
      </c>
      <c r="B11" s="1013"/>
      <c r="C11" s="1013"/>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3"/>
      <c r="AA11" s="1013"/>
      <c r="AB11" s="1013"/>
      <c r="AC11" s="1013"/>
      <c r="AD11" s="1013"/>
      <c r="AE11" s="1013"/>
      <c r="AF11" s="1013"/>
      <c r="AG11" s="1013"/>
      <c r="AH11" s="1013"/>
      <c r="AI11" s="1013"/>
      <c r="AJ11" s="1013"/>
      <c r="AK11" s="1013"/>
      <c r="AL11" s="1013"/>
      <c r="AM11" s="1013"/>
      <c r="AN11" s="1013"/>
      <c r="AO11" s="1013"/>
      <c r="AP11" s="1013"/>
      <c r="AQ11" s="1013"/>
      <c r="AR11" s="1013"/>
      <c r="AS11" s="1013"/>
      <c r="AT11" s="1013"/>
    </row>
    <row r="12" spans="1:46" ht="12.9" customHeight="1">
      <c r="A12" s="926" t="s">
        <v>696</v>
      </c>
      <c r="B12" s="926"/>
      <c r="C12" s="926"/>
      <c r="D12" s="926"/>
      <c r="E12" s="926"/>
      <c r="F12" s="926"/>
      <c r="G12" s="926"/>
      <c r="H12" s="926"/>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6"/>
      <c r="AL12" s="926"/>
      <c r="AM12" s="926"/>
      <c r="AN12" s="926"/>
      <c r="AO12" s="926"/>
      <c r="AP12" s="926"/>
      <c r="AQ12" s="926"/>
      <c r="AR12" s="926"/>
      <c r="AS12" s="926"/>
      <c r="AT12" s="926"/>
    </row>
    <row r="13" spans="1:46" ht="12.9" customHeight="1">
      <c r="A13" s="926"/>
      <c r="B13" s="926"/>
      <c r="C13" s="926"/>
      <c r="D13" s="926"/>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c r="AI13" s="926"/>
      <c r="AJ13" s="926"/>
      <c r="AK13" s="926"/>
      <c r="AL13" s="926"/>
      <c r="AM13" s="926"/>
      <c r="AN13" s="926"/>
      <c r="AO13" s="926"/>
      <c r="AP13" s="926"/>
      <c r="AQ13" s="926"/>
      <c r="AR13" s="926"/>
      <c r="AS13" s="926"/>
      <c r="AT13" s="926"/>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255" t="s">
        <v>698</v>
      </c>
      <c r="I15" s="1255"/>
      <c r="J15" s="1255"/>
      <c r="K15" s="1255"/>
      <c r="L15" s="1255"/>
      <c r="M15" s="1255"/>
      <c r="N15" s="1255"/>
      <c r="O15" s="1255"/>
      <c r="P15" s="1255"/>
      <c r="Q15" s="1255"/>
      <c r="R15" s="1255"/>
      <c r="S15" s="1255"/>
      <c r="T15" s="1255"/>
      <c r="U15" s="1255"/>
      <c r="V15" s="1255"/>
      <c r="W15" s="1255"/>
      <c r="X15" s="1255"/>
      <c r="Y15" s="1255"/>
      <c r="Z15" s="1255"/>
      <c r="AA15" s="1255"/>
      <c r="AB15" s="1255"/>
      <c r="AC15" s="1255"/>
      <c r="AD15" s="1255"/>
      <c r="AE15" s="1255"/>
      <c r="AF15" s="1255"/>
      <c r="AG15" s="1255"/>
      <c r="AH15" s="1255"/>
      <c r="AI15" s="1255"/>
      <c r="AJ15" s="1255"/>
    </row>
    <row r="16" spans="1:46" ht="12.9" customHeight="1"/>
    <row r="17" spans="1:46" ht="12.9" customHeight="1">
      <c r="A17" s="56" t="s">
        <v>699</v>
      </c>
      <c r="C17" s="37"/>
      <c r="D17" s="37"/>
      <c r="E17" s="37"/>
      <c r="F17" s="37"/>
      <c r="G17" s="37"/>
      <c r="H17" s="1002" t="s">
        <v>700</v>
      </c>
      <c r="I17" s="1002"/>
      <c r="J17" s="1002"/>
      <c r="K17" s="1002"/>
      <c r="L17" s="1002"/>
      <c r="M17" s="1002"/>
      <c r="N17" s="1002"/>
      <c r="O17" s="1002"/>
      <c r="P17" s="1002"/>
      <c r="Q17" s="1002"/>
      <c r="R17" s="1002"/>
      <c r="S17" s="1002"/>
      <c r="T17" s="1002"/>
      <c r="U17" s="1002"/>
      <c r="V17" s="1002"/>
      <c r="W17" s="1002"/>
      <c r="X17" s="1002"/>
      <c r="Y17" s="1002"/>
      <c r="Z17" s="1002"/>
      <c r="AA17" s="1002"/>
      <c r="AB17" s="1002"/>
      <c r="AC17" s="1002"/>
      <c r="AD17" s="1002"/>
      <c r="AE17" s="1002"/>
      <c r="AF17" s="1002"/>
      <c r="AG17" s="1002"/>
      <c r="AH17" s="1002"/>
      <c r="AI17" s="1002"/>
      <c r="AJ17" s="1002"/>
    </row>
    <row r="18" spans="1:46" ht="12.9" customHeight="1"/>
    <row r="19" spans="1:46" ht="12.9" customHeight="1">
      <c r="A19" s="943" t="s">
        <v>701</v>
      </c>
      <c r="B19" s="943"/>
      <c r="C19" s="943"/>
      <c r="D19" s="943"/>
      <c r="E19" s="943"/>
      <c r="F19" s="943"/>
      <c r="G19" s="943"/>
      <c r="H19" s="943"/>
      <c r="I19" s="943"/>
      <c r="J19" s="943"/>
      <c r="K19" s="943"/>
      <c r="L19" s="943"/>
      <c r="M19" s="943"/>
      <c r="N19" s="943"/>
      <c r="O19" s="943"/>
      <c r="P19" s="943"/>
      <c r="Q19" s="943"/>
      <c r="R19" s="943"/>
      <c r="S19" s="943"/>
      <c r="T19" s="943"/>
      <c r="U19" s="943"/>
      <c r="V19" s="943"/>
      <c r="W19" s="943"/>
      <c r="X19" s="943"/>
      <c r="Y19" s="943"/>
      <c r="Z19" s="943"/>
      <c r="AA19" s="943"/>
      <c r="AB19" s="943"/>
      <c r="AC19" s="943"/>
      <c r="AD19" s="943"/>
      <c r="AE19" s="943"/>
      <c r="AF19" s="943"/>
      <c r="AG19" s="943"/>
      <c r="AH19" s="943"/>
      <c r="AI19" s="943"/>
      <c r="AJ19" s="943"/>
      <c r="AK19" s="943"/>
      <c r="AL19" s="943"/>
    </row>
    <row r="20" spans="1:46" ht="12.9" customHeight="1">
      <c r="A20" s="1346" t="s">
        <v>702</v>
      </c>
      <c r="B20" s="1346"/>
      <c r="C20" s="1346"/>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6"/>
      <c r="AH20" s="1346"/>
      <c r="AI20" s="1346"/>
      <c r="AJ20" s="1346"/>
      <c r="AK20" s="1346"/>
      <c r="AL20" s="1346"/>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47" t="s">
        <v>703</v>
      </c>
      <c r="B22" s="947"/>
      <c r="C22" s="947"/>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7"/>
      <c r="AN22" s="947"/>
      <c r="AO22" s="947"/>
      <c r="AP22" s="947"/>
      <c r="AQ22" s="947"/>
      <c r="AR22" s="947"/>
      <c r="AS22" s="947"/>
      <c r="AT22" s="947"/>
    </row>
    <row r="23" spans="1:46" ht="12.9" customHeight="1">
      <c r="A23" s="947"/>
      <c r="B23" s="947"/>
      <c r="C23" s="947"/>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7"/>
      <c r="AN23" s="947"/>
      <c r="AO23" s="947"/>
      <c r="AP23" s="947"/>
      <c r="AQ23" s="947"/>
      <c r="AR23" s="947"/>
      <c r="AS23" s="947"/>
      <c r="AT23" s="947"/>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48">
        <f>ROUND('Basis &amp; Credits'!AB55,0)</f>
        <v>432972</v>
      </c>
      <c r="N25" s="1348"/>
      <c r="O25" s="1348"/>
      <c r="P25" s="1348"/>
      <c r="Q25" s="1348"/>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48">
        <f>'Basis &amp; Credits'!AB76</f>
        <v>1443240</v>
      </c>
      <c r="N27" s="1348"/>
      <c r="O27" s="1348"/>
      <c r="P27" s="1348"/>
      <c r="Q27" s="1348"/>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8" customFormat="1" ht="12.9" customHeight="1">
      <c r="A29" s="947" t="s">
        <v>706</v>
      </c>
      <c r="B29" s="947"/>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947"/>
      <c r="AS29" s="947"/>
      <c r="AT29" s="947"/>
    </row>
    <row r="30" spans="1:46" s="668" customFormat="1" ht="12.9" customHeight="1">
      <c r="A30" s="947"/>
      <c r="B30" s="947"/>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row>
    <row r="31" spans="1:46" s="668" customFormat="1" ht="12.9" customHeight="1">
      <c r="A31" s="947"/>
      <c r="B31" s="947"/>
      <c r="C31" s="947"/>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7"/>
      <c r="AN31" s="947"/>
      <c r="AO31" s="947"/>
      <c r="AP31" s="947"/>
      <c r="AQ31" s="947"/>
      <c r="AR31" s="947"/>
      <c r="AS31" s="947"/>
      <c r="AT31" s="947"/>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0" customFormat="1" ht="12.9" customHeight="1">
      <c r="A33" s="266" t="s">
        <v>707</v>
      </c>
      <c r="B33"/>
      <c r="C33" s="266"/>
      <c r="D33" s="266"/>
      <c r="E33" s="266"/>
      <c r="F33" s="266"/>
      <c r="G33" s="266"/>
      <c r="H33" s="266"/>
      <c r="I33" s="266"/>
      <c r="J33" s="266"/>
      <c r="K33" s="266"/>
      <c r="L33" s="266"/>
      <c r="M33" s="266"/>
      <c r="N33" s="266"/>
      <c r="O33" s="1063" t="s">
        <v>708</v>
      </c>
      <c r="P33" s="1063"/>
      <c r="Q33" s="1014" t="s">
        <v>709</v>
      </c>
      <c r="R33" s="1014"/>
      <c r="S33" s="1014"/>
      <c r="T33" s="1014"/>
      <c r="U33" s="1014"/>
      <c r="V33" s="1014"/>
      <c r="W33" s="1014"/>
      <c r="X33" s="1014"/>
      <c r="Y33" s="1014"/>
      <c r="Z33" s="1014"/>
      <c r="AA33" s="1014"/>
      <c r="AB33" s="1014"/>
      <c r="AC33" s="1014"/>
      <c r="AD33" s="1014"/>
      <c r="AE33" s="1014"/>
      <c r="AF33" s="1014"/>
      <c r="AG33" s="1014"/>
      <c r="AH33" s="1014"/>
      <c r="AI33" s="1014"/>
      <c r="AJ33" s="1014"/>
      <c r="AK33" s="1014"/>
      <c r="AL33" s="1014"/>
      <c r="AM33" s="1014"/>
      <c r="AN33" s="1014"/>
      <c r="AO33" s="1014"/>
      <c r="AP33" s="1014"/>
      <c r="AQ33" s="1014"/>
      <c r="AR33" s="1014"/>
      <c r="AS33" s="1014"/>
      <c r="AT33" s="1014"/>
    </row>
    <row r="34" spans="1:46" ht="12.9" customHeight="1">
      <c r="A34" s="944" t="s">
        <v>710</v>
      </c>
      <c r="B34" s="944"/>
      <c r="C34" s="944"/>
      <c r="D34" s="944"/>
      <c r="E34" s="944"/>
      <c r="F34" s="944"/>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c r="AH34" s="944"/>
      <c r="AI34" s="944"/>
      <c r="AJ34" s="944"/>
      <c r="AK34" s="944"/>
      <c r="AL34" s="944"/>
      <c r="AM34" s="944"/>
      <c r="AN34" s="944"/>
      <c r="AO34" s="944"/>
      <c r="AP34" s="944"/>
      <c r="AQ34" s="944"/>
      <c r="AR34" s="944"/>
      <c r="AS34" s="944"/>
      <c r="AT34" s="944"/>
    </row>
    <row r="35" spans="1:46" ht="12.9" customHeight="1">
      <c r="A35" s="944"/>
      <c r="B35" s="944"/>
      <c r="C35" s="944"/>
      <c r="D35" s="944"/>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944"/>
      <c r="AG35" s="944"/>
      <c r="AH35" s="944"/>
      <c r="AI35" s="944"/>
      <c r="AJ35" s="944"/>
      <c r="AK35" s="944"/>
      <c r="AL35" s="944"/>
      <c r="AM35" s="944"/>
      <c r="AN35" s="944"/>
      <c r="AO35" s="944"/>
      <c r="AP35" s="944"/>
      <c r="AQ35" s="944"/>
      <c r="AR35" s="944"/>
      <c r="AS35" s="944"/>
      <c r="AT35" s="944"/>
    </row>
    <row r="36" spans="1:46" ht="12.9" customHeight="1">
      <c r="A36" s="944"/>
      <c r="B36" s="944"/>
      <c r="C36" s="944"/>
      <c r="D36" s="944"/>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c r="AL36" s="944"/>
      <c r="AM36" s="944"/>
      <c r="AN36" s="944"/>
      <c r="AO36" s="944"/>
      <c r="AP36" s="944"/>
      <c r="AQ36" s="944"/>
      <c r="AR36" s="944"/>
      <c r="AS36" s="944"/>
      <c r="AT36" s="944"/>
    </row>
    <row r="37" spans="1:46" ht="12.9" customHeight="1">
      <c r="A37" s="944"/>
      <c r="B37" s="944"/>
      <c r="C37" s="944"/>
      <c r="D37" s="944"/>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4"/>
      <c r="AQ37" s="944"/>
      <c r="AR37" s="944"/>
      <c r="AS37" s="944"/>
      <c r="AT37" s="944"/>
    </row>
    <row r="38" spans="1:46" ht="12.9" customHeight="1">
      <c r="AM38" s="19"/>
    </row>
    <row r="39" spans="1:46" s="668" customFormat="1" ht="12.9" customHeight="1">
      <c r="A39" s="947" t="s">
        <v>711</v>
      </c>
      <c r="B39" s="947"/>
      <c r="C39" s="947"/>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7"/>
      <c r="AN39" s="947"/>
      <c r="AO39" s="947"/>
      <c r="AP39" s="947"/>
      <c r="AQ39" s="947"/>
      <c r="AR39" s="947"/>
      <c r="AS39" s="947"/>
      <c r="AT39" s="947"/>
    </row>
    <row r="40" spans="1:46" s="668" customFormat="1" ht="12.9" customHeight="1">
      <c r="A40" s="947"/>
      <c r="B40" s="947"/>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7"/>
    </row>
    <row r="41" spans="1:46" s="668" customFormat="1" ht="12.9" customHeight="1">
      <c r="A41" s="947"/>
      <c r="B41" s="947"/>
      <c r="C41" s="947"/>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7"/>
      <c r="AQ41" s="947"/>
      <c r="AR41" s="947"/>
      <c r="AS41" s="947"/>
      <c r="AT41" s="947"/>
    </row>
    <row r="42" spans="1:46" s="668" customFormat="1" ht="12.9" customHeight="1">
      <c r="A42" s="947"/>
      <c r="B42" s="947"/>
      <c r="C42" s="947"/>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7"/>
      <c r="AN42" s="947"/>
      <c r="AO42" s="947"/>
      <c r="AP42" s="947"/>
      <c r="AQ42" s="947"/>
      <c r="AR42" s="947"/>
      <c r="AS42" s="947"/>
      <c r="AT42" s="947"/>
    </row>
    <row r="43" spans="1:46" s="668" customFormat="1" ht="12.9" customHeight="1">
      <c r="A43" s="947"/>
      <c r="B43" s="947"/>
      <c r="C43" s="947"/>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7"/>
      <c r="AN43" s="947"/>
      <c r="AO43" s="947"/>
      <c r="AP43" s="947"/>
      <c r="AQ43" s="947"/>
      <c r="AR43" s="947"/>
      <c r="AS43" s="947"/>
      <c r="AT43" s="947"/>
    </row>
    <row r="44" spans="1:46" s="668" customFormat="1" ht="12.9" customHeight="1">
      <c r="A44" s="947"/>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row>
    <row r="45" spans="1:46" s="668" customFormat="1" ht="12.9" customHeight="1">
      <c r="A45" s="947"/>
      <c r="B45" s="947"/>
      <c r="C45" s="947"/>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7"/>
      <c r="AN45" s="947"/>
      <c r="AO45" s="947"/>
      <c r="AP45" s="947"/>
      <c r="AQ45" s="947"/>
      <c r="AR45" s="947"/>
      <c r="AS45" s="947"/>
      <c r="AT45" s="947"/>
    </row>
    <row r="46" spans="1:46" s="668" customFormat="1" ht="12.9" customHeight="1">
      <c r="A46" s="947"/>
      <c r="B46" s="947"/>
      <c r="C46" s="947"/>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7"/>
      <c r="AS46" s="947"/>
      <c r="AT46" s="947"/>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68" customFormat="1" ht="12.9" customHeight="1">
      <c r="A48" s="947" t="s">
        <v>712</v>
      </c>
      <c r="B48" s="947"/>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7"/>
      <c r="AN48" s="947"/>
      <c r="AO48" s="947"/>
      <c r="AP48" s="947"/>
      <c r="AQ48" s="947"/>
      <c r="AR48" s="947"/>
      <c r="AS48" s="947"/>
      <c r="AT48" s="947"/>
    </row>
    <row r="49" spans="1:16384" s="668" customFormat="1" ht="12.9" customHeight="1">
      <c r="A49" s="947"/>
      <c r="B49" s="947"/>
      <c r="C49" s="947"/>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7"/>
      <c r="AN49" s="947"/>
      <c r="AO49" s="947"/>
      <c r="AP49" s="947"/>
      <c r="AQ49" s="947"/>
      <c r="AR49" s="947"/>
      <c r="AS49" s="947"/>
      <c r="AT49" s="947"/>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2.9"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2.9"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2.9"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2.9"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2.9"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2.9"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2.9"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2.9"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2.9"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2.9"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2.9"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68" customFormat="1" ht="12.9" customHeight="1">
      <c r="A74" s="947" t="s">
        <v>719</v>
      </c>
      <c r="B74" s="947"/>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row>
    <row r="75" spans="1:46" s="668" customFormat="1" ht="12.9" customHeight="1">
      <c r="A75" s="947"/>
      <c r="B75" s="947"/>
      <c r="C75" s="947"/>
      <c r="D75" s="947"/>
      <c r="E75" s="947"/>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2.9"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2.9"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2.9" customHeight="1">
      <c r="C80" s="810"/>
      <c r="D80" s="810"/>
      <c r="E80" s="810"/>
      <c r="F80" s="810"/>
      <c r="G80" s="810"/>
      <c r="H80" s="810"/>
      <c r="I80" s="810"/>
      <c r="J80" s="810"/>
      <c r="K80" s="810"/>
      <c r="L80" s="810"/>
      <c r="M80" s="810"/>
      <c r="N80" s="810"/>
      <c r="O80" s="810"/>
      <c r="P80" s="810"/>
      <c r="Q80" s="810"/>
      <c r="R80" s="810"/>
      <c r="S80" s="810"/>
      <c r="T80" s="810"/>
      <c r="U80" s="810"/>
      <c r="V80" s="810"/>
      <c r="W80" s="810"/>
      <c r="X80" s="810"/>
      <c r="Y80" s="810"/>
      <c r="Z80" s="810"/>
      <c r="AA80" s="25"/>
      <c r="AB80" s="25"/>
      <c r="AC80" s="25"/>
      <c r="AD80" s="25"/>
      <c r="AE80" s="25"/>
      <c r="AF80" s="25"/>
      <c r="AG80" s="25"/>
      <c r="AH80" s="25"/>
      <c r="AI80" s="25"/>
      <c r="AJ80" s="25"/>
      <c r="AK80" s="25"/>
      <c r="AL80" s="25"/>
      <c r="AM80" s="19"/>
    </row>
    <row r="81" spans="1:16384" ht="12.9"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2.9"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2.9"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68" customFormat="1" ht="12.9" customHeight="1">
      <c r="A85" s="947" t="s">
        <v>722</v>
      </c>
      <c r="B85" s="947"/>
      <c r="C85" s="947"/>
      <c r="D85" s="947"/>
      <c r="E85" s="947"/>
      <c r="F85" s="947"/>
      <c r="G85" s="947"/>
      <c r="H85" s="947"/>
      <c r="I85" s="947"/>
      <c r="J85" s="947"/>
      <c r="K85" s="947"/>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c r="AJ85" s="947"/>
      <c r="AK85" s="947"/>
      <c r="AL85" s="947"/>
      <c r="AM85" s="947"/>
      <c r="AN85" s="947"/>
      <c r="AO85" s="947"/>
      <c r="AP85" s="947"/>
      <c r="AQ85" s="947"/>
      <c r="AR85" s="947"/>
      <c r="AS85" s="947"/>
      <c r="AT85" s="947"/>
    </row>
    <row r="86" spans="1:16384" s="668" customFormat="1" ht="12.9" customHeight="1">
      <c r="A86" s="947"/>
      <c r="B86" s="947"/>
      <c r="C86" s="947"/>
      <c r="D86" s="947"/>
      <c r="E86" s="947"/>
      <c r="F86" s="947"/>
      <c r="G86" s="947"/>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c r="AL86" s="947"/>
      <c r="AM86" s="947"/>
      <c r="AN86" s="947"/>
      <c r="AO86" s="947"/>
      <c r="AP86" s="947"/>
      <c r="AQ86" s="947"/>
      <c r="AR86" s="947"/>
      <c r="AS86" s="947"/>
      <c r="AT86" s="947"/>
    </row>
    <row r="87" spans="1:16384" ht="12.9" customHeight="1">
      <c r="AM87" s="19"/>
    </row>
    <row r="88" spans="1:16384" s="178" customFormat="1" ht="12.9" customHeight="1">
      <c r="A88" s="947" t="s">
        <v>723</v>
      </c>
      <c r="B88" s="947"/>
      <c r="C88" s="947"/>
      <c r="D88" s="947"/>
      <c r="E88" s="947"/>
      <c r="F88" s="947"/>
      <c r="G88" s="947"/>
      <c r="H88" s="947"/>
      <c r="I88" s="947"/>
      <c r="J88" s="947"/>
      <c r="K88" s="947"/>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47"/>
      <c r="BQ88" s="947"/>
      <c r="BR88" s="947"/>
      <c r="BS88" s="947"/>
      <c r="BT88" s="947"/>
      <c r="BU88" s="947"/>
      <c r="BV88" s="947"/>
      <c r="BW88" s="947"/>
      <c r="BX88" s="947"/>
      <c r="BY88" s="947"/>
      <c r="BZ88" s="947"/>
      <c r="CA88" s="947"/>
      <c r="CB88" s="947"/>
      <c r="CC88" s="947"/>
      <c r="CD88" s="947"/>
      <c r="CE88" s="947"/>
      <c r="CF88" s="947"/>
      <c r="CG88" s="947"/>
      <c r="CH88" s="947"/>
      <c r="CI88" s="947"/>
      <c r="CJ88" s="947"/>
      <c r="CK88" s="947"/>
      <c r="CL88" s="947"/>
      <c r="CM88" s="947"/>
      <c r="CN88" s="947"/>
      <c r="CO88" s="947"/>
      <c r="CP88" s="947"/>
      <c r="CQ88" s="947"/>
      <c r="CR88" s="947"/>
      <c r="CS88" s="947"/>
      <c r="CT88" s="947"/>
      <c r="CU88" s="947"/>
      <c r="CV88" s="947"/>
      <c r="CW88" s="947"/>
      <c r="CX88" s="947"/>
      <c r="CY88" s="947"/>
      <c r="CZ88" s="947"/>
      <c r="DA88" s="947"/>
      <c r="DB88" s="947"/>
      <c r="DC88" s="947"/>
      <c r="DD88" s="947"/>
      <c r="DE88" s="947"/>
      <c r="DF88" s="947"/>
      <c r="DG88" s="947"/>
      <c r="DH88" s="947"/>
      <c r="DI88" s="947"/>
      <c r="DJ88" s="947"/>
      <c r="DK88" s="947"/>
      <c r="DL88" s="947"/>
      <c r="DM88" s="947"/>
      <c r="DN88" s="947"/>
      <c r="DO88" s="947"/>
      <c r="DP88" s="947"/>
      <c r="DQ88" s="947"/>
      <c r="DR88" s="947"/>
      <c r="DS88" s="947"/>
      <c r="DT88" s="947"/>
      <c r="DU88" s="947"/>
      <c r="DV88" s="947"/>
      <c r="DW88" s="947"/>
      <c r="DX88" s="947"/>
      <c r="DY88" s="947"/>
      <c r="DZ88" s="947"/>
      <c r="EA88" s="947"/>
      <c r="EB88" s="947"/>
      <c r="EC88" s="947"/>
      <c r="ED88" s="947"/>
      <c r="EE88" s="947"/>
      <c r="EF88" s="947"/>
      <c r="EG88" s="947"/>
      <c r="EH88" s="947"/>
      <c r="EI88" s="947"/>
      <c r="EJ88" s="947"/>
      <c r="EK88" s="947"/>
      <c r="EL88" s="947"/>
      <c r="EM88" s="947"/>
      <c r="EN88" s="947"/>
      <c r="EO88" s="947"/>
      <c r="EP88" s="947"/>
      <c r="EQ88" s="947"/>
      <c r="ER88" s="947"/>
      <c r="ES88" s="947"/>
      <c r="ET88" s="947"/>
      <c r="EU88" s="947"/>
      <c r="EV88" s="947"/>
      <c r="EW88" s="947"/>
      <c r="EX88" s="947"/>
      <c r="EY88" s="947"/>
      <c r="EZ88" s="947"/>
      <c r="FA88" s="947"/>
      <c r="FB88" s="947"/>
      <c r="FC88" s="947"/>
      <c r="FD88" s="947"/>
      <c r="FE88" s="947"/>
      <c r="FF88" s="947"/>
      <c r="FG88" s="947"/>
      <c r="FH88" s="947"/>
      <c r="FI88" s="947"/>
      <c r="FJ88" s="947"/>
      <c r="FK88" s="947"/>
      <c r="FL88" s="947"/>
      <c r="FM88" s="947"/>
      <c r="FN88" s="947"/>
      <c r="FO88" s="947"/>
      <c r="FP88" s="947"/>
      <c r="FQ88" s="947"/>
      <c r="FR88" s="947"/>
      <c r="FS88" s="947"/>
      <c r="FT88" s="947"/>
      <c r="FU88" s="947"/>
      <c r="FV88" s="947"/>
      <c r="FW88" s="947"/>
      <c r="FX88" s="947"/>
      <c r="FY88" s="947"/>
      <c r="FZ88" s="947"/>
      <c r="GA88" s="947"/>
      <c r="GB88" s="947"/>
      <c r="GC88" s="947"/>
      <c r="GD88" s="947"/>
      <c r="GE88" s="947"/>
      <c r="GF88" s="947"/>
      <c r="GG88" s="947"/>
      <c r="GH88" s="947"/>
      <c r="GI88" s="947"/>
      <c r="GJ88" s="947"/>
      <c r="GK88" s="947"/>
      <c r="GL88" s="947"/>
      <c r="GM88" s="947"/>
      <c r="GN88" s="947"/>
      <c r="GO88" s="947"/>
      <c r="GP88" s="947"/>
      <c r="GQ88" s="947"/>
      <c r="GR88" s="947"/>
      <c r="GS88" s="947"/>
      <c r="GT88" s="947"/>
      <c r="GU88" s="947"/>
      <c r="GV88" s="947"/>
      <c r="GW88" s="947"/>
      <c r="GX88" s="947"/>
      <c r="GY88" s="947"/>
      <c r="GZ88" s="947"/>
      <c r="HA88" s="947"/>
      <c r="HB88" s="947"/>
      <c r="HC88" s="947"/>
      <c r="HD88" s="947"/>
      <c r="HE88" s="947"/>
      <c r="HF88" s="947"/>
      <c r="HG88" s="947"/>
      <c r="HH88" s="947"/>
      <c r="HI88" s="947"/>
      <c r="HJ88" s="947"/>
      <c r="HK88" s="947"/>
      <c r="HL88" s="947"/>
      <c r="HM88" s="947"/>
      <c r="HN88" s="947"/>
      <c r="HO88" s="947"/>
      <c r="HP88" s="947"/>
      <c r="HQ88" s="947"/>
      <c r="HR88" s="947"/>
      <c r="HS88" s="947"/>
      <c r="HT88" s="947"/>
      <c r="HU88" s="947"/>
      <c r="HV88" s="947"/>
      <c r="HW88" s="947"/>
      <c r="HX88" s="947"/>
      <c r="HY88" s="947"/>
      <c r="HZ88" s="947"/>
      <c r="IA88" s="947"/>
      <c r="IB88" s="947"/>
      <c r="IC88" s="947"/>
      <c r="ID88" s="947"/>
      <c r="IE88" s="947"/>
      <c r="IF88" s="947"/>
      <c r="IG88" s="947"/>
      <c r="IH88" s="947"/>
      <c r="II88" s="947"/>
      <c r="IJ88" s="947"/>
      <c r="IK88" s="947"/>
      <c r="IL88" s="947"/>
      <c r="IM88" s="947"/>
      <c r="IN88" s="947"/>
      <c r="IO88" s="947"/>
      <c r="IP88" s="947"/>
      <c r="IQ88" s="947"/>
      <c r="IR88" s="947"/>
      <c r="IS88" s="947"/>
      <c r="IT88" s="947"/>
      <c r="IU88" s="947"/>
      <c r="IV88" s="947"/>
      <c r="IW88" s="947"/>
      <c r="IX88" s="947"/>
      <c r="IY88" s="947"/>
      <c r="IZ88" s="947"/>
      <c r="JA88" s="947"/>
      <c r="JB88" s="947"/>
      <c r="JC88" s="947"/>
      <c r="JD88" s="947"/>
      <c r="JE88" s="947"/>
      <c r="JF88" s="947"/>
      <c r="JG88" s="947"/>
      <c r="JH88" s="947"/>
      <c r="JI88" s="947"/>
      <c r="JJ88" s="947"/>
      <c r="JK88" s="947"/>
      <c r="JL88" s="947"/>
      <c r="JM88" s="947"/>
      <c r="JN88" s="947"/>
      <c r="JO88" s="947"/>
      <c r="JP88" s="947"/>
      <c r="JQ88" s="947"/>
      <c r="JR88" s="947"/>
      <c r="JS88" s="947"/>
      <c r="JT88" s="947"/>
      <c r="JU88" s="947"/>
      <c r="JV88" s="947"/>
      <c r="JW88" s="947"/>
      <c r="JX88" s="947"/>
      <c r="JY88" s="947"/>
      <c r="JZ88" s="947"/>
      <c r="KA88" s="947"/>
      <c r="KB88" s="947"/>
      <c r="KC88" s="947"/>
      <c r="KD88" s="947"/>
      <c r="KE88" s="947"/>
      <c r="KF88" s="947"/>
      <c r="KG88" s="947"/>
      <c r="KH88" s="947"/>
      <c r="KI88" s="947"/>
      <c r="KJ88" s="947"/>
      <c r="KK88" s="947"/>
      <c r="KL88" s="947"/>
      <c r="KM88" s="947"/>
      <c r="KN88" s="947"/>
      <c r="KO88" s="947"/>
      <c r="KP88" s="947"/>
      <c r="KQ88" s="947"/>
      <c r="KR88" s="947"/>
      <c r="KS88" s="947"/>
      <c r="KT88" s="947"/>
      <c r="KU88" s="947"/>
      <c r="KV88" s="947"/>
      <c r="KW88" s="947"/>
      <c r="KX88" s="947"/>
      <c r="KY88" s="947"/>
      <c r="KZ88" s="947"/>
      <c r="LA88" s="947"/>
      <c r="LB88" s="947"/>
      <c r="LC88" s="947"/>
      <c r="LD88" s="947"/>
      <c r="LE88" s="947"/>
      <c r="LF88" s="947"/>
      <c r="LG88" s="947"/>
      <c r="LH88" s="947"/>
      <c r="LI88" s="947"/>
      <c r="LJ88" s="947"/>
      <c r="LK88" s="947"/>
      <c r="LL88" s="947"/>
      <c r="LM88" s="947"/>
      <c r="LN88" s="947"/>
      <c r="LO88" s="947"/>
      <c r="LP88" s="947"/>
      <c r="LQ88" s="947"/>
      <c r="LR88" s="947"/>
      <c r="LS88" s="947"/>
      <c r="LT88" s="947"/>
      <c r="LU88" s="947"/>
      <c r="LV88" s="947"/>
      <c r="LW88" s="947"/>
      <c r="LX88" s="947"/>
      <c r="LY88" s="947"/>
      <c r="LZ88" s="947"/>
      <c r="MA88" s="947"/>
      <c r="MB88" s="947"/>
      <c r="MC88" s="947"/>
      <c r="MD88" s="947"/>
      <c r="ME88" s="947"/>
      <c r="MF88" s="947"/>
      <c r="MG88" s="947"/>
      <c r="MH88" s="947"/>
      <c r="MI88" s="947"/>
      <c r="MJ88" s="947"/>
      <c r="MK88" s="947"/>
      <c r="ML88" s="947"/>
      <c r="MM88" s="947"/>
      <c r="MN88" s="947"/>
      <c r="MO88" s="947"/>
      <c r="MP88" s="947"/>
      <c r="MQ88" s="947"/>
      <c r="MR88" s="947"/>
      <c r="MS88" s="947"/>
      <c r="MT88" s="947"/>
      <c r="MU88" s="947"/>
      <c r="MV88" s="947"/>
      <c r="MW88" s="947"/>
      <c r="MX88" s="947"/>
      <c r="MY88" s="947"/>
      <c r="MZ88" s="947"/>
      <c r="NA88" s="947"/>
      <c r="NB88" s="947"/>
      <c r="NC88" s="947"/>
      <c r="ND88" s="947"/>
      <c r="NE88" s="947"/>
      <c r="NF88" s="947"/>
      <c r="NG88" s="947"/>
      <c r="NH88" s="947"/>
      <c r="NI88" s="947"/>
      <c r="NJ88" s="947"/>
      <c r="NK88" s="947"/>
      <c r="NL88" s="947"/>
      <c r="NM88" s="947"/>
      <c r="NN88" s="947"/>
      <c r="NO88" s="947"/>
      <c r="NP88" s="947"/>
      <c r="NQ88" s="947"/>
      <c r="NR88" s="947"/>
      <c r="NS88" s="947"/>
      <c r="NT88" s="947"/>
      <c r="NU88" s="947"/>
      <c r="NV88" s="947"/>
      <c r="NW88" s="947"/>
      <c r="NX88" s="947"/>
      <c r="NY88" s="947"/>
      <c r="NZ88" s="947"/>
      <c r="OA88" s="947"/>
      <c r="OB88" s="947"/>
      <c r="OC88" s="947"/>
      <c r="OD88" s="947"/>
      <c r="OE88" s="947"/>
      <c r="OF88" s="947"/>
      <c r="OG88" s="947"/>
      <c r="OH88" s="947"/>
      <c r="OI88" s="947"/>
      <c r="OJ88" s="947"/>
      <c r="OK88" s="947"/>
      <c r="OL88" s="947"/>
      <c r="OM88" s="947"/>
      <c r="ON88" s="947"/>
      <c r="OO88" s="947"/>
      <c r="OP88" s="947"/>
      <c r="OQ88" s="947"/>
      <c r="OR88" s="947"/>
      <c r="OS88" s="947"/>
      <c r="OT88" s="947"/>
      <c r="OU88" s="947"/>
      <c r="OV88" s="947"/>
      <c r="OW88" s="947"/>
      <c r="OX88" s="947"/>
      <c r="OY88" s="947"/>
      <c r="OZ88" s="947"/>
      <c r="PA88" s="947"/>
      <c r="PB88" s="947"/>
      <c r="PC88" s="947"/>
      <c r="PD88" s="947"/>
      <c r="PE88" s="947"/>
      <c r="PF88" s="947"/>
      <c r="PG88" s="947"/>
      <c r="PH88" s="947"/>
      <c r="PI88" s="947"/>
      <c r="PJ88" s="947"/>
      <c r="PK88" s="947"/>
      <c r="PL88" s="947"/>
      <c r="PM88" s="947"/>
      <c r="PN88" s="947"/>
      <c r="PO88" s="947"/>
      <c r="PP88" s="947"/>
      <c r="PQ88" s="947"/>
      <c r="PR88" s="947"/>
      <c r="PS88" s="947"/>
      <c r="PT88" s="947"/>
      <c r="PU88" s="947"/>
      <c r="PV88" s="947"/>
      <c r="PW88" s="947"/>
      <c r="PX88" s="947"/>
      <c r="PY88" s="947"/>
      <c r="PZ88" s="947"/>
      <c r="QA88" s="947"/>
      <c r="QB88" s="947"/>
      <c r="QC88" s="947"/>
      <c r="QD88" s="947"/>
      <c r="QE88" s="947"/>
      <c r="QF88" s="947"/>
      <c r="QG88" s="947"/>
      <c r="QH88" s="947"/>
      <c r="QI88" s="947"/>
      <c r="QJ88" s="947"/>
      <c r="QK88" s="947"/>
      <c r="QL88" s="947"/>
      <c r="QM88" s="947"/>
      <c r="QN88" s="947"/>
      <c r="QO88" s="947"/>
      <c r="QP88" s="947"/>
      <c r="QQ88" s="947"/>
      <c r="QR88" s="947"/>
      <c r="QS88" s="947"/>
      <c r="QT88" s="947"/>
      <c r="QU88" s="947"/>
      <c r="QV88" s="947"/>
      <c r="QW88" s="947"/>
      <c r="QX88" s="947"/>
      <c r="QY88" s="947"/>
      <c r="QZ88" s="947"/>
      <c r="RA88" s="947"/>
      <c r="RB88" s="947"/>
      <c r="RC88" s="947"/>
      <c r="RD88" s="947"/>
      <c r="RE88" s="947"/>
      <c r="RF88" s="947"/>
      <c r="RG88" s="947"/>
      <c r="RH88" s="947"/>
      <c r="RI88" s="947"/>
      <c r="RJ88" s="947"/>
      <c r="RK88" s="947"/>
      <c r="RL88" s="947"/>
      <c r="RM88" s="947"/>
      <c r="RN88" s="947"/>
      <c r="RO88" s="947"/>
      <c r="RP88" s="947"/>
      <c r="RQ88" s="947"/>
      <c r="RR88" s="947"/>
      <c r="RS88" s="947"/>
      <c r="RT88" s="947"/>
      <c r="RU88" s="947"/>
      <c r="RV88" s="947"/>
      <c r="RW88" s="947"/>
      <c r="RX88" s="947"/>
      <c r="RY88" s="947"/>
      <c r="RZ88" s="947"/>
      <c r="SA88" s="947"/>
      <c r="SB88" s="947"/>
      <c r="SC88" s="947"/>
      <c r="SD88" s="947"/>
      <c r="SE88" s="947"/>
      <c r="SF88" s="947"/>
      <c r="SG88" s="947"/>
      <c r="SH88" s="947"/>
      <c r="SI88" s="947"/>
      <c r="SJ88" s="947"/>
      <c r="SK88" s="947"/>
      <c r="SL88" s="947"/>
      <c r="SM88" s="947"/>
      <c r="SN88" s="947"/>
      <c r="SO88" s="947"/>
      <c r="SP88" s="947"/>
      <c r="SQ88" s="947"/>
      <c r="SR88" s="947"/>
      <c r="SS88" s="947"/>
      <c r="ST88" s="947"/>
      <c r="SU88" s="947"/>
      <c r="SV88" s="947"/>
      <c r="SW88" s="947"/>
      <c r="SX88" s="947"/>
      <c r="SY88" s="947"/>
      <c r="SZ88" s="947"/>
      <c r="TA88" s="947"/>
      <c r="TB88" s="947"/>
      <c r="TC88" s="947"/>
      <c r="TD88" s="947"/>
      <c r="TE88" s="947"/>
      <c r="TF88" s="947"/>
      <c r="TG88" s="947"/>
      <c r="TH88" s="947"/>
      <c r="TI88" s="947"/>
      <c r="TJ88" s="947"/>
      <c r="TK88" s="947"/>
      <c r="TL88" s="947"/>
      <c r="TM88" s="947"/>
      <c r="TN88" s="947"/>
      <c r="TO88" s="947"/>
      <c r="TP88" s="947"/>
      <c r="TQ88" s="947"/>
      <c r="TR88" s="947"/>
      <c r="TS88" s="947"/>
      <c r="TT88" s="947"/>
      <c r="TU88" s="947"/>
      <c r="TV88" s="947"/>
      <c r="TW88" s="947"/>
      <c r="TX88" s="947"/>
      <c r="TY88" s="947"/>
      <c r="TZ88" s="947"/>
      <c r="UA88" s="947"/>
      <c r="UB88" s="947"/>
      <c r="UC88" s="947"/>
      <c r="UD88" s="947"/>
      <c r="UE88" s="947"/>
      <c r="UF88" s="947"/>
      <c r="UG88" s="947"/>
      <c r="UH88" s="947"/>
      <c r="UI88" s="947"/>
      <c r="UJ88" s="947"/>
      <c r="UK88" s="947"/>
      <c r="UL88" s="947"/>
      <c r="UM88" s="947"/>
      <c r="UN88" s="947"/>
      <c r="UO88" s="947"/>
      <c r="UP88" s="947"/>
      <c r="UQ88" s="947"/>
      <c r="UR88" s="947"/>
      <c r="US88" s="947"/>
      <c r="UT88" s="947"/>
      <c r="UU88" s="947"/>
      <c r="UV88" s="947"/>
      <c r="UW88" s="947"/>
      <c r="UX88" s="947"/>
      <c r="UY88" s="947"/>
      <c r="UZ88" s="947"/>
      <c r="VA88" s="947"/>
      <c r="VB88" s="947"/>
      <c r="VC88" s="947"/>
      <c r="VD88" s="947"/>
      <c r="VE88" s="947"/>
      <c r="VF88" s="947"/>
      <c r="VG88" s="947"/>
      <c r="VH88" s="947"/>
      <c r="VI88" s="947"/>
      <c r="VJ88" s="947"/>
      <c r="VK88" s="947"/>
      <c r="VL88" s="947"/>
      <c r="VM88" s="947"/>
      <c r="VN88" s="947"/>
      <c r="VO88" s="947"/>
      <c r="VP88" s="947"/>
      <c r="VQ88" s="947"/>
      <c r="VR88" s="947"/>
      <c r="VS88" s="947"/>
      <c r="VT88" s="947"/>
      <c r="VU88" s="947"/>
      <c r="VV88" s="947"/>
      <c r="VW88" s="947"/>
      <c r="VX88" s="947"/>
      <c r="VY88" s="947"/>
      <c r="VZ88" s="947"/>
      <c r="WA88" s="947"/>
      <c r="WB88" s="947"/>
      <c r="WC88" s="947"/>
      <c r="WD88" s="947"/>
      <c r="WE88" s="947"/>
      <c r="WF88" s="947"/>
      <c r="WG88" s="947"/>
      <c r="WH88" s="947"/>
      <c r="WI88" s="947"/>
      <c r="WJ88" s="947"/>
      <c r="WK88" s="947"/>
      <c r="WL88" s="947"/>
      <c r="WM88" s="947"/>
      <c r="WN88" s="947"/>
      <c r="WO88" s="947"/>
      <c r="WP88" s="947"/>
      <c r="WQ88" s="947"/>
      <c r="WR88" s="947"/>
      <c r="WS88" s="947"/>
      <c r="WT88" s="947"/>
      <c r="WU88" s="947"/>
      <c r="WV88" s="947"/>
      <c r="WW88" s="947"/>
      <c r="WX88" s="947"/>
      <c r="WY88" s="947"/>
      <c r="WZ88" s="947"/>
      <c r="XA88" s="947"/>
      <c r="XB88" s="947"/>
      <c r="XC88" s="947"/>
      <c r="XD88" s="947"/>
      <c r="XE88" s="947"/>
      <c r="XF88" s="947"/>
      <c r="XG88" s="947"/>
      <c r="XH88" s="947"/>
      <c r="XI88" s="947"/>
      <c r="XJ88" s="947"/>
      <c r="XK88" s="947"/>
      <c r="XL88" s="947"/>
      <c r="XM88" s="947"/>
      <c r="XN88" s="947"/>
      <c r="XO88" s="947"/>
      <c r="XP88" s="947"/>
      <c r="XQ88" s="947"/>
      <c r="XR88" s="947"/>
      <c r="XS88" s="947"/>
      <c r="XT88" s="947"/>
      <c r="XU88" s="947"/>
      <c r="XV88" s="947"/>
      <c r="XW88" s="947"/>
      <c r="XX88" s="947"/>
      <c r="XY88" s="947"/>
      <c r="XZ88" s="947"/>
      <c r="YA88" s="947"/>
      <c r="YB88" s="947"/>
      <c r="YC88" s="947"/>
      <c r="YD88" s="947"/>
      <c r="YE88" s="947"/>
      <c r="YF88" s="947"/>
      <c r="YG88" s="947"/>
      <c r="YH88" s="947"/>
      <c r="YI88" s="947"/>
      <c r="YJ88" s="947"/>
      <c r="YK88" s="947"/>
      <c r="YL88" s="947"/>
      <c r="YM88" s="947"/>
      <c r="YN88" s="947"/>
      <c r="YO88" s="947"/>
      <c r="YP88" s="947"/>
      <c r="YQ88" s="947"/>
      <c r="YR88" s="947"/>
      <c r="YS88" s="947"/>
      <c r="YT88" s="947"/>
      <c r="YU88" s="947"/>
      <c r="YV88" s="947"/>
      <c r="YW88" s="947"/>
      <c r="YX88" s="947"/>
      <c r="YY88" s="947"/>
      <c r="YZ88" s="947"/>
      <c r="ZA88" s="947"/>
      <c r="ZB88" s="947"/>
      <c r="ZC88" s="947"/>
      <c r="ZD88" s="947"/>
      <c r="ZE88" s="947"/>
      <c r="ZF88" s="947"/>
      <c r="ZG88" s="947"/>
      <c r="ZH88" s="947"/>
      <c r="ZI88" s="947"/>
      <c r="ZJ88" s="947"/>
      <c r="ZK88" s="947"/>
      <c r="ZL88" s="947"/>
      <c r="ZM88" s="947"/>
      <c r="ZN88" s="947"/>
      <c r="ZO88" s="947"/>
      <c r="ZP88" s="947"/>
      <c r="ZQ88" s="947"/>
      <c r="ZR88" s="947"/>
      <c r="ZS88" s="947"/>
      <c r="ZT88" s="947"/>
      <c r="ZU88" s="947"/>
      <c r="ZV88" s="947"/>
      <c r="ZW88" s="947"/>
      <c r="ZX88" s="947"/>
      <c r="ZY88" s="947"/>
      <c r="ZZ88" s="947"/>
      <c r="AAA88" s="947"/>
      <c r="AAB88" s="947"/>
      <c r="AAC88" s="947"/>
      <c r="AAD88" s="947"/>
      <c r="AAE88" s="947"/>
      <c r="AAF88" s="947"/>
      <c r="AAG88" s="947"/>
      <c r="AAH88" s="947"/>
      <c r="AAI88" s="947"/>
      <c r="AAJ88" s="947"/>
      <c r="AAK88" s="947"/>
      <c r="AAL88" s="947"/>
      <c r="AAM88" s="947"/>
      <c r="AAN88" s="947"/>
      <c r="AAO88" s="947"/>
      <c r="AAP88" s="947"/>
      <c r="AAQ88" s="947"/>
      <c r="AAR88" s="947"/>
      <c r="AAS88" s="947"/>
      <c r="AAT88" s="947"/>
      <c r="AAU88" s="947"/>
      <c r="AAV88" s="947"/>
      <c r="AAW88" s="947"/>
      <c r="AAX88" s="947"/>
      <c r="AAY88" s="947"/>
      <c r="AAZ88" s="947"/>
      <c r="ABA88" s="947"/>
      <c r="ABB88" s="947"/>
      <c r="ABC88" s="947"/>
      <c r="ABD88" s="947"/>
      <c r="ABE88" s="947"/>
      <c r="ABF88" s="947"/>
      <c r="ABG88" s="947"/>
      <c r="ABH88" s="947"/>
      <c r="ABI88" s="947"/>
      <c r="ABJ88" s="947"/>
      <c r="ABK88" s="947"/>
      <c r="ABL88" s="947"/>
      <c r="ABM88" s="947"/>
      <c r="ABN88" s="947"/>
      <c r="ABO88" s="947"/>
      <c r="ABP88" s="947"/>
      <c r="ABQ88" s="947"/>
      <c r="ABR88" s="947"/>
      <c r="ABS88" s="947"/>
      <c r="ABT88" s="947"/>
      <c r="ABU88" s="947"/>
      <c r="ABV88" s="947"/>
      <c r="ABW88" s="947"/>
      <c r="ABX88" s="947"/>
      <c r="ABY88" s="947"/>
      <c r="ABZ88" s="947"/>
      <c r="ACA88" s="947"/>
      <c r="ACB88" s="947"/>
      <c r="ACC88" s="947"/>
      <c r="ACD88" s="947"/>
      <c r="ACE88" s="947"/>
      <c r="ACF88" s="947"/>
      <c r="ACG88" s="947"/>
      <c r="ACH88" s="947"/>
      <c r="ACI88" s="947"/>
      <c r="ACJ88" s="947"/>
      <c r="ACK88" s="947"/>
      <c r="ACL88" s="947"/>
      <c r="ACM88" s="947"/>
      <c r="ACN88" s="947"/>
      <c r="ACO88" s="947"/>
      <c r="ACP88" s="947"/>
      <c r="ACQ88" s="947"/>
      <c r="ACR88" s="947"/>
      <c r="ACS88" s="947"/>
      <c r="ACT88" s="947"/>
      <c r="ACU88" s="947"/>
      <c r="ACV88" s="947"/>
      <c r="ACW88" s="947"/>
      <c r="ACX88" s="947"/>
      <c r="ACY88" s="947"/>
      <c r="ACZ88" s="947"/>
      <c r="ADA88" s="947"/>
      <c r="ADB88" s="947"/>
      <c r="ADC88" s="947"/>
      <c r="ADD88" s="947"/>
      <c r="ADE88" s="947"/>
      <c r="ADF88" s="947"/>
      <c r="ADG88" s="947"/>
      <c r="ADH88" s="947"/>
      <c r="ADI88" s="947"/>
      <c r="ADJ88" s="947"/>
      <c r="ADK88" s="947"/>
      <c r="ADL88" s="947"/>
      <c r="ADM88" s="947"/>
      <c r="ADN88" s="947"/>
      <c r="ADO88" s="947"/>
      <c r="ADP88" s="947"/>
      <c r="ADQ88" s="947"/>
      <c r="ADR88" s="947"/>
      <c r="ADS88" s="947"/>
      <c r="ADT88" s="947"/>
      <c r="ADU88" s="947"/>
      <c r="ADV88" s="947"/>
      <c r="ADW88" s="947"/>
      <c r="ADX88" s="947"/>
      <c r="ADY88" s="947"/>
      <c r="ADZ88" s="947"/>
      <c r="AEA88" s="947"/>
      <c r="AEB88" s="947"/>
      <c r="AEC88" s="947"/>
      <c r="AED88" s="947"/>
      <c r="AEE88" s="947"/>
      <c r="AEF88" s="947"/>
      <c r="AEG88" s="947"/>
      <c r="AEH88" s="947"/>
      <c r="AEI88" s="947"/>
      <c r="AEJ88" s="947"/>
      <c r="AEK88" s="947"/>
      <c r="AEL88" s="947"/>
      <c r="AEM88" s="947"/>
      <c r="AEN88" s="947"/>
      <c r="AEO88" s="947"/>
      <c r="AEP88" s="947"/>
      <c r="AEQ88" s="947"/>
      <c r="AER88" s="947"/>
      <c r="AES88" s="947"/>
      <c r="AET88" s="947"/>
      <c r="AEU88" s="947"/>
      <c r="AEV88" s="947"/>
      <c r="AEW88" s="947"/>
      <c r="AEX88" s="947"/>
      <c r="AEY88" s="947"/>
      <c r="AEZ88" s="947"/>
      <c r="AFA88" s="947"/>
      <c r="AFB88" s="947"/>
      <c r="AFC88" s="947"/>
      <c r="AFD88" s="947"/>
      <c r="AFE88" s="947"/>
      <c r="AFF88" s="947"/>
      <c r="AFG88" s="947"/>
      <c r="AFH88" s="947"/>
      <c r="AFI88" s="947"/>
      <c r="AFJ88" s="947"/>
      <c r="AFK88" s="947"/>
      <c r="AFL88" s="947"/>
      <c r="AFM88" s="947"/>
      <c r="AFN88" s="947"/>
      <c r="AFO88" s="947"/>
      <c r="AFP88" s="947"/>
      <c r="AFQ88" s="947"/>
      <c r="AFR88" s="947"/>
      <c r="AFS88" s="947"/>
      <c r="AFT88" s="947"/>
      <c r="AFU88" s="947"/>
      <c r="AFV88" s="947"/>
      <c r="AFW88" s="947"/>
      <c r="AFX88" s="947"/>
      <c r="AFY88" s="947"/>
      <c r="AFZ88" s="947"/>
      <c r="AGA88" s="947"/>
      <c r="AGB88" s="947"/>
      <c r="AGC88" s="947"/>
      <c r="AGD88" s="947"/>
      <c r="AGE88" s="947"/>
      <c r="AGF88" s="947"/>
      <c r="AGG88" s="947"/>
      <c r="AGH88" s="947"/>
      <c r="AGI88" s="947"/>
      <c r="AGJ88" s="947"/>
      <c r="AGK88" s="947"/>
      <c r="AGL88" s="947"/>
      <c r="AGM88" s="947"/>
      <c r="AGN88" s="947"/>
      <c r="AGO88" s="947"/>
      <c r="AGP88" s="947"/>
      <c r="AGQ88" s="947"/>
      <c r="AGR88" s="947"/>
      <c r="AGS88" s="947"/>
      <c r="AGT88" s="947"/>
      <c r="AGU88" s="947"/>
      <c r="AGV88" s="947"/>
      <c r="AGW88" s="947"/>
      <c r="AGX88" s="947"/>
      <c r="AGY88" s="947"/>
      <c r="AGZ88" s="947"/>
      <c r="AHA88" s="947"/>
      <c r="AHB88" s="947"/>
      <c r="AHC88" s="947"/>
      <c r="AHD88" s="947"/>
      <c r="AHE88" s="947"/>
      <c r="AHF88" s="947"/>
      <c r="AHG88" s="947"/>
      <c r="AHH88" s="947"/>
      <c r="AHI88" s="947"/>
      <c r="AHJ88" s="947"/>
      <c r="AHK88" s="947"/>
      <c r="AHL88" s="947"/>
      <c r="AHM88" s="947"/>
      <c r="AHN88" s="947"/>
      <c r="AHO88" s="947"/>
      <c r="AHP88" s="947"/>
      <c r="AHQ88" s="947"/>
      <c r="AHR88" s="947"/>
      <c r="AHS88" s="947"/>
      <c r="AHT88" s="947"/>
      <c r="AHU88" s="947"/>
      <c r="AHV88" s="947"/>
      <c r="AHW88" s="947"/>
      <c r="AHX88" s="947"/>
      <c r="AHY88" s="947"/>
      <c r="AHZ88" s="947"/>
      <c r="AIA88" s="947"/>
      <c r="AIB88" s="947"/>
      <c r="AIC88" s="947"/>
      <c r="AID88" s="947"/>
      <c r="AIE88" s="947"/>
      <c r="AIF88" s="947"/>
      <c r="AIG88" s="947"/>
      <c r="AIH88" s="947"/>
      <c r="AII88" s="947"/>
      <c r="AIJ88" s="947"/>
      <c r="AIK88" s="947"/>
      <c r="AIL88" s="947"/>
      <c r="AIM88" s="947"/>
      <c r="AIN88" s="947"/>
      <c r="AIO88" s="947"/>
      <c r="AIP88" s="947"/>
      <c r="AIQ88" s="947"/>
      <c r="AIR88" s="947"/>
      <c r="AIS88" s="947"/>
      <c r="AIT88" s="947"/>
      <c r="AIU88" s="947"/>
      <c r="AIV88" s="947"/>
      <c r="AIW88" s="947"/>
      <c r="AIX88" s="947"/>
      <c r="AIY88" s="947"/>
      <c r="AIZ88" s="947"/>
      <c r="AJA88" s="947"/>
      <c r="AJB88" s="947"/>
      <c r="AJC88" s="947"/>
      <c r="AJD88" s="947"/>
      <c r="AJE88" s="947"/>
      <c r="AJF88" s="947"/>
      <c r="AJG88" s="947"/>
      <c r="AJH88" s="947"/>
      <c r="AJI88" s="947"/>
      <c r="AJJ88" s="947"/>
      <c r="AJK88" s="947"/>
      <c r="AJL88" s="947"/>
      <c r="AJM88" s="947"/>
      <c r="AJN88" s="947"/>
      <c r="AJO88" s="947"/>
      <c r="AJP88" s="947"/>
      <c r="AJQ88" s="947"/>
      <c r="AJR88" s="947"/>
      <c r="AJS88" s="947"/>
      <c r="AJT88" s="947"/>
      <c r="AJU88" s="947"/>
      <c r="AJV88" s="947"/>
      <c r="AJW88" s="947"/>
      <c r="AJX88" s="947"/>
      <c r="AJY88" s="947"/>
      <c r="AJZ88" s="947"/>
      <c r="AKA88" s="947"/>
      <c r="AKB88" s="947"/>
      <c r="AKC88" s="947"/>
      <c r="AKD88" s="947"/>
      <c r="AKE88" s="947"/>
      <c r="AKF88" s="947"/>
      <c r="AKG88" s="947"/>
      <c r="AKH88" s="947"/>
      <c r="AKI88" s="947"/>
      <c r="AKJ88" s="947"/>
      <c r="AKK88" s="947"/>
      <c r="AKL88" s="947"/>
      <c r="AKM88" s="947"/>
      <c r="AKN88" s="947"/>
      <c r="AKO88" s="947"/>
      <c r="AKP88" s="947"/>
      <c r="AKQ88" s="947"/>
      <c r="AKR88" s="947"/>
      <c r="AKS88" s="947"/>
      <c r="AKT88" s="947"/>
      <c r="AKU88" s="947"/>
      <c r="AKV88" s="947"/>
      <c r="AKW88" s="947"/>
      <c r="AKX88" s="947"/>
      <c r="AKY88" s="947"/>
      <c r="AKZ88" s="947"/>
      <c r="ALA88" s="947"/>
      <c r="ALB88" s="947"/>
      <c r="ALC88" s="947"/>
      <c r="ALD88" s="947"/>
      <c r="ALE88" s="947"/>
      <c r="ALF88" s="947"/>
      <c r="ALG88" s="947"/>
      <c r="ALH88" s="947"/>
      <c r="ALI88" s="947"/>
      <c r="ALJ88" s="947"/>
      <c r="ALK88" s="947"/>
      <c r="ALL88" s="947"/>
      <c r="ALM88" s="947"/>
      <c r="ALN88" s="947"/>
      <c r="ALO88" s="947"/>
      <c r="ALP88" s="947"/>
      <c r="ALQ88" s="947"/>
      <c r="ALR88" s="947"/>
      <c r="ALS88" s="947"/>
      <c r="ALT88" s="947"/>
      <c r="ALU88" s="947"/>
      <c r="ALV88" s="947"/>
      <c r="ALW88" s="947"/>
      <c r="ALX88" s="947"/>
      <c r="ALY88" s="947"/>
      <c r="ALZ88" s="947"/>
      <c r="AMA88" s="947"/>
      <c r="AMB88" s="947"/>
      <c r="AMC88" s="947"/>
      <c r="AMD88" s="947"/>
      <c r="AME88" s="947"/>
      <c r="AMF88" s="947"/>
      <c r="AMG88" s="947"/>
      <c r="AMH88" s="947"/>
      <c r="AMI88" s="947"/>
      <c r="AMJ88" s="947"/>
      <c r="AMK88" s="947"/>
      <c r="AML88" s="947"/>
      <c r="AMM88" s="947"/>
      <c r="AMN88" s="947"/>
      <c r="AMO88" s="947"/>
      <c r="AMP88" s="947"/>
      <c r="AMQ88" s="947"/>
      <c r="AMR88" s="947"/>
      <c r="AMS88" s="947"/>
      <c r="AMT88" s="947"/>
      <c r="AMU88" s="947"/>
      <c r="AMV88" s="947"/>
      <c r="AMW88" s="947"/>
      <c r="AMX88" s="947"/>
      <c r="AMY88" s="947"/>
      <c r="AMZ88" s="947"/>
      <c r="ANA88" s="947"/>
      <c r="ANB88" s="947"/>
      <c r="ANC88" s="947"/>
      <c r="AND88" s="947"/>
      <c r="ANE88" s="947"/>
      <c r="ANF88" s="947"/>
      <c r="ANG88" s="947"/>
      <c r="ANH88" s="947"/>
      <c r="ANI88" s="947"/>
      <c r="ANJ88" s="947"/>
      <c r="ANK88" s="947"/>
      <c r="ANL88" s="947"/>
      <c r="ANM88" s="947"/>
      <c r="ANN88" s="947"/>
      <c r="ANO88" s="947"/>
      <c r="ANP88" s="947"/>
      <c r="ANQ88" s="947"/>
      <c r="ANR88" s="947"/>
      <c r="ANS88" s="947"/>
      <c r="ANT88" s="947"/>
      <c r="ANU88" s="947"/>
      <c r="ANV88" s="947"/>
      <c r="ANW88" s="947"/>
      <c r="ANX88" s="947"/>
      <c r="ANY88" s="947"/>
      <c r="ANZ88" s="947"/>
      <c r="AOA88" s="947"/>
      <c r="AOB88" s="947"/>
      <c r="AOC88" s="947"/>
      <c r="AOD88" s="947"/>
      <c r="AOE88" s="947"/>
      <c r="AOF88" s="947"/>
      <c r="AOG88" s="947"/>
      <c r="AOH88" s="947"/>
      <c r="AOI88" s="947"/>
      <c r="AOJ88" s="947"/>
      <c r="AOK88" s="947"/>
      <c r="AOL88" s="947"/>
      <c r="AOM88" s="947"/>
      <c r="AON88" s="947"/>
      <c r="AOO88" s="947"/>
      <c r="AOP88" s="947"/>
      <c r="AOQ88" s="947"/>
      <c r="AOR88" s="947"/>
      <c r="AOS88" s="947"/>
      <c r="AOT88" s="947"/>
      <c r="AOU88" s="947"/>
      <c r="AOV88" s="947"/>
      <c r="AOW88" s="947"/>
      <c r="AOX88" s="947"/>
      <c r="AOY88" s="947"/>
      <c r="AOZ88" s="947"/>
      <c r="APA88" s="947"/>
      <c r="APB88" s="947"/>
      <c r="APC88" s="947"/>
      <c r="APD88" s="947"/>
      <c r="APE88" s="947"/>
      <c r="APF88" s="947"/>
      <c r="APG88" s="947"/>
      <c r="APH88" s="947"/>
      <c r="API88" s="947"/>
      <c r="APJ88" s="947"/>
      <c r="APK88" s="947"/>
      <c r="APL88" s="947"/>
      <c r="APM88" s="947"/>
      <c r="APN88" s="947"/>
      <c r="APO88" s="947"/>
      <c r="APP88" s="947"/>
      <c r="APQ88" s="947"/>
      <c r="APR88" s="947"/>
      <c r="APS88" s="947"/>
      <c r="APT88" s="947"/>
      <c r="APU88" s="947"/>
      <c r="APV88" s="947"/>
      <c r="APW88" s="947"/>
      <c r="APX88" s="947"/>
      <c r="APY88" s="947"/>
      <c r="APZ88" s="947"/>
      <c r="AQA88" s="947"/>
      <c r="AQB88" s="947"/>
      <c r="AQC88" s="947"/>
      <c r="AQD88" s="947"/>
      <c r="AQE88" s="947"/>
      <c r="AQF88" s="947"/>
      <c r="AQG88" s="947"/>
      <c r="AQH88" s="947"/>
      <c r="AQI88" s="947"/>
      <c r="AQJ88" s="947"/>
      <c r="AQK88" s="947"/>
      <c r="AQL88" s="947"/>
      <c r="AQM88" s="947"/>
      <c r="AQN88" s="947"/>
      <c r="AQO88" s="947"/>
      <c r="AQP88" s="947"/>
      <c r="AQQ88" s="947"/>
      <c r="AQR88" s="947"/>
      <c r="AQS88" s="947"/>
      <c r="AQT88" s="947"/>
      <c r="AQU88" s="947"/>
      <c r="AQV88" s="947"/>
      <c r="AQW88" s="947"/>
      <c r="AQX88" s="947"/>
      <c r="AQY88" s="947"/>
      <c r="AQZ88" s="947"/>
      <c r="ARA88" s="947"/>
      <c r="ARB88" s="947"/>
      <c r="ARC88" s="947"/>
      <c r="ARD88" s="947"/>
      <c r="ARE88" s="947"/>
      <c r="ARF88" s="947"/>
      <c r="ARG88" s="947"/>
      <c r="ARH88" s="947"/>
      <c r="ARI88" s="947"/>
      <c r="ARJ88" s="947"/>
      <c r="ARK88" s="947"/>
      <c r="ARL88" s="947"/>
      <c r="ARM88" s="947"/>
      <c r="ARN88" s="947"/>
      <c r="ARO88" s="947"/>
      <c r="ARP88" s="947"/>
      <c r="ARQ88" s="947"/>
      <c r="ARR88" s="947"/>
      <c r="ARS88" s="947"/>
      <c r="ART88" s="947"/>
      <c r="ARU88" s="947"/>
      <c r="ARV88" s="947"/>
      <c r="ARW88" s="947"/>
      <c r="ARX88" s="947"/>
      <c r="ARY88" s="947"/>
      <c r="ARZ88" s="947"/>
      <c r="ASA88" s="947"/>
      <c r="ASB88" s="947"/>
      <c r="ASC88" s="947"/>
      <c r="ASD88" s="947"/>
      <c r="ASE88" s="947"/>
      <c r="ASF88" s="947"/>
      <c r="ASG88" s="947"/>
      <c r="ASH88" s="947"/>
      <c r="ASI88" s="947"/>
      <c r="ASJ88" s="947"/>
      <c r="ASK88" s="947"/>
      <c r="ASL88" s="947"/>
      <c r="ASM88" s="947"/>
      <c r="ASN88" s="947"/>
      <c r="ASO88" s="947"/>
      <c r="ASP88" s="947"/>
      <c r="ASQ88" s="947"/>
      <c r="ASR88" s="947"/>
      <c r="ASS88" s="947"/>
      <c r="AST88" s="947"/>
      <c r="ASU88" s="947"/>
      <c r="ASV88" s="947"/>
      <c r="ASW88" s="947"/>
      <c r="ASX88" s="947"/>
      <c r="ASY88" s="947"/>
      <c r="ASZ88" s="947"/>
      <c r="ATA88" s="947"/>
      <c r="ATB88" s="947"/>
      <c r="ATC88" s="947"/>
      <c r="ATD88" s="947"/>
      <c r="ATE88" s="947"/>
      <c r="ATF88" s="947"/>
      <c r="ATG88" s="947"/>
      <c r="ATH88" s="947"/>
      <c r="ATI88" s="947"/>
      <c r="ATJ88" s="947"/>
      <c r="ATK88" s="947"/>
      <c r="ATL88" s="947"/>
      <c r="ATM88" s="947"/>
      <c r="ATN88" s="947"/>
      <c r="ATO88" s="947"/>
      <c r="ATP88" s="947"/>
      <c r="ATQ88" s="947"/>
      <c r="ATR88" s="947"/>
      <c r="ATS88" s="947"/>
      <c r="ATT88" s="947"/>
      <c r="ATU88" s="947"/>
      <c r="ATV88" s="947"/>
      <c r="ATW88" s="947"/>
      <c r="ATX88" s="947"/>
      <c r="ATY88" s="947"/>
      <c r="ATZ88" s="947"/>
      <c r="AUA88" s="947"/>
      <c r="AUB88" s="947"/>
      <c r="AUC88" s="947"/>
      <c r="AUD88" s="947"/>
      <c r="AUE88" s="947"/>
      <c r="AUF88" s="947"/>
      <c r="AUG88" s="947"/>
      <c r="AUH88" s="947"/>
      <c r="AUI88" s="947"/>
      <c r="AUJ88" s="947"/>
      <c r="AUK88" s="947"/>
      <c r="AUL88" s="947"/>
      <c r="AUM88" s="947"/>
      <c r="AUN88" s="947"/>
      <c r="AUO88" s="947"/>
      <c r="AUP88" s="947"/>
      <c r="AUQ88" s="947"/>
      <c r="AUR88" s="947"/>
      <c r="AUS88" s="947"/>
      <c r="AUT88" s="947"/>
      <c r="AUU88" s="947"/>
      <c r="AUV88" s="947"/>
      <c r="AUW88" s="947"/>
      <c r="AUX88" s="947"/>
      <c r="AUY88" s="947"/>
      <c r="AUZ88" s="947"/>
      <c r="AVA88" s="947"/>
      <c r="AVB88" s="947"/>
      <c r="AVC88" s="947"/>
      <c r="AVD88" s="947"/>
      <c r="AVE88" s="947"/>
      <c r="AVF88" s="947"/>
      <c r="AVG88" s="947"/>
      <c r="AVH88" s="947"/>
      <c r="AVI88" s="947"/>
      <c r="AVJ88" s="947"/>
      <c r="AVK88" s="947"/>
      <c r="AVL88" s="947"/>
      <c r="AVM88" s="947"/>
      <c r="AVN88" s="947"/>
      <c r="AVO88" s="947"/>
      <c r="AVP88" s="947"/>
      <c r="AVQ88" s="947"/>
      <c r="AVR88" s="947"/>
      <c r="AVS88" s="947"/>
      <c r="AVT88" s="947"/>
      <c r="AVU88" s="947"/>
      <c r="AVV88" s="947"/>
      <c r="AVW88" s="947"/>
      <c r="AVX88" s="947"/>
      <c r="AVY88" s="947"/>
      <c r="AVZ88" s="947"/>
      <c r="AWA88" s="947"/>
      <c r="AWB88" s="947"/>
      <c r="AWC88" s="947"/>
      <c r="AWD88" s="947"/>
      <c r="AWE88" s="947"/>
      <c r="AWF88" s="947"/>
      <c r="AWG88" s="947"/>
      <c r="AWH88" s="947"/>
      <c r="AWI88" s="947"/>
      <c r="AWJ88" s="947"/>
      <c r="AWK88" s="947"/>
      <c r="AWL88" s="947"/>
      <c r="AWM88" s="947"/>
      <c r="AWN88" s="947"/>
      <c r="AWO88" s="947"/>
      <c r="AWP88" s="947"/>
      <c r="AWQ88" s="947"/>
      <c r="AWR88" s="947"/>
      <c r="AWS88" s="947"/>
      <c r="AWT88" s="947"/>
      <c r="AWU88" s="947"/>
      <c r="AWV88" s="947"/>
      <c r="AWW88" s="947"/>
      <c r="AWX88" s="947"/>
      <c r="AWY88" s="947"/>
      <c r="AWZ88" s="947"/>
      <c r="AXA88" s="947"/>
      <c r="AXB88" s="947"/>
      <c r="AXC88" s="947"/>
      <c r="AXD88" s="947"/>
      <c r="AXE88" s="947"/>
      <c r="AXF88" s="947"/>
      <c r="AXG88" s="947"/>
      <c r="AXH88" s="947"/>
      <c r="AXI88" s="947"/>
      <c r="AXJ88" s="947"/>
      <c r="AXK88" s="947"/>
      <c r="AXL88" s="947"/>
      <c r="AXM88" s="947"/>
      <c r="AXN88" s="947"/>
      <c r="AXO88" s="947"/>
      <c r="AXP88" s="947"/>
      <c r="AXQ88" s="947"/>
      <c r="AXR88" s="947"/>
      <c r="AXS88" s="947"/>
      <c r="AXT88" s="947"/>
      <c r="AXU88" s="947"/>
      <c r="AXV88" s="947"/>
      <c r="AXW88" s="947"/>
      <c r="AXX88" s="947"/>
      <c r="AXY88" s="947"/>
      <c r="AXZ88" s="947"/>
      <c r="AYA88" s="947"/>
      <c r="AYB88" s="947"/>
      <c r="AYC88" s="947"/>
      <c r="AYD88" s="947"/>
      <c r="AYE88" s="947"/>
      <c r="AYF88" s="947"/>
      <c r="AYG88" s="947"/>
      <c r="AYH88" s="947"/>
      <c r="AYI88" s="947"/>
      <c r="AYJ88" s="947"/>
      <c r="AYK88" s="947"/>
      <c r="AYL88" s="947"/>
      <c r="AYM88" s="947"/>
      <c r="AYN88" s="947"/>
      <c r="AYO88" s="947"/>
      <c r="AYP88" s="947"/>
      <c r="AYQ88" s="947"/>
      <c r="AYR88" s="947"/>
      <c r="AYS88" s="947"/>
      <c r="AYT88" s="947"/>
      <c r="AYU88" s="947"/>
      <c r="AYV88" s="947"/>
      <c r="AYW88" s="947"/>
      <c r="AYX88" s="947"/>
      <c r="AYY88" s="947"/>
      <c r="AYZ88" s="947"/>
      <c r="AZA88" s="947"/>
      <c r="AZB88" s="947"/>
      <c r="AZC88" s="947"/>
      <c r="AZD88" s="947"/>
      <c r="AZE88" s="947"/>
      <c r="AZF88" s="947"/>
      <c r="AZG88" s="947"/>
      <c r="AZH88" s="947"/>
      <c r="AZI88" s="947"/>
      <c r="AZJ88" s="947"/>
      <c r="AZK88" s="947"/>
      <c r="AZL88" s="947"/>
      <c r="AZM88" s="947"/>
      <c r="AZN88" s="947"/>
      <c r="AZO88" s="947"/>
      <c r="AZP88" s="947"/>
      <c r="AZQ88" s="947"/>
      <c r="AZR88" s="947"/>
      <c r="AZS88" s="947"/>
      <c r="AZT88" s="947"/>
      <c r="AZU88" s="947"/>
      <c r="AZV88" s="947"/>
      <c r="AZW88" s="947"/>
      <c r="AZX88" s="947"/>
      <c r="AZY88" s="947"/>
      <c r="AZZ88" s="947"/>
      <c r="BAA88" s="947"/>
      <c r="BAB88" s="947"/>
      <c r="BAC88" s="947"/>
      <c r="BAD88" s="947"/>
      <c r="BAE88" s="947"/>
      <c r="BAF88" s="947"/>
      <c r="BAG88" s="947"/>
      <c r="BAH88" s="947"/>
      <c r="BAI88" s="947"/>
      <c r="BAJ88" s="947"/>
      <c r="BAK88" s="947"/>
      <c r="BAL88" s="947"/>
      <c r="BAM88" s="947"/>
      <c r="BAN88" s="947"/>
      <c r="BAO88" s="947"/>
      <c r="BAP88" s="947"/>
      <c r="BAQ88" s="947"/>
      <c r="BAR88" s="947"/>
      <c r="BAS88" s="947"/>
      <c r="BAT88" s="947"/>
      <c r="BAU88" s="947"/>
      <c r="BAV88" s="947"/>
      <c r="BAW88" s="947"/>
      <c r="BAX88" s="947"/>
      <c r="BAY88" s="947"/>
      <c r="BAZ88" s="947"/>
      <c r="BBA88" s="947"/>
      <c r="BBB88" s="947"/>
      <c r="BBC88" s="947"/>
      <c r="BBD88" s="947"/>
      <c r="BBE88" s="947"/>
      <c r="BBF88" s="947"/>
      <c r="BBG88" s="947"/>
      <c r="BBH88" s="947"/>
      <c r="BBI88" s="947"/>
      <c r="BBJ88" s="947"/>
      <c r="BBK88" s="947"/>
      <c r="BBL88" s="947"/>
      <c r="BBM88" s="947"/>
      <c r="BBN88" s="947"/>
      <c r="BBO88" s="947"/>
      <c r="BBP88" s="947"/>
      <c r="BBQ88" s="947"/>
      <c r="BBR88" s="947"/>
      <c r="BBS88" s="947"/>
      <c r="BBT88" s="947"/>
      <c r="BBU88" s="947"/>
      <c r="BBV88" s="947"/>
      <c r="BBW88" s="947"/>
      <c r="BBX88" s="947"/>
      <c r="BBY88" s="947"/>
      <c r="BBZ88" s="947"/>
      <c r="BCA88" s="947"/>
      <c r="BCB88" s="947"/>
      <c r="BCC88" s="947"/>
      <c r="BCD88" s="947"/>
      <c r="BCE88" s="947"/>
      <c r="BCF88" s="947"/>
      <c r="BCG88" s="947"/>
      <c r="BCH88" s="947"/>
      <c r="BCI88" s="947"/>
      <c r="BCJ88" s="947"/>
      <c r="BCK88" s="947"/>
      <c r="BCL88" s="947"/>
      <c r="BCM88" s="947"/>
      <c r="BCN88" s="947"/>
      <c r="BCO88" s="947"/>
      <c r="BCP88" s="947"/>
      <c r="BCQ88" s="947"/>
      <c r="BCR88" s="947"/>
      <c r="BCS88" s="947"/>
      <c r="BCT88" s="947"/>
      <c r="BCU88" s="947"/>
      <c r="BCV88" s="947"/>
      <c r="BCW88" s="947"/>
      <c r="BCX88" s="947"/>
      <c r="BCY88" s="947"/>
      <c r="BCZ88" s="947"/>
      <c r="BDA88" s="947"/>
      <c r="BDB88" s="947"/>
      <c r="BDC88" s="947"/>
      <c r="BDD88" s="947"/>
      <c r="BDE88" s="947"/>
      <c r="BDF88" s="947"/>
      <c r="BDG88" s="947"/>
      <c r="BDH88" s="947"/>
      <c r="BDI88" s="947"/>
      <c r="BDJ88" s="947"/>
      <c r="BDK88" s="947"/>
      <c r="BDL88" s="947"/>
      <c r="BDM88" s="947"/>
      <c r="BDN88" s="947"/>
      <c r="BDO88" s="947"/>
      <c r="BDP88" s="947"/>
      <c r="BDQ88" s="947"/>
      <c r="BDR88" s="947"/>
      <c r="BDS88" s="947"/>
      <c r="BDT88" s="947"/>
      <c r="BDU88" s="947"/>
      <c r="BDV88" s="947"/>
      <c r="BDW88" s="947"/>
      <c r="BDX88" s="947"/>
      <c r="BDY88" s="947"/>
      <c r="BDZ88" s="947"/>
      <c r="BEA88" s="947"/>
      <c r="BEB88" s="947"/>
      <c r="BEC88" s="947"/>
      <c r="BED88" s="947"/>
      <c r="BEE88" s="947"/>
      <c r="BEF88" s="947"/>
      <c r="BEG88" s="947"/>
      <c r="BEH88" s="947"/>
      <c r="BEI88" s="947"/>
      <c r="BEJ88" s="947"/>
      <c r="BEK88" s="947"/>
      <c r="BEL88" s="947"/>
      <c r="BEM88" s="947"/>
      <c r="BEN88" s="947"/>
      <c r="BEO88" s="947"/>
      <c r="BEP88" s="947"/>
      <c r="BEQ88" s="947"/>
      <c r="BER88" s="947"/>
      <c r="BES88" s="947"/>
      <c r="BET88" s="947"/>
      <c r="BEU88" s="947"/>
      <c r="BEV88" s="947"/>
      <c r="BEW88" s="947"/>
      <c r="BEX88" s="947"/>
      <c r="BEY88" s="947"/>
      <c r="BEZ88" s="947"/>
      <c r="BFA88" s="947"/>
      <c r="BFB88" s="947"/>
      <c r="BFC88" s="947"/>
      <c r="BFD88" s="947"/>
      <c r="BFE88" s="947"/>
      <c r="BFF88" s="947"/>
      <c r="BFG88" s="947"/>
      <c r="BFH88" s="947"/>
      <c r="BFI88" s="947"/>
      <c r="BFJ88" s="947"/>
      <c r="BFK88" s="947"/>
      <c r="BFL88" s="947"/>
      <c r="BFM88" s="947"/>
      <c r="BFN88" s="947"/>
      <c r="BFO88" s="947"/>
      <c r="BFP88" s="947"/>
      <c r="BFQ88" s="947"/>
      <c r="BFR88" s="947"/>
      <c r="BFS88" s="947"/>
      <c r="BFT88" s="947"/>
      <c r="BFU88" s="947"/>
      <c r="BFV88" s="947"/>
      <c r="BFW88" s="947"/>
      <c r="BFX88" s="947"/>
      <c r="BFY88" s="947"/>
      <c r="BFZ88" s="947"/>
      <c r="BGA88" s="947"/>
      <c r="BGB88" s="947"/>
      <c r="BGC88" s="947"/>
      <c r="BGD88" s="947"/>
      <c r="BGE88" s="947"/>
      <c r="BGF88" s="947"/>
      <c r="BGG88" s="947"/>
      <c r="BGH88" s="947"/>
      <c r="BGI88" s="947"/>
      <c r="BGJ88" s="947"/>
      <c r="BGK88" s="947"/>
      <c r="BGL88" s="947"/>
      <c r="BGM88" s="947"/>
      <c r="BGN88" s="947"/>
      <c r="BGO88" s="947"/>
      <c r="BGP88" s="947"/>
      <c r="BGQ88" s="947"/>
      <c r="BGR88" s="947"/>
      <c r="BGS88" s="947"/>
      <c r="BGT88" s="947"/>
      <c r="BGU88" s="947"/>
      <c r="BGV88" s="947"/>
      <c r="BGW88" s="947"/>
      <c r="BGX88" s="947"/>
      <c r="BGY88" s="947"/>
      <c r="BGZ88" s="947"/>
      <c r="BHA88" s="947"/>
      <c r="BHB88" s="947"/>
      <c r="BHC88" s="947"/>
      <c r="BHD88" s="947"/>
      <c r="BHE88" s="947"/>
      <c r="BHF88" s="947"/>
      <c r="BHG88" s="947"/>
      <c r="BHH88" s="947"/>
      <c r="BHI88" s="947"/>
      <c r="BHJ88" s="947"/>
      <c r="BHK88" s="947"/>
      <c r="BHL88" s="947"/>
      <c r="BHM88" s="947"/>
      <c r="BHN88" s="947"/>
      <c r="BHO88" s="947"/>
      <c r="BHP88" s="947"/>
      <c r="BHQ88" s="947"/>
      <c r="BHR88" s="947"/>
      <c r="BHS88" s="947"/>
      <c r="BHT88" s="947"/>
      <c r="BHU88" s="947"/>
      <c r="BHV88" s="947"/>
      <c r="BHW88" s="947"/>
      <c r="BHX88" s="947"/>
      <c r="BHY88" s="947"/>
      <c r="BHZ88" s="947"/>
      <c r="BIA88" s="947"/>
      <c r="BIB88" s="947"/>
      <c r="BIC88" s="947"/>
      <c r="BID88" s="947"/>
      <c r="BIE88" s="947"/>
      <c r="BIF88" s="947"/>
      <c r="BIG88" s="947"/>
      <c r="BIH88" s="947"/>
      <c r="BII88" s="947"/>
      <c r="BIJ88" s="947"/>
      <c r="BIK88" s="947"/>
      <c r="BIL88" s="947"/>
      <c r="BIM88" s="947"/>
      <c r="BIN88" s="947"/>
      <c r="BIO88" s="947"/>
      <c r="BIP88" s="947"/>
      <c r="BIQ88" s="947"/>
      <c r="BIR88" s="947"/>
      <c r="BIS88" s="947"/>
      <c r="BIT88" s="947"/>
      <c r="BIU88" s="947"/>
      <c r="BIV88" s="947"/>
      <c r="BIW88" s="947"/>
      <c r="BIX88" s="947"/>
      <c r="BIY88" s="947"/>
      <c r="BIZ88" s="947"/>
      <c r="BJA88" s="947"/>
      <c r="BJB88" s="947"/>
      <c r="BJC88" s="947"/>
      <c r="BJD88" s="947"/>
      <c r="BJE88" s="947"/>
      <c r="BJF88" s="947"/>
      <c r="BJG88" s="947"/>
      <c r="BJH88" s="947"/>
      <c r="BJI88" s="947"/>
      <c r="BJJ88" s="947"/>
      <c r="BJK88" s="947"/>
      <c r="BJL88" s="947"/>
      <c r="BJM88" s="947"/>
      <c r="BJN88" s="947"/>
      <c r="BJO88" s="947"/>
      <c r="BJP88" s="947"/>
      <c r="BJQ88" s="947"/>
      <c r="BJR88" s="947"/>
      <c r="BJS88" s="947"/>
      <c r="BJT88" s="947"/>
      <c r="BJU88" s="947"/>
      <c r="BJV88" s="947"/>
      <c r="BJW88" s="947"/>
      <c r="BJX88" s="947"/>
      <c r="BJY88" s="947"/>
      <c r="BJZ88" s="947"/>
      <c r="BKA88" s="947"/>
      <c r="BKB88" s="947"/>
      <c r="BKC88" s="947"/>
      <c r="BKD88" s="947"/>
      <c r="BKE88" s="947"/>
      <c r="BKF88" s="947"/>
      <c r="BKG88" s="947"/>
      <c r="BKH88" s="947"/>
      <c r="BKI88" s="947"/>
      <c r="BKJ88" s="947"/>
      <c r="BKK88" s="947"/>
      <c r="BKL88" s="947"/>
      <c r="BKM88" s="947"/>
      <c r="BKN88" s="947"/>
      <c r="BKO88" s="947"/>
      <c r="BKP88" s="947"/>
      <c r="BKQ88" s="947"/>
      <c r="BKR88" s="947"/>
      <c r="BKS88" s="947"/>
      <c r="BKT88" s="947"/>
      <c r="BKU88" s="947"/>
      <c r="BKV88" s="947"/>
      <c r="BKW88" s="947"/>
      <c r="BKX88" s="947"/>
      <c r="BKY88" s="947"/>
      <c r="BKZ88" s="947"/>
      <c r="BLA88" s="947"/>
      <c r="BLB88" s="947"/>
      <c r="BLC88" s="947"/>
      <c r="BLD88" s="947"/>
      <c r="BLE88" s="947"/>
      <c r="BLF88" s="947"/>
      <c r="BLG88" s="947"/>
      <c r="BLH88" s="947"/>
      <c r="BLI88" s="947"/>
      <c r="BLJ88" s="947"/>
      <c r="BLK88" s="947"/>
      <c r="BLL88" s="947"/>
      <c r="BLM88" s="947"/>
      <c r="BLN88" s="947"/>
      <c r="BLO88" s="947"/>
      <c r="BLP88" s="947"/>
      <c r="BLQ88" s="947"/>
      <c r="BLR88" s="947"/>
      <c r="BLS88" s="947"/>
      <c r="BLT88" s="947"/>
      <c r="BLU88" s="947"/>
      <c r="BLV88" s="947"/>
      <c r="BLW88" s="947"/>
      <c r="BLX88" s="947"/>
      <c r="BLY88" s="947"/>
      <c r="BLZ88" s="947"/>
      <c r="BMA88" s="947"/>
      <c r="BMB88" s="947"/>
      <c r="BMC88" s="947"/>
      <c r="BMD88" s="947"/>
      <c r="BME88" s="947"/>
      <c r="BMF88" s="947"/>
      <c r="BMG88" s="947"/>
      <c r="BMH88" s="947"/>
      <c r="BMI88" s="947"/>
      <c r="BMJ88" s="947"/>
      <c r="BMK88" s="947"/>
      <c r="BML88" s="947"/>
      <c r="BMM88" s="947"/>
      <c r="BMN88" s="947"/>
      <c r="BMO88" s="947"/>
      <c r="BMP88" s="947"/>
      <c r="BMQ88" s="947"/>
      <c r="BMR88" s="947"/>
      <c r="BMS88" s="947"/>
      <c r="BMT88" s="947"/>
      <c r="BMU88" s="947"/>
      <c r="BMV88" s="947"/>
      <c r="BMW88" s="947"/>
      <c r="BMX88" s="947"/>
      <c r="BMY88" s="947"/>
      <c r="BMZ88" s="947"/>
      <c r="BNA88" s="947"/>
      <c r="BNB88" s="947"/>
      <c r="BNC88" s="947"/>
      <c r="BND88" s="947"/>
      <c r="BNE88" s="947"/>
      <c r="BNF88" s="947"/>
      <c r="BNG88" s="947"/>
      <c r="BNH88" s="947"/>
      <c r="BNI88" s="947"/>
      <c r="BNJ88" s="947"/>
      <c r="BNK88" s="947"/>
      <c r="BNL88" s="947"/>
      <c r="BNM88" s="947"/>
      <c r="BNN88" s="947"/>
      <c r="BNO88" s="947"/>
      <c r="BNP88" s="947"/>
      <c r="BNQ88" s="947"/>
      <c r="BNR88" s="947"/>
      <c r="BNS88" s="947"/>
      <c r="BNT88" s="947"/>
      <c r="BNU88" s="947"/>
      <c r="BNV88" s="947"/>
      <c r="BNW88" s="947"/>
      <c r="BNX88" s="947"/>
      <c r="BNY88" s="947"/>
      <c r="BNZ88" s="947"/>
      <c r="BOA88" s="947"/>
      <c r="BOB88" s="947"/>
      <c r="BOC88" s="947"/>
      <c r="BOD88" s="947"/>
      <c r="BOE88" s="947"/>
      <c r="BOF88" s="947"/>
      <c r="BOG88" s="947"/>
      <c r="BOH88" s="947"/>
      <c r="BOI88" s="947"/>
      <c r="BOJ88" s="947"/>
      <c r="BOK88" s="947"/>
      <c r="BOL88" s="947"/>
      <c r="BOM88" s="947"/>
      <c r="BON88" s="947"/>
      <c r="BOO88" s="947"/>
      <c r="BOP88" s="947"/>
      <c r="BOQ88" s="947"/>
      <c r="BOR88" s="947"/>
      <c r="BOS88" s="947"/>
      <c r="BOT88" s="947"/>
      <c r="BOU88" s="947"/>
      <c r="BOV88" s="947"/>
      <c r="BOW88" s="947"/>
      <c r="BOX88" s="947"/>
      <c r="BOY88" s="947"/>
      <c r="BOZ88" s="947"/>
      <c r="BPA88" s="947"/>
      <c r="BPB88" s="947"/>
      <c r="BPC88" s="947"/>
      <c r="BPD88" s="947"/>
      <c r="BPE88" s="947"/>
      <c r="BPF88" s="947"/>
      <c r="BPG88" s="947"/>
      <c r="BPH88" s="947"/>
      <c r="BPI88" s="947"/>
      <c r="BPJ88" s="947"/>
      <c r="BPK88" s="947"/>
      <c r="BPL88" s="947"/>
      <c r="BPM88" s="947"/>
      <c r="BPN88" s="947"/>
      <c r="BPO88" s="947"/>
      <c r="BPP88" s="947"/>
      <c r="BPQ88" s="947"/>
      <c r="BPR88" s="947"/>
      <c r="BPS88" s="947"/>
      <c r="BPT88" s="947"/>
      <c r="BPU88" s="947"/>
      <c r="BPV88" s="947"/>
      <c r="BPW88" s="947"/>
      <c r="BPX88" s="947"/>
      <c r="BPY88" s="947"/>
      <c r="BPZ88" s="947"/>
      <c r="BQA88" s="947"/>
      <c r="BQB88" s="947"/>
      <c r="BQC88" s="947"/>
      <c r="BQD88" s="947"/>
      <c r="BQE88" s="947"/>
      <c r="BQF88" s="947"/>
      <c r="BQG88" s="947"/>
      <c r="BQH88" s="947"/>
      <c r="BQI88" s="947"/>
      <c r="BQJ88" s="947"/>
      <c r="BQK88" s="947"/>
      <c r="BQL88" s="947"/>
      <c r="BQM88" s="947"/>
      <c r="BQN88" s="947"/>
      <c r="BQO88" s="947"/>
      <c r="BQP88" s="947"/>
      <c r="BQQ88" s="947"/>
      <c r="BQR88" s="947"/>
      <c r="BQS88" s="947"/>
      <c r="BQT88" s="947"/>
      <c r="BQU88" s="947"/>
      <c r="BQV88" s="947"/>
      <c r="BQW88" s="947"/>
      <c r="BQX88" s="947"/>
      <c r="BQY88" s="947"/>
      <c r="BQZ88" s="947"/>
      <c r="BRA88" s="947"/>
      <c r="BRB88" s="947"/>
      <c r="BRC88" s="947"/>
      <c r="BRD88" s="947"/>
      <c r="BRE88" s="947"/>
      <c r="BRF88" s="947"/>
      <c r="BRG88" s="947"/>
      <c r="BRH88" s="947"/>
      <c r="BRI88" s="947"/>
      <c r="BRJ88" s="947"/>
      <c r="BRK88" s="947"/>
      <c r="BRL88" s="947"/>
      <c r="BRM88" s="947"/>
      <c r="BRN88" s="947"/>
      <c r="BRO88" s="947"/>
      <c r="BRP88" s="947"/>
      <c r="BRQ88" s="947"/>
      <c r="BRR88" s="947"/>
      <c r="BRS88" s="947"/>
      <c r="BRT88" s="947"/>
      <c r="BRU88" s="947"/>
      <c r="BRV88" s="947"/>
      <c r="BRW88" s="947"/>
      <c r="BRX88" s="947"/>
      <c r="BRY88" s="947"/>
      <c r="BRZ88" s="947"/>
      <c r="BSA88" s="947"/>
      <c r="BSB88" s="947"/>
      <c r="BSC88" s="947"/>
      <c r="BSD88" s="947"/>
      <c r="BSE88" s="947"/>
      <c r="BSF88" s="947"/>
      <c r="BSG88" s="947"/>
      <c r="BSH88" s="947"/>
      <c r="BSI88" s="947"/>
      <c r="BSJ88" s="947"/>
      <c r="BSK88" s="947"/>
      <c r="BSL88" s="947"/>
      <c r="BSM88" s="947"/>
      <c r="BSN88" s="947"/>
      <c r="BSO88" s="947"/>
      <c r="BSP88" s="947"/>
      <c r="BSQ88" s="947"/>
      <c r="BSR88" s="947"/>
      <c r="BSS88" s="947"/>
      <c r="BST88" s="947"/>
      <c r="BSU88" s="947"/>
      <c r="BSV88" s="947"/>
      <c r="BSW88" s="947"/>
      <c r="BSX88" s="947"/>
      <c r="BSY88" s="947"/>
      <c r="BSZ88" s="947"/>
      <c r="BTA88" s="947"/>
      <c r="BTB88" s="947"/>
      <c r="BTC88" s="947"/>
      <c r="BTD88" s="947"/>
      <c r="BTE88" s="947"/>
      <c r="BTF88" s="947"/>
      <c r="BTG88" s="947"/>
      <c r="BTH88" s="947"/>
      <c r="BTI88" s="947"/>
      <c r="BTJ88" s="947"/>
      <c r="BTK88" s="947"/>
      <c r="BTL88" s="947"/>
      <c r="BTM88" s="947"/>
      <c r="BTN88" s="947"/>
      <c r="BTO88" s="947"/>
      <c r="BTP88" s="947"/>
      <c r="BTQ88" s="947"/>
      <c r="BTR88" s="947"/>
      <c r="BTS88" s="947"/>
      <c r="BTT88" s="947"/>
      <c r="BTU88" s="947"/>
      <c r="BTV88" s="947"/>
      <c r="BTW88" s="947"/>
      <c r="BTX88" s="947"/>
      <c r="BTY88" s="947"/>
      <c r="BTZ88" s="947"/>
      <c r="BUA88" s="947"/>
      <c r="BUB88" s="947"/>
      <c r="BUC88" s="947"/>
      <c r="BUD88" s="947"/>
      <c r="BUE88" s="947"/>
      <c r="BUF88" s="947"/>
      <c r="BUG88" s="947"/>
      <c r="BUH88" s="947"/>
      <c r="BUI88" s="947"/>
      <c r="BUJ88" s="947"/>
      <c r="BUK88" s="947"/>
      <c r="BUL88" s="947"/>
      <c r="BUM88" s="947"/>
      <c r="BUN88" s="947"/>
      <c r="BUO88" s="947"/>
      <c r="BUP88" s="947"/>
      <c r="BUQ88" s="947"/>
      <c r="BUR88" s="947"/>
      <c r="BUS88" s="947"/>
      <c r="BUT88" s="947"/>
      <c r="BUU88" s="947"/>
      <c r="BUV88" s="947"/>
      <c r="BUW88" s="947"/>
      <c r="BUX88" s="947"/>
      <c r="BUY88" s="947"/>
      <c r="BUZ88" s="947"/>
      <c r="BVA88" s="947"/>
      <c r="BVB88" s="947"/>
      <c r="BVC88" s="947"/>
      <c r="BVD88" s="947"/>
      <c r="BVE88" s="947"/>
      <c r="BVF88" s="947"/>
      <c r="BVG88" s="947"/>
      <c r="BVH88" s="947"/>
      <c r="BVI88" s="947"/>
      <c r="BVJ88" s="947"/>
      <c r="BVK88" s="947"/>
      <c r="BVL88" s="947"/>
      <c r="BVM88" s="947"/>
      <c r="BVN88" s="947"/>
      <c r="BVO88" s="947"/>
      <c r="BVP88" s="947"/>
      <c r="BVQ88" s="947"/>
      <c r="BVR88" s="947"/>
      <c r="BVS88" s="947"/>
      <c r="BVT88" s="947"/>
      <c r="BVU88" s="947"/>
      <c r="BVV88" s="947"/>
      <c r="BVW88" s="947"/>
      <c r="BVX88" s="947"/>
      <c r="BVY88" s="947"/>
      <c r="BVZ88" s="947"/>
      <c r="BWA88" s="947"/>
      <c r="BWB88" s="947"/>
      <c r="BWC88" s="947"/>
      <c r="BWD88" s="947"/>
      <c r="BWE88" s="947"/>
      <c r="BWF88" s="947"/>
      <c r="BWG88" s="947"/>
      <c r="BWH88" s="947"/>
      <c r="BWI88" s="947"/>
      <c r="BWJ88" s="947"/>
      <c r="BWK88" s="947"/>
      <c r="BWL88" s="947"/>
      <c r="BWM88" s="947"/>
      <c r="BWN88" s="947"/>
      <c r="BWO88" s="947"/>
      <c r="BWP88" s="947"/>
      <c r="BWQ88" s="947"/>
      <c r="BWR88" s="947"/>
      <c r="BWS88" s="947"/>
      <c r="BWT88" s="947"/>
      <c r="BWU88" s="947"/>
      <c r="BWV88" s="947"/>
      <c r="BWW88" s="947"/>
      <c r="BWX88" s="947"/>
      <c r="BWY88" s="947"/>
      <c r="BWZ88" s="947"/>
      <c r="BXA88" s="947"/>
      <c r="BXB88" s="947"/>
      <c r="BXC88" s="947"/>
      <c r="BXD88" s="947"/>
      <c r="BXE88" s="947"/>
      <c r="BXF88" s="947"/>
      <c r="BXG88" s="947"/>
      <c r="BXH88" s="947"/>
      <c r="BXI88" s="947"/>
      <c r="BXJ88" s="947"/>
      <c r="BXK88" s="947"/>
      <c r="BXL88" s="947"/>
      <c r="BXM88" s="947"/>
      <c r="BXN88" s="947"/>
      <c r="BXO88" s="947"/>
      <c r="BXP88" s="947"/>
      <c r="BXQ88" s="947"/>
      <c r="BXR88" s="947"/>
      <c r="BXS88" s="947"/>
      <c r="BXT88" s="947"/>
      <c r="BXU88" s="947"/>
      <c r="BXV88" s="947"/>
      <c r="BXW88" s="947"/>
      <c r="BXX88" s="947"/>
      <c r="BXY88" s="947"/>
      <c r="BXZ88" s="947"/>
      <c r="BYA88" s="947"/>
      <c r="BYB88" s="947"/>
      <c r="BYC88" s="947"/>
      <c r="BYD88" s="947"/>
      <c r="BYE88" s="947"/>
      <c r="BYF88" s="947"/>
      <c r="BYG88" s="947"/>
      <c r="BYH88" s="947"/>
      <c r="BYI88" s="947"/>
      <c r="BYJ88" s="947"/>
      <c r="BYK88" s="947"/>
      <c r="BYL88" s="947"/>
      <c r="BYM88" s="947"/>
      <c r="BYN88" s="947"/>
      <c r="BYO88" s="947"/>
      <c r="BYP88" s="947"/>
      <c r="BYQ88" s="947"/>
      <c r="BYR88" s="947"/>
      <c r="BYS88" s="947"/>
      <c r="BYT88" s="947"/>
      <c r="BYU88" s="947"/>
      <c r="BYV88" s="947"/>
      <c r="BYW88" s="947"/>
      <c r="BYX88" s="947"/>
      <c r="BYY88" s="947"/>
      <c r="BYZ88" s="947"/>
      <c r="BZA88" s="947"/>
      <c r="BZB88" s="947"/>
      <c r="BZC88" s="947"/>
      <c r="BZD88" s="947"/>
      <c r="BZE88" s="947"/>
      <c r="BZF88" s="947"/>
      <c r="BZG88" s="947"/>
      <c r="BZH88" s="947"/>
      <c r="BZI88" s="947"/>
      <c r="BZJ88" s="947"/>
      <c r="BZK88" s="947"/>
      <c r="BZL88" s="947"/>
      <c r="BZM88" s="947"/>
      <c r="BZN88" s="947"/>
      <c r="BZO88" s="947"/>
      <c r="BZP88" s="947"/>
      <c r="BZQ88" s="947"/>
      <c r="BZR88" s="947"/>
      <c r="BZS88" s="947"/>
      <c r="BZT88" s="947"/>
      <c r="BZU88" s="947"/>
      <c r="BZV88" s="947"/>
      <c r="BZW88" s="947"/>
      <c r="BZX88" s="947"/>
      <c r="BZY88" s="947"/>
      <c r="BZZ88" s="947"/>
      <c r="CAA88" s="947"/>
      <c r="CAB88" s="947"/>
      <c r="CAC88" s="947"/>
      <c r="CAD88" s="947"/>
      <c r="CAE88" s="947"/>
      <c r="CAF88" s="947"/>
      <c r="CAG88" s="947"/>
      <c r="CAH88" s="947"/>
      <c r="CAI88" s="947"/>
      <c r="CAJ88" s="947"/>
      <c r="CAK88" s="947"/>
      <c r="CAL88" s="947"/>
      <c r="CAM88" s="947"/>
      <c r="CAN88" s="947"/>
      <c r="CAO88" s="947"/>
      <c r="CAP88" s="947"/>
      <c r="CAQ88" s="947"/>
      <c r="CAR88" s="947"/>
      <c r="CAS88" s="947"/>
      <c r="CAT88" s="947"/>
      <c r="CAU88" s="947"/>
      <c r="CAV88" s="947"/>
      <c r="CAW88" s="947"/>
      <c r="CAX88" s="947"/>
      <c r="CAY88" s="947"/>
      <c r="CAZ88" s="947"/>
      <c r="CBA88" s="947"/>
      <c r="CBB88" s="947"/>
      <c r="CBC88" s="947"/>
      <c r="CBD88" s="947"/>
      <c r="CBE88" s="947"/>
      <c r="CBF88" s="947"/>
      <c r="CBG88" s="947"/>
      <c r="CBH88" s="947"/>
      <c r="CBI88" s="947"/>
      <c r="CBJ88" s="947"/>
      <c r="CBK88" s="947"/>
      <c r="CBL88" s="947"/>
      <c r="CBM88" s="947"/>
      <c r="CBN88" s="947"/>
      <c r="CBO88" s="947"/>
      <c r="CBP88" s="947"/>
      <c r="CBQ88" s="947"/>
      <c r="CBR88" s="947"/>
      <c r="CBS88" s="947"/>
      <c r="CBT88" s="947"/>
      <c r="CBU88" s="947"/>
      <c r="CBV88" s="947"/>
      <c r="CBW88" s="947"/>
      <c r="CBX88" s="947"/>
      <c r="CBY88" s="947"/>
      <c r="CBZ88" s="947"/>
      <c r="CCA88" s="947"/>
      <c r="CCB88" s="947"/>
      <c r="CCC88" s="947"/>
      <c r="CCD88" s="947"/>
      <c r="CCE88" s="947"/>
      <c r="CCF88" s="947"/>
      <c r="CCG88" s="947"/>
      <c r="CCH88" s="947"/>
      <c r="CCI88" s="947"/>
      <c r="CCJ88" s="947"/>
      <c r="CCK88" s="947"/>
      <c r="CCL88" s="947"/>
      <c r="CCM88" s="947"/>
      <c r="CCN88" s="947"/>
      <c r="CCO88" s="947"/>
      <c r="CCP88" s="947"/>
      <c r="CCQ88" s="947"/>
      <c r="CCR88" s="947"/>
      <c r="CCS88" s="947"/>
      <c r="CCT88" s="947"/>
      <c r="CCU88" s="947"/>
      <c r="CCV88" s="947"/>
      <c r="CCW88" s="947"/>
      <c r="CCX88" s="947"/>
      <c r="CCY88" s="947"/>
      <c r="CCZ88" s="947"/>
      <c r="CDA88" s="947"/>
      <c r="CDB88" s="947"/>
      <c r="CDC88" s="947"/>
      <c r="CDD88" s="947"/>
      <c r="CDE88" s="947"/>
      <c r="CDF88" s="947"/>
      <c r="CDG88" s="947"/>
      <c r="CDH88" s="947"/>
      <c r="CDI88" s="947"/>
      <c r="CDJ88" s="947"/>
      <c r="CDK88" s="947"/>
      <c r="CDL88" s="947"/>
      <c r="CDM88" s="947"/>
      <c r="CDN88" s="947"/>
      <c r="CDO88" s="947"/>
      <c r="CDP88" s="947"/>
      <c r="CDQ88" s="947"/>
      <c r="CDR88" s="947"/>
      <c r="CDS88" s="947"/>
      <c r="CDT88" s="947"/>
      <c r="CDU88" s="947"/>
      <c r="CDV88" s="947"/>
      <c r="CDW88" s="947"/>
      <c r="CDX88" s="947"/>
      <c r="CDY88" s="947"/>
      <c r="CDZ88" s="947"/>
      <c r="CEA88" s="947"/>
      <c r="CEB88" s="947"/>
      <c r="CEC88" s="947"/>
      <c r="CED88" s="947"/>
      <c r="CEE88" s="947"/>
      <c r="CEF88" s="947"/>
      <c r="CEG88" s="947"/>
      <c r="CEH88" s="947"/>
      <c r="CEI88" s="947"/>
      <c r="CEJ88" s="947"/>
      <c r="CEK88" s="947"/>
      <c r="CEL88" s="947"/>
      <c r="CEM88" s="947"/>
      <c r="CEN88" s="947"/>
      <c r="CEO88" s="947"/>
      <c r="CEP88" s="947"/>
      <c r="CEQ88" s="947"/>
      <c r="CER88" s="947"/>
      <c r="CES88" s="947"/>
      <c r="CET88" s="947"/>
      <c r="CEU88" s="947"/>
      <c r="CEV88" s="947"/>
      <c r="CEW88" s="947"/>
      <c r="CEX88" s="947"/>
      <c r="CEY88" s="947"/>
      <c r="CEZ88" s="947"/>
      <c r="CFA88" s="947"/>
      <c r="CFB88" s="947"/>
      <c r="CFC88" s="947"/>
      <c r="CFD88" s="947"/>
      <c r="CFE88" s="947"/>
      <c r="CFF88" s="947"/>
      <c r="CFG88" s="947"/>
      <c r="CFH88" s="947"/>
      <c r="CFI88" s="947"/>
      <c r="CFJ88" s="947"/>
      <c r="CFK88" s="947"/>
      <c r="CFL88" s="947"/>
      <c r="CFM88" s="947"/>
      <c r="CFN88" s="947"/>
      <c r="CFO88" s="947"/>
      <c r="CFP88" s="947"/>
      <c r="CFQ88" s="947"/>
      <c r="CFR88" s="947"/>
      <c r="CFS88" s="947"/>
      <c r="CFT88" s="947"/>
      <c r="CFU88" s="947"/>
      <c r="CFV88" s="947"/>
      <c r="CFW88" s="947"/>
      <c r="CFX88" s="947"/>
      <c r="CFY88" s="947"/>
      <c r="CFZ88" s="947"/>
      <c r="CGA88" s="947"/>
      <c r="CGB88" s="947"/>
      <c r="CGC88" s="947"/>
      <c r="CGD88" s="947"/>
      <c r="CGE88" s="947"/>
      <c r="CGF88" s="947"/>
      <c r="CGG88" s="947"/>
      <c r="CGH88" s="947"/>
      <c r="CGI88" s="947"/>
      <c r="CGJ88" s="947"/>
      <c r="CGK88" s="947"/>
      <c r="CGL88" s="947"/>
      <c r="CGM88" s="947"/>
      <c r="CGN88" s="947"/>
      <c r="CGO88" s="947"/>
      <c r="CGP88" s="947"/>
      <c r="CGQ88" s="947"/>
      <c r="CGR88" s="947"/>
      <c r="CGS88" s="947"/>
      <c r="CGT88" s="947"/>
      <c r="CGU88" s="947"/>
      <c r="CGV88" s="947"/>
      <c r="CGW88" s="947"/>
      <c r="CGX88" s="947"/>
      <c r="CGY88" s="947"/>
      <c r="CGZ88" s="947"/>
      <c r="CHA88" s="947"/>
      <c r="CHB88" s="947"/>
      <c r="CHC88" s="947"/>
      <c r="CHD88" s="947"/>
      <c r="CHE88" s="947"/>
      <c r="CHF88" s="947"/>
      <c r="CHG88" s="947"/>
      <c r="CHH88" s="947"/>
      <c r="CHI88" s="947"/>
      <c r="CHJ88" s="947"/>
      <c r="CHK88" s="947"/>
      <c r="CHL88" s="947"/>
      <c r="CHM88" s="947"/>
      <c r="CHN88" s="947"/>
      <c r="CHO88" s="947"/>
      <c r="CHP88" s="947"/>
      <c r="CHQ88" s="947"/>
      <c r="CHR88" s="947"/>
      <c r="CHS88" s="947"/>
      <c r="CHT88" s="947"/>
      <c r="CHU88" s="947"/>
      <c r="CHV88" s="947"/>
      <c r="CHW88" s="947"/>
      <c r="CHX88" s="947"/>
      <c r="CHY88" s="947"/>
      <c r="CHZ88" s="947"/>
      <c r="CIA88" s="947"/>
      <c r="CIB88" s="947"/>
      <c r="CIC88" s="947"/>
      <c r="CID88" s="947"/>
      <c r="CIE88" s="947"/>
      <c r="CIF88" s="947"/>
      <c r="CIG88" s="947"/>
      <c r="CIH88" s="947"/>
      <c r="CII88" s="947"/>
      <c r="CIJ88" s="947"/>
      <c r="CIK88" s="947"/>
      <c r="CIL88" s="947"/>
      <c r="CIM88" s="947"/>
      <c r="CIN88" s="947"/>
      <c r="CIO88" s="947"/>
      <c r="CIP88" s="947"/>
      <c r="CIQ88" s="947"/>
      <c r="CIR88" s="947"/>
      <c r="CIS88" s="947"/>
      <c r="CIT88" s="947"/>
      <c r="CIU88" s="947"/>
      <c r="CIV88" s="947"/>
      <c r="CIW88" s="947"/>
      <c r="CIX88" s="947"/>
      <c r="CIY88" s="947"/>
      <c r="CIZ88" s="947"/>
      <c r="CJA88" s="947"/>
      <c r="CJB88" s="947"/>
      <c r="CJC88" s="947"/>
      <c r="CJD88" s="947"/>
      <c r="CJE88" s="947"/>
      <c r="CJF88" s="947"/>
      <c r="CJG88" s="947"/>
      <c r="CJH88" s="947"/>
      <c r="CJI88" s="947"/>
      <c r="CJJ88" s="947"/>
      <c r="CJK88" s="947"/>
      <c r="CJL88" s="947"/>
      <c r="CJM88" s="947"/>
      <c r="CJN88" s="947"/>
      <c r="CJO88" s="947"/>
      <c r="CJP88" s="947"/>
      <c r="CJQ88" s="947"/>
      <c r="CJR88" s="947"/>
      <c r="CJS88" s="947"/>
      <c r="CJT88" s="947"/>
      <c r="CJU88" s="947"/>
      <c r="CJV88" s="947"/>
      <c r="CJW88" s="947"/>
      <c r="CJX88" s="947"/>
      <c r="CJY88" s="947"/>
      <c r="CJZ88" s="947"/>
      <c r="CKA88" s="947"/>
      <c r="CKB88" s="947"/>
      <c r="CKC88" s="947"/>
      <c r="CKD88" s="947"/>
      <c r="CKE88" s="947"/>
      <c r="CKF88" s="947"/>
      <c r="CKG88" s="947"/>
      <c r="CKH88" s="947"/>
      <c r="CKI88" s="947"/>
      <c r="CKJ88" s="947"/>
      <c r="CKK88" s="947"/>
      <c r="CKL88" s="947"/>
      <c r="CKM88" s="947"/>
      <c r="CKN88" s="947"/>
      <c r="CKO88" s="947"/>
      <c r="CKP88" s="947"/>
      <c r="CKQ88" s="947"/>
      <c r="CKR88" s="947"/>
      <c r="CKS88" s="947"/>
      <c r="CKT88" s="947"/>
      <c r="CKU88" s="947"/>
      <c r="CKV88" s="947"/>
      <c r="CKW88" s="947"/>
      <c r="CKX88" s="947"/>
      <c r="CKY88" s="947"/>
      <c r="CKZ88" s="947"/>
      <c r="CLA88" s="947"/>
      <c r="CLB88" s="947"/>
      <c r="CLC88" s="947"/>
      <c r="CLD88" s="947"/>
      <c r="CLE88" s="947"/>
      <c r="CLF88" s="947"/>
      <c r="CLG88" s="947"/>
      <c r="CLH88" s="947"/>
      <c r="CLI88" s="947"/>
      <c r="CLJ88" s="947"/>
      <c r="CLK88" s="947"/>
      <c r="CLL88" s="947"/>
      <c r="CLM88" s="947"/>
      <c r="CLN88" s="947"/>
      <c r="CLO88" s="947"/>
      <c r="CLP88" s="947"/>
      <c r="CLQ88" s="947"/>
      <c r="CLR88" s="947"/>
      <c r="CLS88" s="947"/>
      <c r="CLT88" s="947"/>
      <c r="CLU88" s="947"/>
      <c r="CLV88" s="947"/>
      <c r="CLW88" s="947"/>
      <c r="CLX88" s="947"/>
      <c r="CLY88" s="947"/>
      <c r="CLZ88" s="947"/>
      <c r="CMA88" s="947"/>
      <c r="CMB88" s="947"/>
      <c r="CMC88" s="947"/>
      <c r="CMD88" s="947"/>
      <c r="CME88" s="947"/>
      <c r="CMF88" s="947"/>
      <c r="CMG88" s="947"/>
      <c r="CMH88" s="947"/>
      <c r="CMI88" s="947"/>
      <c r="CMJ88" s="947"/>
      <c r="CMK88" s="947"/>
      <c r="CML88" s="947"/>
      <c r="CMM88" s="947"/>
      <c r="CMN88" s="947"/>
      <c r="CMO88" s="947"/>
      <c r="CMP88" s="947"/>
      <c r="CMQ88" s="947"/>
      <c r="CMR88" s="947"/>
      <c r="CMS88" s="947"/>
      <c r="CMT88" s="947"/>
      <c r="CMU88" s="947"/>
      <c r="CMV88" s="947"/>
      <c r="CMW88" s="947"/>
      <c r="CMX88" s="947"/>
      <c r="CMY88" s="947"/>
      <c r="CMZ88" s="947"/>
      <c r="CNA88" s="947"/>
      <c r="CNB88" s="947"/>
      <c r="CNC88" s="947"/>
      <c r="CND88" s="947"/>
      <c r="CNE88" s="947"/>
      <c r="CNF88" s="947"/>
      <c r="CNG88" s="947"/>
      <c r="CNH88" s="947"/>
      <c r="CNI88" s="947"/>
      <c r="CNJ88" s="947"/>
      <c r="CNK88" s="947"/>
      <c r="CNL88" s="947"/>
      <c r="CNM88" s="947"/>
      <c r="CNN88" s="947"/>
      <c r="CNO88" s="947"/>
      <c r="CNP88" s="947"/>
      <c r="CNQ88" s="947"/>
      <c r="CNR88" s="947"/>
      <c r="CNS88" s="947"/>
      <c r="CNT88" s="947"/>
      <c r="CNU88" s="947"/>
      <c r="CNV88" s="947"/>
      <c r="CNW88" s="947"/>
      <c r="CNX88" s="947"/>
      <c r="CNY88" s="947"/>
      <c r="CNZ88" s="947"/>
      <c r="COA88" s="947"/>
      <c r="COB88" s="947"/>
      <c r="COC88" s="947"/>
      <c r="COD88" s="947"/>
      <c r="COE88" s="947"/>
      <c r="COF88" s="947"/>
      <c r="COG88" s="947"/>
      <c r="COH88" s="947"/>
      <c r="COI88" s="947"/>
      <c r="COJ88" s="947"/>
      <c r="COK88" s="947"/>
      <c r="COL88" s="947"/>
      <c r="COM88" s="947"/>
      <c r="CON88" s="947"/>
      <c r="COO88" s="947"/>
      <c r="COP88" s="947"/>
      <c r="COQ88" s="947"/>
      <c r="COR88" s="947"/>
      <c r="COS88" s="947"/>
      <c r="COT88" s="947"/>
      <c r="COU88" s="947"/>
      <c r="COV88" s="947"/>
      <c r="COW88" s="947"/>
      <c r="COX88" s="947"/>
      <c r="COY88" s="947"/>
      <c r="COZ88" s="947"/>
      <c r="CPA88" s="947"/>
      <c r="CPB88" s="947"/>
      <c r="CPC88" s="947"/>
      <c r="CPD88" s="947"/>
      <c r="CPE88" s="947"/>
      <c r="CPF88" s="947"/>
      <c r="CPG88" s="947"/>
      <c r="CPH88" s="947"/>
      <c r="CPI88" s="947"/>
      <c r="CPJ88" s="947"/>
      <c r="CPK88" s="947"/>
      <c r="CPL88" s="947"/>
      <c r="CPM88" s="947"/>
      <c r="CPN88" s="947"/>
      <c r="CPO88" s="947"/>
      <c r="CPP88" s="947"/>
      <c r="CPQ88" s="947"/>
      <c r="CPR88" s="947"/>
      <c r="CPS88" s="947"/>
      <c r="CPT88" s="947"/>
      <c r="CPU88" s="947"/>
      <c r="CPV88" s="947"/>
      <c r="CPW88" s="947"/>
      <c r="CPX88" s="947"/>
      <c r="CPY88" s="947"/>
      <c r="CPZ88" s="947"/>
      <c r="CQA88" s="947"/>
      <c r="CQB88" s="947"/>
      <c r="CQC88" s="947"/>
      <c r="CQD88" s="947"/>
      <c r="CQE88" s="947"/>
      <c r="CQF88" s="947"/>
      <c r="CQG88" s="947"/>
      <c r="CQH88" s="947"/>
      <c r="CQI88" s="947"/>
      <c r="CQJ88" s="947"/>
      <c r="CQK88" s="947"/>
      <c r="CQL88" s="947"/>
      <c r="CQM88" s="947"/>
      <c r="CQN88" s="947"/>
      <c r="CQO88" s="947"/>
      <c r="CQP88" s="947"/>
      <c r="CQQ88" s="947"/>
      <c r="CQR88" s="947"/>
      <c r="CQS88" s="947"/>
      <c r="CQT88" s="947"/>
      <c r="CQU88" s="947"/>
      <c r="CQV88" s="947"/>
      <c r="CQW88" s="947"/>
      <c r="CQX88" s="947"/>
      <c r="CQY88" s="947"/>
      <c r="CQZ88" s="947"/>
      <c r="CRA88" s="947"/>
      <c r="CRB88" s="947"/>
      <c r="CRC88" s="947"/>
      <c r="CRD88" s="947"/>
      <c r="CRE88" s="947"/>
      <c r="CRF88" s="947"/>
      <c r="CRG88" s="947"/>
      <c r="CRH88" s="947"/>
      <c r="CRI88" s="947"/>
      <c r="CRJ88" s="947"/>
      <c r="CRK88" s="947"/>
      <c r="CRL88" s="947"/>
      <c r="CRM88" s="947"/>
      <c r="CRN88" s="947"/>
      <c r="CRO88" s="947"/>
      <c r="CRP88" s="947"/>
      <c r="CRQ88" s="947"/>
      <c r="CRR88" s="947"/>
      <c r="CRS88" s="947"/>
      <c r="CRT88" s="947"/>
      <c r="CRU88" s="947"/>
      <c r="CRV88" s="947"/>
      <c r="CRW88" s="947"/>
      <c r="CRX88" s="947"/>
      <c r="CRY88" s="947"/>
      <c r="CRZ88" s="947"/>
      <c r="CSA88" s="947"/>
      <c r="CSB88" s="947"/>
      <c r="CSC88" s="947"/>
      <c r="CSD88" s="947"/>
      <c r="CSE88" s="947"/>
      <c r="CSF88" s="947"/>
      <c r="CSG88" s="947"/>
      <c r="CSH88" s="947"/>
      <c r="CSI88" s="947"/>
      <c r="CSJ88" s="947"/>
      <c r="CSK88" s="947"/>
      <c r="CSL88" s="947"/>
      <c r="CSM88" s="947"/>
      <c r="CSN88" s="947"/>
      <c r="CSO88" s="947"/>
      <c r="CSP88" s="947"/>
      <c r="CSQ88" s="947"/>
      <c r="CSR88" s="947"/>
      <c r="CSS88" s="947"/>
      <c r="CST88" s="947"/>
      <c r="CSU88" s="947"/>
      <c r="CSV88" s="947"/>
      <c r="CSW88" s="947"/>
      <c r="CSX88" s="947"/>
      <c r="CSY88" s="947"/>
      <c r="CSZ88" s="947"/>
      <c r="CTA88" s="947"/>
      <c r="CTB88" s="947"/>
      <c r="CTC88" s="947"/>
      <c r="CTD88" s="947"/>
      <c r="CTE88" s="947"/>
      <c r="CTF88" s="947"/>
      <c r="CTG88" s="947"/>
      <c r="CTH88" s="947"/>
      <c r="CTI88" s="947"/>
      <c r="CTJ88" s="947"/>
      <c r="CTK88" s="947"/>
      <c r="CTL88" s="947"/>
      <c r="CTM88" s="947"/>
      <c r="CTN88" s="947"/>
      <c r="CTO88" s="947"/>
      <c r="CTP88" s="947"/>
      <c r="CTQ88" s="947"/>
      <c r="CTR88" s="947"/>
      <c r="CTS88" s="947"/>
      <c r="CTT88" s="947"/>
      <c r="CTU88" s="947"/>
      <c r="CTV88" s="947"/>
      <c r="CTW88" s="947"/>
      <c r="CTX88" s="947"/>
      <c r="CTY88" s="947"/>
      <c r="CTZ88" s="947"/>
      <c r="CUA88" s="947"/>
      <c r="CUB88" s="947"/>
      <c r="CUC88" s="947"/>
      <c r="CUD88" s="947"/>
      <c r="CUE88" s="947"/>
      <c r="CUF88" s="947"/>
      <c r="CUG88" s="947"/>
      <c r="CUH88" s="947"/>
      <c r="CUI88" s="947"/>
      <c r="CUJ88" s="947"/>
      <c r="CUK88" s="947"/>
      <c r="CUL88" s="947"/>
      <c r="CUM88" s="947"/>
      <c r="CUN88" s="947"/>
      <c r="CUO88" s="947"/>
      <c r="CUP88" s="947"/>
      <c r="CUQ88" s="947"/>
      <c r="CUR88" s="947"/>
      <c r="CUS88" s="947"/>
      <c r="CUT88" s="947"/>
      <c r="CUU88" s="947"/>
      <c r="CUV88" s="947"/>
      <c r="CUW88" s="947"/>
      <c r="CUX88" s="947"/>
      <c r="CUY88" s="947"/>
      <c r="CUZ88" s="947"/>
      <c r="CVA88" s="947"/>
      <c r="CVB88" s="947"/>
      <c r="CVC88" s="947"/>
      <c r="CVD88" s="947"/>
      <c r="CVE88" s="947"/>
      <c r="CVF88" s="947"/>
      <c r="CVG88" s="947"/>
      <c r="CVH88" s="947"/>
      <c r="CVI88" s="947"/>
      <c r="CVJ88" s="947"/>
      <c r="CVK88" s="947"/>
      <c r="CVL88" s="947"/>
      <c r="CVM88" s="947"/>
      <c r="CVN88" s="947"/>
      <c r="CVO88" s="947"/>
      <c r="CVP88" s="947"/>
      <c r="CVQ88" s="947"/>
      <c r="CVR88" s="947"/>
      <c r="CVS88" s="947"/>
      <c r="CVT88" s="947"/>
      <c r="CVU88" s="947"/>
      <c r="CVV88" s="947"/>
      <c r="CVW88" s="947"/>
      <c r="CVX88" s="947"/>
      <c r="CVY88" s="947"/>
      <c r="CVZ88" s="947"/>
      <c r="CWA88" s="947"/>
      <c r="CWB88" s="947"/>
      <c r="CWC88" s="947"/>
      <c r="CWD88" s="947"/>
      <c r="CWE88" s="947"/>
      <c r="CWF88" s="947"/>
      <c r="CWG88" s="947"/>
      <c r="CWH88" s="947"/>
      <c r="CWI88" s="947"/>
      <c r="CWJ88" s="947"/>
      <c r="CWK88" s="947"/>
      <c r="CWL88" s="947"/>
      <c r="CWM88" s="947"/>
      <c r="CWN88" s="947"/>
      <c r="CWO88" s="947"/>
      <c r="CWP88" s="947"/>
      <c r="CWQ88" s="947"/>
      <c r="CWR88" s="947"/>
      <c r="CWS88" s="947"/>
      <c r="CWT88" s="947"/>
      <c r="CWU88" s="947"/>
      <c r="CWV88" s="947"/>
      <c r="CWW88" s="947"/>
      <c r="CWX88" s="947"/>
      <c r="CWY88" s="947"/>
      <c r="CWZ88" s="947"/>
      <c r="CXA88" s="947"/>
      <c r="CXB88" s="947"/>
      <c r="CXC88" s="947"/>
      <c r="CXD88" s="947"/>
      <c r="CXE88" s="947"/>
      <c r="CXF88" s="947"/>
      <c r="CXG88" s="947"/>
      <c r="CXH88" s="947"/>
      <c r="CXI88" s="947"/>
      <c r="CXJ88" s="947"/>
      <c r="CXK88" s="947"/>
      <c r="CXL88" s="947"/>
      <c r="CXM88" s="947"/>
      <c r="CXN88" s="947"/>
      <c r="CXO88" s="947"/>
      <c r="CXP88" s="947"/>
      <c r="CXQ88" s="947"/>
      <c r="CXR88" s="947"/>
      <c r="CXS88" s="947"/>
      <c r="CXT88" s="947"/>
      <c r="CXU88" s="947"/>
      <c r="CXV88" s="947"/>
      <c r="CXW88" s="947"/>
      <c r="CXX88" s="947"/>
      <c r="CXY88" s="947"/>
      <c r="CXZ88" s="947"/>
      <c r="CYA88" s="947"/>
      <c r="CYB88" s="947"/>
      <c r="CYC88" s="947"/>
      <c r="CYD88" s="947"/>
      <c r="CYE88" s="947"/>
      <c r="CYF88" s="947"/>
      <c r="CYG88" s="947"/>
      <c r="CYH88" s="947"/>
      <c r="CYI88" s="947"/>
      <c r="CYJ88" s="947"/>
      <c r="CYK88" s="947"/>
      <c r="CYL88" s="947"/>
      <c r="CYM88" s="947"/>
      <c r="CYN88" s="947"/>
      <c r="CYO88" s="947"/>
      <c r="CYP88" s="947"/>
      <c r="CYQ88" s="947"/>
      <c r="CYR88" s="947"/>
      <c r="CYS88" s="947"/>
      <c r="CYT88" s="947"/>
      <c r="CYU88" s="947"/>
      <c r="CYV88" s="947"/>
      <c r="CYW88" s="947"/>
      <c r="CYX88" s="947"/>
      <c r="CYY88" s="947"/>
      <c r="CYZ88" s="947"/>
      <c r="CZA88" s="947"/>
      <c r="CZB88" s="947"/>
      <c r="CZC88" s="947"/>
      <c r="CZD88" s="947"/>
      <c r="CZE88" s="947"/>
      <c r="CZF88" s="947"/>
      <c r="CZG88" s="947"/>
      <c r="CZH88" s="947"/>
      <c r="CZI88" s="947"/>
      <c r="CZJ88" s="947"/>
      <c r="CZK88" s="947"/>
      <c r="CZL88" s="947"/>
      <c r="CZM88" s="947"/>
      <c r="CZN88" s="947"/>
      <c r="CZO88" s="947"/>
      <c r="CZP88" s="947"/>
      <c r="CZQ88" s="947"/>
      <c r="CZR88" s="947"/>
      <c r="CZS88" s="947"/>
      <c r="CZT88" s="947"/>
      <c r="CZU88" s="947"/>
      <c r="CZV88" s="947"/>
      <c r="CZW88" s="947"/>
      <c r="CZX88" s="947"/>
      <c r="CZY88" s="947"/>
      <c r="CZZ88" s="947"/>
      <c r="DAA88" s="947"/>
      <c r="DAB88" s="947"/>
      <c r="DAC88" s="947"/>
      <c r="DAD88" s="947"/>
      <c r="DAE88" s="947"/>
      <c r="DAF88" s="947"/>
      <c r="DAG88" s="947"/>
      <c r="DAH88" s="947"/>
      <c r="DAI88" s="947"/>
      <c r="DAJ88" s="947"/>
      <c r="DAK88" s="947"/>
      <c r="DAL88" s="947"/>
      <c r="DAM88" s="947"/>
      <c r="DAN88" s="947"/>
      <c r="DAO88" s="947"/>
      <c r="DAP88" s="947"/>
      <c r="DAQ88" s="947"/>
      <c r="DAR88" s="947"/>
      <c r="DAS88" s="947"/>
      <c r="DAT88" s="947"/>
      <c r="DAU88" s="947"/>
      <c r="DAV88" s="947"/>
      <c r="DAW88" s="947"/>
      <c r="DAX88" s="947"/>
      <c r="DAY88" s="947"/>
      <c r="DAZ88" s="947"/>
      <c r="DBA88" s="947"/>
      <c r="DBB88" s="947"/>
      <c r="DBC88" s="947"/>
      <c r="DBD88" s="947"/>
      <c r="DBE88" s="947"/>
      <c r="DBF88" s="947"/>
      <c r="DBG88" s="947"/>
      <c r="DBH88" s="947"/>
      <c r="DBI88" s="947"/>
      <c r="DBJ88" s="947"/>
      <c r="DBK88" s="947"/>
      <c r="DBL88" s="947"/>
      <c r="DBM88" s="947"/>
      <c r="DBN88" s="947"/>
      <c r="DBO88" s="947"/>
      <c r="DBP88" s="947"/>
      <c r="DBQ88" s="947"/>
      <c r="DBR88" s="947"/>
      <c r="DBS88" s="947"/>
      <c r="DBT88" s="947"/>
      <c r="DBU88" s="947"/>
      <c r="DBV88" s="947"/>
      <c r="DBW88" s="947"/>
      <c r="DBX88" s="947"/>
      <c r="DBY88" s="947"/>
      <c r="DBZ88" s="947"/>
      <c r="DCA88" s="947"/>
      <c r="DCB88" s="947"/>
      <c r="DCC88" s="947"/>
      <c r="DCD88" s="947"/>
      <c r="DCE88" s="947"/>
      <c r="DCF88" s="947"/>
      <c r="DCG88" s="947"/>
      <c r="DCH88" s="947"/>
      <c r="DCI88" s="947"/>
      <c r="DCJ88" s="947"/>
      <c r="DCK88" s="947"/>
      <c r="DCL88" s="947"/>
      <c r="DCM88" s="947"/>
      <c r="DCN88" s="947"/>
      <c r="DCO88" s="947"/>
      <c r="DCP88" s="947"/>
      <c r="DCQ88" s="947"/>
      <c r="DCR88" s="947"/>
      <c r="DCS88" s="947"/>
      <c r="DCT88" s="947"/>
      <c r="DCU88" s="947"/>
      <c r="DCV88" s="947"/>
      <c r="DCW88" s="947"/>
      <c r="DCX88" s="947"/>
      <c r="DCY88" s="947"/>
      <c r="DCZ88" s="947"/>
      <c r="DDA88" s="947"/>
      <c r="DDB88" s="947"/>
      <c r="DDC88" s="947"/>
      <c r="DDD88" s="947"/>
      <c r="DDE88" s="947"/>
      <c r="DDF88" s="947"/>
      <c r="DDG88" s="947"/>
      <c r="DDH88" s="947"/>
      <c r="DDI88" s="947"/>
      <c r="DDJ88" s="947"/>
      <c r="DDK88" s="947"/>
      <c r="DDL88" s="947"/>
      <c r="DDM88" s="947"/>
      <c r="DDN88" s="947"/>
      <c r="DDO88" s="947"/>
      <c r="DDP88" s="947"/>
      <c r="DDQ88" s="947"/>
      <c r="DDR88" s="947"/>
      <c r="DDS88" s="947"/>
      <c r="DDT88" s="947"/>
      <c r="DDU88" s="947"/>
      <c r="DDV88" s="947"/>
      <c r="DDW88" s="947"/>
      <c r="DDX88" s="947"/>
      <c r="DDY88" s="947"/>
      <c r="DDZ88" s="947"/>
      <c r="DEA88" s="947"/>
      <c r="DEB88" s="947"/>
      <c r="DEC88" s="947"/>
      <c r="DED88" s="947"/>
      <c r="DEE88" s="947"/>
      <c r="DEF88" s="947"/>
      <c r="DEG88" s="947"/>
      <c r="DEH88" s="947"/>
      <c r="DEI88" s="947"/>
      <c r="DEJ88" s="947"/>
      <c r="DEK88" s="947"/>
      <c r="DEL88" s="947"/>
      <c r="DEM88" s="947"/>
      <c r="DEN88" s="947"/>
      <c r="DEO88" s="947"/>
      <c r="DEP88" s="947"/>
      <c r="DEQ88" s="947"/>
      <c r="DER88" s="947"/>
      <c r="DES88" s="947"/>
      <c r="DET88" s="947"/>
      <c r="DEU88" s="947"/>
      <c r="DEV88" s="947"/>
      <c r="DEW88" s="947"/>
      <c r="DEX88" s="947"/>
      <c r="DEY88" s="947"/>
      <c r="DEZ88" s="947"/>
      <c r="DFA88" s="947"/>
      <c r="DFB88" s="947"/>
      <c r="DFC88" s="947"/>
      <c r="DFD88" s="947"/>
      <c r="DFE88" s="947"/>
      <c r="DFF88" s="947"/>
      <c r="DFG88" s="947"/>
      <c r="DFH88" s="947"/>
      <c r="DFI88" s="947"/>
      <c r="DFJ88" s="947"/>
      <c r="DFK88" s="947"/>
      <c r="DFL88" s="947"/>
      <c r="DFM88" s="947"/>
      <c r="DFN88" s="947"/>
      <c r="DFO88" s="947"/>
      <c r="DFP88" s="947"/>
      <c r="DFQ88" s="947"/>
      <c r="DFR88" s="947"/>
      <c r="DFS88" s="947"/>
      <c r="DFT88" s="947"/>
      <c r="DFU88" s="947"/>
      <c r="DFV88" s="947"/>
      <c r="DFW88" s="947"/>
      <c r="DFX88" s="947"/>
      <c r="DFY88" s="947"/>
      <c r="DFZ88" s="947"/>
      <c r="DGA88" s="947"/>
      <c r="DGB88" s="947"/>
      <c r="DGC88" s="947"/>
      <c r="DGD88" s="947"/>
      <c r="DGE88" s="947"/>
      <c r="DGF88" s="947"/>
      <c r="DGG88" s="947"/>
      <c r="DGH88" s="947"/>
      <c r="DGI88" s="947"/>
      <c r="DGJ88" s="947"/>
      <c r="DGK88" s="947"/>
      <c r="DGL88" s="947"/>
      <c r="DGM88" s="947"/>
      <c r="DGN88" s="947"/>
      <c r="DGO88" s="947"/>
      <c r="DGP88" s="947"/>
      <c r="DGQ88" s="947"/>
      <c r="DGR88" s="947"/>
      <c r="DGS88" s="947"/>
      <c r="DGT88" s="947"/>
      <c r="DGU88" s="947"/>
      <c r="DGV88" s="947"/>
      <c r="DGW88" s="947"/>
      <c r="DGX88" s="947"/>
      <c r="DGY88" s="947"/>
      <c r="DGZ88" s="947"/>
      <c r="DHA88" s="947"/>
      <c r="DHB88" s="947"/>
      <c r="DHC88" s="947"/>
      <c r="DHD88" s="947"/>
      <c r="DHE88" s="947"/>
      <c r="DHF88" s="947"/>
      <c r="DHG88" s="947"/>
      <c r="DHH88" s="947"/>
      <c r="DHI88" s="947"/>
      <c r="DHJ88" s="947"/>
      <c r="DHK88" s="947"/>
      <c r="DHL88" s="947"/>
      <c r="DHM88" s="947"/>
      <c r="DHN88" s="947"/>
      <c r="DHO88" s="947"/>
      <c r="DHP88" s="947"/>
      <c r="DHQ88" s="947"/>
      <c r="DHR88" s="947"/>
      <c r="DHS88" s="947"/>
      <c r="DHT88" s="947"/>
      <c r="DHU88" s="947"/>
      <c r="DHV88" s="947"/>
      <c r="DHW88" s="947"/>
      <c r="DHX88" s="947"/>
      <c r="DHY88" s="947"/>
      <c r="DHZ88" s="947"/>
      <c r="DIA88" s="947"/>
      <c r="DIB88" s="947"/>
      <c r="DIC88" s="947"/>
      <c r="DID88" s="947"/>
      <c r="DIE88" s="947"/>
      <c r="DIF88" s="947"/>
      <c r="DIG88" s="947"/>
      <c r="DIH88" s="947"/>
      <c r="DII88" s="947"/>
      <c r="DIJ88" s="947"/>
      <c r="DIK88" s="947"/>
      <c r="DIL88" s="947"/>
      <c r="DIM88" s="947"/>
      <c r="DIN88" s="947"/>
      <c r="DIO88" s="947"/>
      <c r="DIP88" s="947"/>
      <c r="DIQ88" s="947"/>
      <c r="DIR88" s="947"/>
      <c r="DIS88" s="947"/>
      <c r="DIT88" s="947"/>
      <c r="DIU88" s="947"/>
      <c r="DIV88" s="947"/>
      <c r="DIW88" s="947"/>
      <c r="DIX88" s="947"/>
      <c r="DIY88" s="947"/>
      <c r="DIZ88" s="947"/>
      <c r="DJA88" s="947"/>
      <c r="DJB88" s="947"/>
      <c r="DJC88" s="947"/>
      <c r="DJD88" s="947"/>
      <c r="DJE88" s="947"/>
      <c r="DJF88" s="947"/>
      <c r="DJG88" s="947"/>
      <c r="DJH88" s="947"/>
      <c r="DJI88" s="947"/>
      <c r="DJJ88" s="947"/>
      <c r="DJK88" s="947"/>
      <c r="DJL88" s="947"/>
      <c r="DJM88" s="947"/>
      <c r="DJN88" s="947"/>
      <c r="DJO88" s="947"/>
      <c r="DJP88" s="947"/>
      <c r="DJQ88" s="947"/>
      <c r="DJR88" s="947"/>
      <c r="DJS88" s="947"/>
      <c r="DJT88" s="947"/>
      <c r="DJU88" s="947"/>
      <c r="DJV88" s="947"/>
      <c r="DJW88" s="947"/>
      <c r="DJX88" s="947"/>
      <c r="DJY88" s="947"/>
      <c r="DJZ88" s="947"/>
      <c r="DKA88" s="947"/>
      <c r="DKB88" s="947"/>
      <c r="DKC88" s="947"/>
      <c r="DKD88" s="947"/>
      <c r="DKE88" s="947"/>
      <c r="DKF88" s="947"/>
      <c r="DKG88" s="947"/>
      <c r="DKH88" s="947"/>
      <c r="DKI88" s="947"/>
      <c r="DKJ88" s="947"/>
      <c r="DKK88" s="947"/>
      <c r="DKL88" s="947"/>
      <c r="DKM88" s="947"/>
      <c r="DKN88" s="947"/>
      <c r="DKO88" s="947"/>
      <c r="DKP88" s="947"/>
      <c r="DKQ88" s="947"/>
      <c r="DKR88" s="947"/>
      <c r="DKS88" s="947"/>
      <c r="DKT88" s="947"/>
      <c r="DKU88" s="947"/>
      <c r="DKV88" s="947"/>
      <c r="DKW88" s="947"/>
      <c r="DKX88" s="947"/>
      <c r="DKY88" s="947"/>
      <c r="DKZ88" s="947"/>
      <c r="DLA88" s="947"/>
      <c r="DLB88" s="947"/>
      <c r="DLC88" s="947"/>
      <c r="DLD88" s="947"/>
      <c r="DLE88" s="947"/>
      <c r="DLF88" s="947"/>
      <c r="DLG88" s="947"/>
      <c r="DLH88" s="947"/>
      <c r="DLI88" s="947"/>
      <c r="DLJ88" s="947"/>
      <c r="DLK88" s="947"/>
      <c r="DLL88" s="947"/>
      <c r="DLM88" s="947"/>
      <c r="DLN88" s="947"/>
      <c r="DLO88" s="947"/>
      <c r="DLP88" s="947"/>
      <c r="DLQ88" s="947"/>
      <c r="DLR88" s="947"/>
      <c r="DLS88" s="947"/>
      <c r="DLT88" s="947"/>
      <c r="DLU88" s="947"/>
      <c r="DLV88" s="947"/>
      <c r="DLW88" s="947"/>
      <c r="DLX88" s="947"/>
      <c r="DLY88" s="947"/>
      <c r="DLZ88" s="947"/>
      <c r="DMA88" s="947"/>
      <c r="DMB88" s="947"/>
      <c r="DMC88" s="947"/>
      <c r="DMD88" s="947"/>
      <c r="DME88" s="947"/>
      <c r="DMF88" s="947"/>
      <c r="DMG88" s="947"/>
      <c r="DMH88" s="947"/>
      <c r="DMI88" s="947"/>
      <c r="DMJ88" s="947"/>
      <c r="DMK88" s="947"/>
      <c r="DML88" s="947"/>
      <c r="DMM88" s="947"/>
      <c r="DMN88" s="947"/>
      <c r="DMO88" s="947"/>
      <c r="DMP88" s="947"/>
      <c r="DMQ88" s="947"/>
      <c r="DMR88" s="947"/>
      <c r="DMS88" s="947"/>
      <c r="DMT88" s="947"/>
      <c r="DMU88" s="947"/>
      <c r="DMV88" s="947"/>
      <c r="DMW88" s="947"/>
      <c r="DMX88" s="947"/>
      <c r="DMY88" s="947"/>
      <c r="DMZ88" s="947"/>
      <c r="DNA88" s="947"/>
      <c r="DNB88" s="947"/>
      <c r="DNC88" s="947"/>
      <c r="DND88" s="947"/>
      <c r="DNE88" s="947"/>
      <c r="DNF88" s="947"/>
      <c r="DNG88" s="947"/>
      <c r="DNH88" s="947"/>
      <c r="DNI88" s="947"/>
      <c r="DNJ88" s="947"/>
      <c r="DNK88" s="947"/>
      <c r="DNL88" s="947"/>
      <c r="DNM88" s="947"/>
      <c r="DNN88" s="947"/>
      <c r="DNO88" s="947"/>
      <c r="DNP88" s="947"/>
      <c r="DNQ88" s="947"/>
      <c r="DNR88" s="947"/>
      <c r="DNS88" s="947"/>
      <c r="DNT88" s="947"/>
      <c r="DNU88" s="947"/>
      <c r="DNV88" s="947"/>
      <c r="DNW88" s="947"/>
      <c r="DNX88" s="947"/>
      <c r="DNY88" s="947"/>
      <c r="DNZ88" s="947"/>
      <c r="DOA88" s="947"/>
      <c r="DOB88" s="947"/>
      <c r="DOC88" s="947"/>
      <c r="DOD88" s="947"/>
      <c r="DOE88" s="947"/>
      <c r="DOF88" s="947"/>
      <c r="DOG88" s="947"/>
      <c r="DOH88" s="947"/>
      <c r="DOI88" s="947"/>
      <c r="DOJ88" s="947"/>
      <c r="DOK88" s="947"/>
      <c r="DOL88" s="947"/>
      <c r="DOM88" s="947"/>
      <c r="DON88" s="947"/>
      <c r="DOO88" s="947"/>
      <c r="DOP88" s="947"/>
      <c r="DOQ88" s="947"/>
      <c r="DOR88" s="947"/>
      <c r="DOS88" s="947"/>
      <c r="DOT88" s="947"/>
      <c r="DOU88" s="947"/>
      <c r="DOV88" s="947"/>
      <c r="DOW88" s="947"/>
      <c r="DOX88" s="947"/>
      <c r="DOY88" s="947"/>
      <c r="DOZ88" s="947"/>
      <c r="DPA88" s="947"/>
      <c r="DPB88" s="947"/>
      <c r="DPC88" s="947"/>
      <c r="DPD88" s="947"/>
      <c r="DPE88" s="947"/>
      <c r="DPF88" s="947"/>
      <c r="DPG88" s="947"/>
      <c r="DPH88" s="947"/>
      <c r="DPI88" s="947"/>
      <c r="DPJ88" s="947"/>
      <c r="DPK88" s="947"/>
      <c r="DPL88" s="947"/>
      <c r="DPM88" s="947"/>
      <c r="DPN88" s="947"/>
      <c r="DPO88" s="947"/>
      <c r="DPP88" s="947"/>
      <c r="DPQ88" s="947"/>
      <c r="DPR88" s="947"/>
      <c r="DPS88" s="947"/>
      <c r="DPT88" s="947"/>
      <c r="DPU88" s="947"/>
      <c r="DPV88" s="947"/>
      <c r="DPW88" s="947"/>
      <c r="DPX88" s="947"/>
      <c r="DPY88" s="947"/>
      <c r="DPZ88" s="947"/>
      <c r="DQA88" s="947"/>
      <c r="DQB88" s="947"/>
      <c r="DQC88" s="947"/>
      <c r="DQD88" s="947"/>
      <c r="DQE88" s="947"/>
      <c r="DQF88" s="947"/>
      <c r="DQG88" s="947"/>
      <c r="DQH88" s="947"/>
      <c r="DQI88" s="947"/>
      <c r="DQJ88" s="947"/>
      <c r="DQK88" s="947"/>
      <c r="DQL88" s="947"/>
      <c r="DQM88" s="947"/>
      <c r="DQN88" s="947"/>
      <c r="DQO88" s="947"/>
      <c r="DQP88" s="947"/>
      <c r="DQQ88" s="947"/>
      <c r="DQR88" s="947"/>
      <c r="DQS88" s="947"/>
      <c r="DQT88" s="947"/>
      <c r="DQU88" s="947"/>
      <c r="DQV88" s="947"/>
      <c r="DQW88" s="947"/>
      <c r="DQX88" s="947"/>
      <c r="DQY88" s="947"/>
      <c r="DQZ88" s="947"/>
      <c r="DRA88" s="947"/>
      <c r="DRB88" s="947"/>
      <c r="DRC88" s="947"/>
      <c r="DRD88" s="947"/>
      <c r="DRE88" s="947"/>
      <c r="DRF88" s="947"/>
      <c r="DRG88" s="947"/>
      <c r="DRH88" s="947"/>
      <c r="DRI88" s="947"/>
      <c r="DRJ88" s="947"/>
      <c r="DRK88" s="947"/>
      <c r="DRL88" s="947"/>
      <c r="DRM88" s="947"/>
      <c r="DRN88" s="947"/>
      <c r="DRO88" s="947"/>
      <c r="DRP88" s="947"/>
      <c r="DRQ88" s="947"/>
      <c r="DRR88" s="947"/>
      <c r="DRS88" s="947"/>
      <c r="DRT88" s="947"/>
      <c r="DRU88" s="947"/>
      <c r="DRV88" s="947"/>
      <c r="DRW88" s="947"/>
      <c r="DRX88" s="947"/>
      <c r="DRY88" s="947"/>
      <c r="DRZ88" s="947"/>
      <c r="DSA88" s="947"/>
      <c r="DSB88" s="947"/>
      <c r="DSC88" s="947"/>
      <c r="DSD88" s="947"/>
      <c r="DSE88" s="947"/>
      <c r="DSF88" s="947"/>
      <c r="DSG88" s="947"/>
      <c r="DSH88" s="947"/>
      <c r="DSI88" s="947"/>
      <c r="DSJ88" s="947"/>
      <c r="DSK88" s="947"/>
      <c r="DSL88" s="947"/>
      <c r="DSM88" s="947"/>
      <c r="DSN88" s="947"/>
      <c r="DSO88" s="947"/>
      <c r="DSP88" s="947"/>
      <c r="DSQ88" s="947"/>
      <c r="DSR88" s="947"/>
      <c r="DSS88" s="947"/>
      <c r="DST88" s="947"/>
      <c r="DSU88" s="947"/>
      <c r="DSV88" s="947"/>
      <c r="DSW88" s="947"/>
      <c r="DSX88" s="947"/>
      <c r="DSY88" s="947"/>
      <c r="DSZ88" s="947"/>
      <c r="DTA88" s="947"/>
      <c r="DTB88" s="947"/>
      <c r="DTC88" s="947"/>
      <c r="DTD88" s="947"/>
      <c r="DTE88" s="947"/>
      <c r="DTF88" s="947"/>
      <c r="DTG88" s="947"/>
      <c r="DTH88" s="947"/>
      <c r="DTI88" s="947"/>
      <c r="DTJ88" s="947"/>
      <c r="DTK88" s="947"/>
      <c r="DTL88" s="947"/>
      <c r="DTM88" s="947"/>
      <c r="DTN88" s="947"/>
      <c r="DTO88" s="947"/>
      <c r="DTP88" s="947"/>
      <c r="DTQ88" s="947"/>
      <c r="DTR88" s="947"/>
      <c r="DTS88" s="947"/>
      <c r="DTT88" s="947"/>
      <c r="DTU88" s="947"/>
      <c r="DTV88" s="947"/>
      <c r="DTW88" s="947"/>
      <c r="DTX88" s="947"/>
      <c r="DTY88" s="947"/>
      <c r="DTZ88" s="947"/>
      <c r="DUA88" s="947"/>
      <c r="DUB88" s="947"/>
      <c r="DUC88" s="947"/>
      <c r="DUD88" s="947"/>
      <c r="DUE88" s="947"/>
      <c r="DUF88" s="947"/>
      <c r="DUG88" s="947"/>
      <c r="DUH88" s="947"/>
      <c r="DUI88" s="947"/>
      <c r="DUJ88" s="947"/>
      <c r="DUK88" s="947"/>
      <c r="DUL88" s="947"/>
      <c r="DUM88" s="947"/>
      <c r="DUN88" s="947"/>
      <c r="DUO88" s="947"/>
      <c r="DUP88" s="947"/>
      <c r="DUQ88" s="947"/>
      <c r="DUR88" s="947"/>
      <c r="DUS88" s="947"/>
      <c r="DUT88" s="947"/>
      <c r="DUU88" s="947"/>
      <c r="DUV88" s="947"/>
      <c r="DUW88" s="947"/>
      <c r="DUX88" s="947"/>
      <c r="DUY88" s="947"/>
      <c r="DUZ88" s="947"/>
      <c r="DVA88" s="947"/>
      <c r="DVB88" s="947"/>
      <c r="DVC88" s="947"/>
      <c r="DVD88" s="947"/>
      <c r="DVE88" s="947"/>
      <c r="DVF88" s="947"/>
      <c r="DVG88" s="947"/>
      <c r="DVH88" s="947"/>
      <c r="DVI88" s="947"/>
      <c r="DVJ88" s="947"/>
      <c r="DVK88" s="947"/>
      <c r="DVL88" s="947"/>
      <c r="DVM88" s="947"/>
      <c r="DVN88" s="947"/>
      <c r="DVO88" s="947"/>
      <c r="DVP88" s="947"/>
      <c r="DVQ88" s="947"/>
      <c r="DVR88" s="947"/>
      <c r="DVS88" s="947"/>
      <c r="DVT88" s="947"/>
      <c r="DVU88" s="947"/>
      <c r="DVV88" s="947"/>
      <c r="DVW88" s="947"/>
      <c r="DVX88" s="947"/>
      <c r="DVY88" s="947"/>
      <c r="DVZ88" s="947"/>
      <c r="DWA88" s="947"/>
      <c r="DWB88" s="947"/>
      <c r="DWC88" s="947"/>
      <c r="DWD88" s="947"/>
      <c r="DWE88" s="947"/>
      <c r="DWF88" s="947"/>
      <c r="DWG88" s="947"/>
      <c r="DWH88" s="947"/>
      <c r="DWI88" s="947"/>
      <c r="DWJ88" s="947"/>
      <c r="DWK88" s="947"/>
      <c r="DWL88" s="947"/>
      <c r="DWM88" s="947"/>
      <c r="DWN88" s="947"/>
      <c r="DWO88" s="947"/>
      <c r="DWP88" s="947"/>
      <c r="DWQ88" s="947"/>
      <c r="DWR88" s="947"/>
      <c r="DWS88" s="947"/>
      <c r="DWT88" s="947"/>
      <c r="DWU88" s="947"/>
      <c r="DWV88" s="947"/>
      <c r="DWW88" s="947"/>
      <c r="DWX88" s="947"/>
      <c r="DWY88" s="947"/>
      <c r="DWZ88" s="947"/>
      <c r="DXA88" s="947"/>
      <c r="DXB88" s="947"/>
      <c r="DXC88" s="947"/>
      <c r="DXD88" s="947"/>
      <c r="DXE88" s="947"/>
      <c r="DXF88" s="947"/>
      <c r="DXG88" s="947"/>
      <c r="DXH88" s="947"/>
      <c r="DXI88" s="947"/>
      <c r="DXJ88" s="947"/>
      <c r="DXK88" s="947"/>
      <c r="DXL88" s="947"/>
      <c r="DXM88" s="947"/>
      <c r="DXN88" s="947"/>
      <c r="DXO88" s="947"/>
      <c r="DXP88" s="947"/>
      <c r="DXQ88" s="947"/>
      <c r="DXR88" s="947"/>
      <c r="DXS88" s="947"/>
      <c r="DXT88" s="947"/>
      <c r="DXU88" s="947"/>
      <c r="DXV88" s="947"/>
      <c r="DXW88" s="947"/>
      <c r="DXX88" s="947"/>
      <c r="DXY88" s="947"/>
      <c r="DXZ88" s="947"/>
      <c r="DYA88" s="947"/>
      <c r="DYB88" s="947"/>
      <c r="DYC88" s="947"/>
      <c r="DYD88" s="947"/>
      <c r="DYE88" s="947"/>
      <c r="DYF88" s="947"/>
      <c r="DYG88" s="947"/>
      <c r="DYH88" s="947"/>
      <c r="DYI88" s="947"/>
      <c r="DYJ88" s="947"/>
      <c r="DYK88" s="947"/>
      <c r="DYL88" s="947"/>
      <c r="DYM88" s="947"/>
      <c r="DYN88" s="947"/>
      <c r="DYO88" s="947"/>
      <c r="DYP88" s="947"/>
      <c r="DYQ88" s="947"/>
      <c r="DYR88" s="947"/>
      <c r="DYS88" s="947"/>
      <c r="DYT88" s="947"/>
      <c r="DYU88" s="947"/>
      <c r="DYV88" s="947"/>
      <c r="DYW88" s="947"/>
      <c r="DYX88" s="947"/>
      <c r="DYY88" s="947"/>
      <c r="DYZ88" s="947"/>
      <c r="DZA88" s="947"/>
      <c r="DZB88" s="947"/>
      <c r="DZC88" s="947"/>
      <c r="DZD88" s="947"/>
      <c r="DZE88" s="947"/>
      <c r="DZF88" s="947"/>
      <c r="DZG88" s="947"/>
      <c r="DZH88" s="947"/>
      <c r="DZI88" s="947"/>
      <c r="DZJ88" s="947"/>
      <c r="DZK88" s="947"/>
      <c r="DZL88" s="947"/>
      <c r="DZM88" s="947"/>
      <c r="DZN88" s="947"/>
      <c r="DZO88" s="947"/>
      <c r="DZP88" s="947"/>
      <c r="DZQ88" s="947"/>
      <c r="DZR88" s="947"/>
      <c r="DZS88" s="947"/>
      <c r="DZT88" s="947"/>
      <c r="DZU88" s="947"/>
      <c r="DZV88" s="947"/>
      <c r="DZW88" s="947"/>
      <c r="DZX88" s="947"/>
      <c r="DZY88" s="947"/>
      <c r="DZZ88" s="947"/>
      <c r="EAA88" s="947"/>
      <c r="EAB88" s="947"/>
      <c r="EAC88" s="947"/>
      <c r="EAD88" s="947"/>
      <c r="EAE88" s="947"/>
      <c r="EAF88" s="947"/>
      <c r="EAG88" s="947"/>
      <c r="EAH88" s="947"/>
      <c r="EAI88" s="947"/>
      <c r="EAJ88" s="947"/>
      <c r="EAK88" s="947"/>
      <c r="EAL88" s="947"/>
      <c r="EAM88" s="947"/>
      <c r="EAN88" s="947"/>
      <c r="EAO88" s="947"/>
      <c r="EAP88" s="947"/>
      <c r="EAQ88" s="947"/>
      <c r="EAR88" s="947"/>
      <c r="EAS88" s="947"/>
      <c r="EAT88" s="947"/>
      <c r="EAU88" s="947"/>
      <c r="EAV88" s="947"/>
      <c r="EAW88" s="947"/>
      <c r="EAX88" s="947"/>
      <c r="EAY88" s="947"/>
      <c r="EAZ88" s="947"/>
      <c r="EBA88" s="947"/>
      <c r="EBB88" s="947"/>
      <c r="EBC88" s="947"/>
      <c r="EBD88" s="947"/>
      <c r="EBE88" s="947"/>
      <c r="EBF88" s="947"/>
      <c r="EBG88" s="947"/>
      <c r="EBH88" s="947"/>
      <c r="EBI88" s="947"/>
      <c r="EBJ88" s="947"/>
      <c r="EBK88" s="947"/>
      <c r="EBL88" s="947"/>
      <c r="EBM88" s="947"/>
      <c r="EBN88" s="947"/>
      <c r="EBO88" s="947"/>
      <c r="EBP88" s="947"/>
      <c r="EBQ88" s="947"/>
      <c r="EBR88" s="947"/>
      <c r="EBS88" s="947"/>
      <c r="EBT88" s="947"/>
      <c r="EBU88" s="947"/>
      <c r="EBV88" s="947"/>
      <c r="EBW88" s="947"/>
      <c r="EBX88" s="947"/>
      <c r="EBY88" s="947"/>
      <c r="EBZ88" s="947"/>
      <c r="ECA88" s="947"/>
      <c r="ECB88" s="947"/>
      <c r="ECC88" s="947"/>
      <c r="ECD88" s="947"/>
      <c r="ECE88" s="947"/>
      <c r="ECF88" s="947"/>
      <c r="ECG88" s="947"/>
      <c r="ECH88" s="947"/>
      <c r="ECI88" s="947"/>
      <c r="ECJ88" s="947"/>
      <c r="ECK88" s="947"/>
      <c r="ECL88" s="947"/>
      <c r="ECM88" s="947"/>
      <c r="ECN88" s="947"/>
      <c r="ECO88" s="947"/>
      <c r="ECP88" s="947"/>
      <c r="ECQ88" s="947"/>
      <c r="ECR88" s="947"/>
      <c r="ECS88" s="947"/>
      <c r="ECT88" s="947"/>
      <c r="ECU88" s="947"/>
      <c r="ECV88" s="947"/>
      <c r="ECW88" s="947"/>
      <c r="ECX88" s="947"/>
      <c r="ECY88" s="947"/>
      <c r="ECZ88" s="947"/>
      <c r="EDA88" s="947"/>
      <c r="EDB88" s="947"/>
      <c r="EDC88" s="947"/>
      <c r="EDD88" s="947"/>
      <c r="EDE88" s="947"/>
      <c r="EDF88" s="947"/>
      <c r="EDG88" s="947"/>
      <c r="EDH88" s="947"/>
      <c r="EDI88" s="947"/>
      <c r="EDJ88" s="947"/>
      <c r="EDK88" s="947"/>
      <c r="EDL88" s="947"/>
      <c r="EDM88" s="947"/>
      <c r="EDN88" s="947"/>
      <c r="EDO88" s="947"/>
      <c r="EDP88" s="947"/>
      <c r="EDQ88" s="947"/>
      <c r="EDR88" s="947"/>
      <c r="EDS88" s="947"/>
      <c r="EDT88" s="947"/>
      <c r="EDU88" s="947"/>
      <c r="EDV88" s="947"/>
      <c r="EDW88" s="947"/>
      <c r="EDX88" s="947"/>
      <c r="EDY88" s="947"/>
      <c r="EDZ88" s="947"/>
      <c r="EEA88" s="947"/>
      <c r="EEB88" s="947"/>
      <c r="EEC88" s="947"/>
      <c r="EED88" s="947"/>
      <c r="EEE88" s="947"/>
      <c r="EEF88" s="947"/>
      <c r="EEG88" s="947"/>
      <c r="EEH88" s="947"/>
      <c r="EEI88" s="947"/>
      <c r="EEJ88" s="947"/>
      <c r="EEK88" s="947"/>
      <c r="EEL88" s="947"/>
      <c r="EEM88" s="947"/>
      <c r="EEN88" s="947"/>
      <c r="EEO88" s="947"/>
      <c r="EEP88" s="947"/>
      <c r="EEQ88" s="947"/>
      <c r="EER88" s="947"/>
      <c r="EES88" s="947"/>
      <c r="EET88" s="947"/>
      <c r="EEU88" s="947"/>
      <c r="EEV88" s="947"/>
      <c r="EEW88" s="947"/>
      <c r="EEX88" s="947"/>
      <c r="EEY88" s="947"/>
      <c r="EEZ88" s="947"/>
      <c r="EFA88" s="947"/>
      <c r="EFB88" s="947"/>
      <c r="EFC88" s="947"/>
      <c r="EFD88" s="947"/>
      <c r="EFE88" s="947"/>
      <c r="EFF88" s="947"/>
      <c r="EFG88" s="947"/>
      <c r="EFH88" s="947"/>
      <c r="EFI88" s="947"/>
      <c r="EFJ88" s="947"/>
      <c r="EFK88" s="947"/>
      <c r="EFL88" s="947"/>
      <c r="EFM88" s="947"/>
      <c r="EFN88" s="947"/>
      <c r="EFO88" s="947"/>
      <c r="EFP88" s="947"/>
      <c r="EFQ88" s="947"/>
      <c r="EFR88" s="947"/>
      <c r="EFS88" s="947"/>
      <c r="EFT88" s="947"/>
      <c r="EFU88" s="947"/>
      <c r="EFV88" s="947"/>
      <c r="EFW88" s="947"/>
      <c r="EFX88" s="947"/>
      <c r="EFY88" s="947"/>
      <c r="EFZ88" s="947"/>
      <c r="EGA88" s="947"/>
      <c r="EGB88" s="947"/>
      <c r="EGC88" s="947"/>
      <c r="EGD88" s="947"/>
      <c r="EGE88" s="947"/>
      <c r="EGF88" s="947"/>
      <c r="EGG88" s="947"/>
      <c r="EGH88" s="947"/>
      <c r="EGI88" s="947"/>
      <c r="EGJ88" s="947"/>
      <c r="EGK88" s="947"/>
      <c r="EGL88" s="947"/>
      <c r="EGM88" s="947"/>
      <c r="EGN88" s="947"/>
      <c r="EGO88" s="947"/>
      <c r="EGP88" s="947"/>
      <c r="EGQ88" s="947"/>
      <c r="EGR88" s="947"/>
      <c r="EGS88" s="947"/>
      <c r="EGT88" s="947"/>
      <c r="EGU88" s="947"/>
      <c r="EGV88" s="947"/>
      <c r="EGW88" s="947"/>
      <c r="EGX88" s="947"/>
      <c r="EGY88" s="947"/>
      <c r="EGZ88" s="947"/>
      <c r="EHA88" s="947"/>
      <c r="EHB88" s="947"/>
      <c r="EHC88" s="947"/>
      <c r="EHD88" s="947"/>
      <c r="EHE88" s="947"/>
      <c r="EHF88" s="947"/>
      <c r="EHG88" s="947"/>
      <c r="EHH88" s="947"/>
      <c r="EHI88" s="947"/>
      <c r="EHJ88" s="947"/>
      <c r="EHK88" s="947"/>
      <c r="EHL88" s="947"/>
      <c r="EHM88" s="947"/>
      <c r="EHN88" s="947"/>
      <c r="EHO88" s="947"/>
      <c r="EHP88" s="947"/>
      <c r="EHQ88" s="947"/>
      <c r="EHR88" s="947"/>
      <c r="EHS88" s="947"/>
      <c r="EHT88" s="947"/>
      <c r="EHU88" s="947"/>
      <c r="EHV88" s="947"/>
      <c r="EHW88" s="947"/>
      <c r="EHX88" s="947"/>
      <c r="EHY88" s="947"/>
      <c r="EHZ88" s="947"/>
      <c r="EIA88" s="947"/>
      <c r="EIB88" s="947"/>
      <c r="EIC88" s="947"/>
      <c r="EID88" s="947"/>
      <c r="EIE88" s="947"/>
      <c r="EIF88" s="947"/>
      <c r="EIG88" s="947"/>
      <c r="EIH88" s="947"/>
      <c r="EII88" s="947"/>
      <c r="EIJ88" s="947"/>
      <c r="EIK88" s="947"/>
      <c r="EIL88" s="947"/>
      <c r="EIM88" s="947"/>
      <c r="EIN88" s="947"/>
      <c r="EIO88" s="947"/>
      <c r="EIP88" s="947"/>
      <c r="EIQ88" s="947"/>
      <c r="EIR88" s="947"/>
      <c r="EIS88" s="947"/>
      <c r="EIT88" s="947"/>
      <c r="EIU88" s="947"/>
      <c r="EIV88" s="947"/>
      <c r="EIW88" s="947"/>
      <c r="EIX88" s="947"/>
      <c r="EIY88" s="947"/>
      <c r="EIZ88" s="947"/>
      <c r="EJA88" s="947"/>
      <c r="EJB88" s="947"/>
      <c r="EJC88" s="947"/>
      <c r="EJD88" s="947"/>
      <c r="EJE88" s="947"/>
      <c r="EJF88" s="947"/>
      <c r="EJG88" s="947"/>
      <c r="EJH88" s="947"/>
      <c r="EJI88" s="947"/>
      <c r="EJJ88" s="947"/>
      <c r="EJK88" s="947"/>
      <c r="EJL88" s="947"/>
      <c r="EJM88" s="947"/>
      <c r="EJN88" s="947"/>
      <c r="EJO88" s="947"/>
      <c r="EJP88" s="947"/>
      <c r="EJQ88" s="947"/>
      <c r="EJR88" s="947"/>
      <c r="EJS88" s="947"/>
      <c r="EJT88" s="947"/>
      <c r="EJU88" s="947"/>
      <c r="EJV88" s="947"/>
      <c r="EJW88" s="947"/>
      <c r="EJX88" s="947"/>
      <c r="EJY88" s="947"/>
      <c r="EJZ88" s="947"/>
      <c r="EKA88" s="947"/>
      <c r="EKB88" s="947"/>
      <c r="EKC88" s="947"/>
      <c r="EKD88" s="947"/>
      <c r="EKE88" s="947"/>
      <c r="EKF88" s="947"/>
      <c r="EKG88" s="947"/>
      <c r="EKH88" s="947"/>
      <c r="EKI88" s="947"/>
      <c r="EKJ88" s="947"/>
      <c r="EKK88" s="947"/>
      <c r="EKL88" s="947"/>
      <c r="EKM88" s="947"/>
      <c r="EKN88" s="947"/>
      <c r="EKO88" s="947"/>
      <c r="EKP88" s="947"/>
      <c r="EKQ88" s="947"/>
      <c r="EKR88" s="947"/>
      <c r="EKS88" s="947"/>
      <c r="EKT88" s="947"/>
      <c r="EKU88" s="947"/>
      <c r="EKV88" s="947"/>
      <c r="EKW88" s="947"/>
      <c r="EKX88" s="947"/>
      <c r="EKY88" s="947"/>
      <c r="EKZ88" s="947"/>
      <c r="ELA88" s="947"/>
      <c r="ELB88" s="947"/>
      <c r="ELC88" s="947"/>
      <c r="ELD88" s="947"/>
      <c r="ELE88" s="947"/>
      <c r="ELF88" s="947"/>
      <c r="ELG88" s="947"/>
      <c r="ELH88" s="947"/>
      <c r="ELI88" s="947"/>
      <c r="ELJ88" s="947"/>
      <c r="ELK88" s="947"/>
      <c r="ELL88" s="947"/>
      <c r="ELM88" s="947"/>
      <c r="ELN88" s="947"/>
      <c r="ELO88" s="947"/>
      <c r="ELP88" s="947"/>
      <c r="ELQ88" s="947"/>
      <c r="ELR88" s="947"/>
      <c r="ELS88" s="947"/>
      <c r="ELT88" s="947"/>
      <c r="ELU88" s="947"/>
      <c r="ELV88" s="947"/>
      <c r="ELW88" s="947"/>
      <c r="ELX88" s="947"/>
      <c r="ELY88" s="947"/>
      <c r="ELZ88" s="947"/>
      <c r="EMA88" s="947"/>
      <c r="EMB88" s="947"/>
      <c r="EMC88" s="947"/>
      <c r="EMD88" s="947"/>
      <c r="EME88" s="947"/>
      <c r="EMF88" s="947"/>
      <c r="EMG88" s="947"/>
      <c r="EMH88" s="947"/>
      <c r="EMI88" s="947"/>
      <c r="EMJ88" s="947"/>
      <c r="EMK88" s="947"/>
      <c r="EML88" s="947"/>
      <c r="EMM88" s="947"/>
      <c r="EMN88" s="947"/>
      <c r="EMO88" s="947"/>
      <c r="EMP88" s="947"/>
      <c r="EMQ88" s="947"/>
      <c r="EMR88" s="947"/>
      <c r="EMS88" s="947"/>
      <c r="EMT88" s="947"/>
      <c r="EMU88" s="947"/>
      <c r="EMV88" s="947"/>
      <c r="EMW88" s="947"/>
      <c r="EMX88" s="947"/>
      <c r="EMY88" s="947"/>
      <c r="EMZ88" s="947"/>
      <c r="ENA88" s="947"/>
      <c r="ENB88" s="947"/>
      <c r="ENC88" s="947"/>
      <c r="END88" s="947"/>
      <c r="ENE88" s="947"/>
      <c r="ENF88" s="947"/>
      <c r="ENG88" s="947"/>
      <c r="ENH88" s="947"/>
      <c r="ENI88" s="947"/>
      <c r="ENJ88" s="947"/>
      <c r="ENK88" s="947"/>
      <c r="ENL88" s="947"/>
      <c r="ENM88" s="947"/>
      <c r="ENN88" s="947"/>
      <c r="ENO88" s="947"/>
      <c r="ENP88" s="947"/>
      <c r="ENQ88" s="947"/>
      <c r="ENR88" s="947"/>
      <c r="ENS88" s="947"/>
      <c r="ENT88" s="947"/>
      <c r="ENU88" s="947"/>
      <c r="ENV88" s="947"/>
      <c r="ENW88" s="947"/>
      <c r="ENX88" s="947"/>
      <c r="ENY88" s="947"/>
      <c r="ENZ88" s="947"/>
      <c r="EOA88" s="947"/>
      <c r="EOB88" s="947"/>
      <c r="EOC88" s="947"/>
      <c r="EOD88" s="947"/>
      <c r="EOE88" s="947"/>
      <c r="EOF88" s="947"/>
      <c r="EOG88" s="947"/>
      <c r="EOH88" s="947"/>
      <c r="EOI88" s="947"/>
      <c r="EOJ88" s="947"/>
      <c r="EOK88" s="947"/>
      <c r="EOL88" s="947"/>
      <c r="EOM88" s="947"/>
      <c r="EON88" s="947"/>
      <c r="EOO88" s="947"/>
      <c r="EOP88" s="947"/>
      <c r="EOQ88" s="947"/>
      <c r="EOR88" s="947"/>
      <c r="EOS88" s="947"/>
      <c r="EOT88" s="947"/>
      <c r="EOU88" s="947"/>
      <c r="EOV88" s="947"/>
      <c r="EOW88" s="947"/>
      <c r="EOX88" s="947"/>
      <c r="EOY88" s="947"/>
      <c r="EOZ88" s="947"/>
      <c r="EPA88" s="947"/>
      <c r="EPB88" s="947"/>
      <c r="EPC88" s="947"/>
      <c r="EPD88" s="947"/>
      <c r="EPE88" s="947"/>
      <c r="EPF88" s="947"/>
      <c r="EPG88" s="947"/>
      <c r="EPH88" s="947"/>
      <c r="EPI88" s="947"/>
      <c r="EPJ88" s="947"/>
      <c r="EPK88" s="947"/>
      <c r="EPL88" s="947"/>
      <c r="EPM88" s="947"/>
      <c r="EPN88" s="947"/>
      <c r="EPO88" s="947"/>
      <c r="EPP88" s="947"/>
      <c r="EPQ88" s="947"/>
      <c r="EPR88" s="947"/>
      <c r="EPS88" s="947"/>
      <c r="EPT88" s="947"/>
      <c r="EPU88" s="947"/>
      <c r="EPV88" s="947"/>
      <c r="EPW88" s="947"/>
      <c r="EPX88" s="947"/>
      <c r="EPY88" s="947"/>
      <c r="EPZ88" s="947"/>
      <c r="EQA88" s="947"/>
      <c r="EQB88" s="947"/>
      <c r="EQC88" s="947"/>
      <c r="EQD88" s="947"/>
      <c r="EQE88" s="947"/>
      <c r="EQF88" s="947"/>
      <c r="EQG88" s="947"/>
      <c r="EQH88" s="947"/>
      <c r="EQI88" s="947"/>
      <c r="EQJ88" s="947"/>
      <c r="EQK88" s="947"/>
      <c r="EQL88" s="947"/>
      <c r="EQM88" s="947"/>
      <c r="EQN88" s="947"/>
      <c r="EQO88" s="947"/>
      <c r="EQP88" s="947"/>
      <c r="EQQ88" s="947"/>
      <c r="EQR88" s="947"/>
      <c r="EQS88" s="947"/>
      <c r="EQT88" s="947"/>
      <c r="EQU88" s="947"/>
      <c r="EQV88" s="947"/>
      <c r="EQW88" s="947"/>
      <c r="EQX88" s="947"/>
      <c r="EQY88" s="947"/>
      <c r="EQZ88" s="947"/>
      <c r="ERA88" s="947"/>
      <c r="ERB88" s="947"/>
      <c r="ERC88" s="947"/>
      <c r="ERD88" s="947"/>
      <c r="ERE88" s="947"/>
      <c r="ERF88" s="947"/>
      <c r="ERG88" s="947"/>
      <c r="ERH88" s="947"/>
      <c r="ERI88" s="947"/>
      <c r="ERJ88" s="947"/>
      <c r="ERK88" s="947"/>
      <c r="ERL88" s="947"/>
      <c r="ERM88" s="947"/>
      <c r="ERN88" s="947"/>
      <c r="ERO88" s="947"/>
      <c r="ERP88" s="947"/>
      <c r="ERQ88" s="947"/>
      <c r="ERR88" s="947"/>
      <c r="ERS88" s="947"/>
      <c r="ERT88" s="947"/>
      <c r="ERU88" s="947"/>
      <c r="ERV88" s="947"/>
      <c r="ERW88" s="947"/>
      <c r="ERX88" s="947"/>
      <c r="ERY88" s="947"/>
      <c r="ERZ88" s="947"/>
      <c r="ESA88" s="947"/>
      <c r="ESB88" s="947"/>
      <c r="ESC88" s="947"/>
      <c r="ESD88" s="947"/>
      <c r="ESE88" s="947"/>
      <c r="ESF88" s="947"/>
      <c r="ESG88" s="947"/>
      <c r="ESH88" s="947"/>
      <c r="ESI88" s="947"/>
      <c r="ESJ88" s="947"/>
      <c r="ESK88" s="947"/>
      <c r="ESL88" s="947"/>
      <c r="ESM88" s="947"/>
      <c r="ESN88" s="947"/>
      <c r="ESO88" s="947"/>
      <c r="ESP88" s="947"/>
      <c r="ESQ88" s="947"/>
      <c r="ESR88" s="947"/>
      <c r="ESS88" s="947"/>
      <c r="EST88" s="947"/>
      <c r="ESU88" s="947"/>
      <c r="ESV88" s="947"/>
      <c r="ESW88" s="947"/>
      <c r="ESX88" s="947"/>
      <c r="ESY88" s="947"/>
      <c r="ESZ88" s="947"/>
      <c r="ETA88" s="947"/>
      <c r="ETB88" s="947"/>
      <c r="ETC88" s="947"/>
      <c r="ETD88" s="947"/>
      <c r="ETE88" s="947"/>
      <c r="ETF88" s="947"/>
      <c r="ETG88" s="947"/>
      <c r="ETH88" s="947"/>
      <c r="ETI88" s="947"/>
      <c r="ETJ88" s="947"/>
      <c r="ETK88" s="947"/>
      <c r="ETL88" s="947"/>
      <c r="ETM88" s="947"/>
      <c r="ETN88" s="947"/>
      <c r="ETO88" s="947"/>
      <c r="ETP88" s="947"/>
      <c r="ETQ88" s="947"/>
      <c r="ETR88" s="947"/>
      <c r="ETS88" s="947"/>
      <c r="ETT88" s="947"/>
      <c r="ETU88" s="947"/>
      <c r="ETV88" s="947"/>
      <c r="ETW88" s="947"/>
      <c r="ETX88" s="947"/>
      <c r="ETY88" s="947"/>
      <c r="ETZ88" s="947"/>
      <c r="EUA88" s="947"/>
      <c r="EUB88" s="947"/>
      <c r="EUC88" s="947"/>
      <c r="EUD88" s="947"/>
      <c r="EUE88" s="947"/>
      <c r="EUF88" s="947"/>
      <c r="EUG88" s="947"/>
      <c r="EUH88" s="947"/>
      <c r="EUI88" s="947"/>
      <c r="EUJ88" s="947"/>
      <c r="EUK88" s="947"/>
      <c r="EUL88" s="947"/>
      <c r="EUM88" s="947"/>
      <c r="EUN88" s="947"/>
      <c r="EUO88" s="947"/>
      <c r="EUP88" s="947"/>
      <c r="EUQ88" s="947"/>
      <c r="EUR88" s="947"/>
      <c r="EUS88" s="947"/>
      <c r="EUT88" s="947"/>
      <c r="EUU88" s="947"/>
      <c r="EUV88" s="947"/>
      <c r="EUW88" s="947"/>
      <c r="EUX88" s="947"/>
      <c r="EUY88" s="947"/>
      <c r="EUZ88" s="947"/>
      <c r="EVA88" s="947"/>
      <c r="EVB88" s="947"/>
      <c r="EVC88" s="947"/>
      <c r="EVD88" s="947"/>
      <c r="EVE88" s="947"/>
      <c r="EVF88" s="947"/>
      <c r="EVG88" s="947"/>
      <c r="EVH88" s="947"/>
      <c r="EVI88" s="947"/>
      <c r="EVJ88" s="947"/>
      <c r="EVK88" s="947"/>
      <c r="EVL88" s="947"/>
      <c r="EVM88" s="947"/>
      <c r="EVN88" s="947"/>
      <c r="EVO88" s="947"/>
      <c r="EVP88" s="947"/>
      <c r="EVQ88" s="947"/>
      <c r="EVR88" s="947"/>
      <c r="EVS88" s="947"/>
      <c r="EVT88" s="947"/>
      <c r="EVU88" s="947"/>
      <c r="EVV88" s="947"/>
      <c r="EVW88" s="947"/>
      <c r="EVX88" s="947"/>
      <c r="EVY88" s="947"/>
      <c r="EVZ88" s="947"/>
      <c r="EWA88" s="947"/>
      <c r="EWB88" s="947"/>
      <c r="EWC88" s="947"/>
      <c r="EWD88" s="947"/>
      <c r="EWE88" s="947"/>
      <c r="EWF88" s="947"/>
      <c r="EWG88" s="947"/>
      <c r="EWH88" s="947"/>
      <c r="EWI88" s="947"/>
      <c r="EWJ88" s="947"/>
      <c r="EWK88" s="947"/>
      <c r="EWL88" s="947"/>
      <c r="EWM88" s="947"/>
      <c r="EWN88" s="947"/>
      <c r="EWO88" s="947"/>
      <c r="EWP88" s="947"/>
      <c r="EWQ88" s="947"/>
      <c r="EWR88" s="947"/>
      <c r="EWS88" s="947"/>
      <c r="EWT88" s="947"/>
      <c r="EWU88" s="947"/>
      <c r="EWV88" s="947"/>
      <c r="EWW88" s="947"/>
      <c r="EWX88" s="947"/>
      <c r="EWY88" s="947"/>
      <c r="EWZ88" s="947"/>
      <c r="EXA88" s="947"/>
      <c r="EXB88" s="947"/>
      <c r="EXC88" s="947"/>
      <c r="EXD88" s="947"/>
      <c r="EXE88" s="947"/>
      <c r="EXF88" s="947"/>
      <c r="EXG88" s="947"/>
      <c r="EXH88" s="947"/>
      <c r="EXI88" s="947"/>
      <c r="EXJ88" s="947"/>
      <c r="EXK88" s="947"/>
      <c r="EXL88" s="947"/>
      <c r="EXM88" s="947"/>
      <c r="EXN88" s="947"/>
      <c r="EXO88" s="947"/>
      <c r="EXP88" s="947"/>
      <c r="EXQ88" s="947"/>
      <c r="EXR88" s="947"/>
      <c r="EXS88" s="947"/>
      <c r="EXT88" s="947"/>
      <c r="EXU88" s="947"/>
      <c r="EXV88" s="947"/>
      <c r="EXW88" s="947"/>
      <c r="EXX88" s="947"/>
      <c r="EXY88" s="947"/>
      <c r="EXZ88" s="947"/>
      <c r="EYA88" s="947"/>
      <c r="EYB88" s="947"/>
      <c r="EYC88" s="947"/>
      <c r="EYD88" s="947"/>
      <c r="EYE88" s="947"/>
      <c r="EYF88" s="947"/>
      <c r="EYG88" s="947"/>
      <c r="EYH88" s="947"/>
      <c r="EYI88" s="947"/>
      <c r="EYJ88" s="947"/>
      <c r="EYK88" s="947"/>
      <c r="EYL88" s="947"/>
      <c r="EYM88" s="947"/>
      <c r="EYN88" s="947"/>
      <c r="EYO88" s="947"/>
      <c r="EYP88" s="947"/>
      <c r="EYQ88" s="947"/>
      <c r="EYR88" s="947"/>
      <c r="EYS88" s="947"/>
      <c r="EYT88" s="947"/>
      <c r="EYU88" s="947"/>
      <c r="EYV88" s="947"/>
      <c r="EYW88" s="947"/>
      <c r="EYX88" s="947"/>
      <c r="EYY88" s="947"/>
      <c r="EYZ88" s="947"/>
      <c r="EZA88" s="947"/>
      <c r="EZB88" s="947"/>
      <c r="EZC88" s="947"/>
      <c r="EZD88" s="947"/>
      <c r="EZE88" s="947"/>
      <c r="EZF88" s="947"/>
      <c r="EZG88" s="947"/>
      <c r="EZH88" s="947"/>
      <c r="EZI88" s="947"/>
      <c r="EZJ88" s="947"/>
      <c r="EZK88" s="947"/>
      <c r="EZL88" s="947"/>
      <c r="EZM88" s="947"/>
      <c r="EZN88" s="947"/>
      <c r="EZO88" s="947"/>
      <c r="EZP88" s="947"/>
      <c r="EZQ88" s="947"/>
      <c r="EZR88" s="947"/>
      <c r="EZS88" s="947"/>
      <c r="EZT88" s="947"/>
      <c r="EZU88" s="947"/>
      <c r="EZV88" s="947"/>
      <c r="EZW88" s="947"/>
      <c r="EZX88" s="947"/>
      <c r="EZY88" s="947"/>
      <c r="EZZ88" s="947"/>
      <c r="FAA88" s="947"/>
      <c r="FAB88" s="947"/>
      <c r="FAC88" s="947"/>
      <c r="FAD88" s="947"/>
      <c r="FAE88" s="947"/>
      <c r="FAF88" s="947"/>
      <c r="FAG88" s="947"/>
      <c r="FAH88" s="947"/>
      <c r="FAI88" s="947"/>
      <c r="FAJ88" s="947"/>
      <c r="FAK88" s="947"/>
      <c r="FAL88" s="947"/>
      <c r="FAM88" s="947"/>
      <c r="FAN88" s="947"/>
      <c r="FAO88" s="947"/>
      <c r="FAP88" s="947"/>
      <c r="FAQ88" s="947"/>
      <c r="FAR88" s="947"/>
      <c r="FAS88" s="947"/>
      <c r="FAT88" s="947"/>
      <c r="FAU88" s="947"/>
      <c r="FAV88" s="947"/>
      <c r="FAW88" s="947"/>
      <c r="FAX88" s="947"/>
      <c r="FAY88" s="947"/>
      <c r="FAZ88" s="947"/>
      <c r="FBA88" s="947"/>
      <c r="FBB88" s="947"/>
      <c r="FBC88" s="947"/>
      <c r="FBD88" s="947"/>
      <c r="FBE88" s="947"/>
      <c r="FBF88" s="947"/>
      <c r="FBG88" s="947"/>
      <c r="FBH88" s="947"/>
      <c r="FBI88" s="947"/>
      <c r="FBJ88" s="947"/>
      <c r="FBK88" s="947"/>
      <c r="FBL88" s="947"/>
      <c r="FBM88" s="947"/>
      <c r="FBN88" s="947"/>
      <c r="FBO88" s="947"/>
      <c r="FBP88" s="947"/>
      <c r="FBQ88" s="947"/>
      <c r="FBR88" s="947"/>
      <c r="FBS88" s="947"/>
      <c r="FBT88" s="947"/>
      <c r="FBU88" s="947"/>
      <c r="FBV88" s="947"/>
      <c r="FBW88" s="947"/>
      <c r="FBX88" s="947"/>
      <c r="FBY88" s="947"/>
      <c r="FBZ88" s="947"/>
      <c r="FCA88" s="947"/>
      <c r="FCB88" s="947"/>
      <c r="FCC88" s="947"/>
      <c r="FCD88" s="947"/>
      <c r="FCE88" s="947"/>
      <c r="FCF88" s="947"/>
      <c r="FCG88" s="947"/>
      <c r="FCH88" s="947"/>
      <c r="FCI88" s="947"/>
      <c r="FCJ88" s="947"/>
      <c r="FCK88" s="947"/>
      <c r="FCL88" s="947"/>
      <c r="FCM88" s="947"/>
      <c r="FCN88" s="947"/>
      <c r="FCO88" s="947"/>
      <c r="FCP88" s="947"/>
      <c r="FCQ88" s="947"/>
      <c r="FCR88" s="947"/>
      <c r="FCS88" s="947"/>
      <c r="FCT88" s="947"/>
      <c r="FCU88" s="947"/>
      <c r="FCV88" s="947"/>
      <c r="FCW88" s="947"/>
      <c r="FCX88" s="947"/>
      <c r="FCY88" s="947"/>
      <c r="FCZ88" s="947"/>
      <c r="FDA88" s="947"/>
      <c r="FDB88" s="947"/>
      <c r="FDC88" s="947"/>
      <c r="FDD88" s="947"/>
      <c r="FDE88" s="947"/>
      <c r="FDF88" s="947"/>
      <c r="FDG88" s="947"/>
      <c r="FDH88" s="947"/>
      <c r="FDI88" s="947"/>
      <c r="FDJ88" s="947"/>
      <c r="FDK88" s="947"/>
      <c r="FDL88" s="947"/>
      <c r="FDM88" s="947"/>
      <c r="FDN88" s="947"/>
      <c r="FDO88" s="947"/>
      <c r="FDP88" s="947"/>
      <c r="FDQ88" s="947"/>
      <c r="FDR88" s="947"/>
      <c r="FDS88" s="947"/>
      <c r="FDT88" s="947"/>
      <c r="FDU88" s="947"/>
      <c r="FDV88" s="947"/>
      <c r="FDW88" s="947"/>
      <c r="FDX88" s="947"/>
      <c r="FDY88" s="947"/>
      <c r="FDZ88" s="947"/>
      <c r="FEA88" s="947"/>
      <c r="FEB88" s="947"/>
      <c r="FEC88" s="947"/>
      <c r="FED88" s="947"/>
      <c r="FEE88" s="947"/>
      <c r="FEF88" s="947"/>
      <c r="FEG88" s="947"/>
      <c r="FEH88" s="947"/>
      <c r="FEI88" s="947"/>
      <c r="FEJ88" s="947"/>
      <c r="FEK88" s="947"/>
      <c r="FEL88" s="947"/>
      <c r="FEM88" s="947"/>
      <c r="FEN88" s="947"/>
      <c r="FEO88" s="947"/>
      <c r="FEP88" s="947"/>
      <c r="FEQ88" s="947"/>
      <c r="FER88" s="947"/>
      <c r="FES88" s="947"/>
      <c r="FET88" s="947"/>
      <c r="FEU88" s="947"/>
      <c r="FEV88" s="947"/>
      <c r="FEW88" s="947"/>
      <c r="FEX88" s="947"/>
      <c r="FEY88" s="947"/>
      <c r="FEZ88" s="947"/>
      <c r="FFA88" s="947"/>
      <c r="FFB88" s="947"/>
      <c r="FFC88" s="947"/>
      <c r="FFD88" s="947"/>
      <c r="FFE88" s="947"/>
      <c r="FFF88" s="947"/>
      <c r="FFG88" s="947"/>
      <c r="FFH88" s="947"/>
      <c r="FFI88" s="947"/>
      <c r="FFJ88" s="947"/>
      <c r="FFK88" s="947"/>
      <c r="FFL88" s="947"/>
      <c r="FFM88" s="947"/>
      <c r="FFN88" s="947"/>
      <c r="FFO88" s="947"/>
      <c r="FFP88" s="947"/>
      <c r="FFQ88" s="947"/>
      <c r="FFR88" s="947"/>
      <c r="FFS88" s="947"/>
      <c r="FFT88" s="947"/>
      <c r="FFU88" s="947"/>
      <c r="FFV88" s="947"/>
      <c r="FFW88" s="947"/>
      <c r="FFX88" s="947"/>
      <c r="FFY88" s="947"/>
      <c r="FFZ88" s="947"/>
      <c r="FGA88" s="947"/>
      <c r="FGB88" s="947"/>
      <c r="FGC88" s="947"/>
      <c r="FGD88" s="947"/>
      <c r="FGE88" s="947"/>
      <c r="FGF88" s="947"/>
      <c r="FGG88" s="947"/>
      <c r="FGH88" s="947"/>
      <c r="FGI88" s="947"/>
      <c r="FGJ88" s="947"/>
      <c r="FGK88" s="947"/>
      <c r="FGL88" s="947"/>
      <c r="FGM88" s="947"/>
      <c r="FGN88" s="947"/>
      <c r="FGO88" s="947"/>
      <c r="FGP88" s="947"/>
      <c r="FGQ88" s="947"/>
      <c r="FGR88" s="947"/>
      <c r="FGS88" s="947"/>
      <c r="FGT88" s="947"/>
      <c r="FGU88" s="947"/>
      <c r="FGV88" s="947"/>
      <c r="FGW88" s="947"/>
      <c r="FGX88" s="947"/>
      <c r="FGY88" s="947"/>
      <c r="FGZ88" s="947"/>
      <c r="FHA88" s="947"/>
      <c r="FHB88" s="947"/>
      <c r="FHC88" s="947"/>
      <c r="FHD88" s="947"/>
      <c r="FHE88" s="947"/>
      <c r="FHF88" s="947"/>
      <c r="FHG88" s="947"/>
      <c r="FHH88" s="947"/>
      <c r="FHI88" s="947"/>
      <c r="FHJ88" s="947"/>
      <c r="FHK88" s="947"/>
      <c r="FHL88" s="947"/>
      <c r="FHM88" s="947"/>
      <c r="FHN88" s="947"/>
      <c r="FHO88" s="947"/>
      <c r="FHP88" s="947"/>
      <c r="FHQ88" s="947"/>
      <c r="FHR88" s="947"/>
      <c r="FHS88" s="947"/>
      <c r="FHT88" s="947"/>
      <c r="FHU88" s="947"/>
      <c r="FHV88" s="947"/>
      <c r="FHW88" s="947"/>
      <c r="FHX88" s="947"/>
      <c r="FHY88" s="947"/>
      <c r="FHZ88" s="947"/>
      <c r="FIA88" s="947"/>
      <c r="FIB88" s="947"/>
      <c r="FIC88" s="947"/>
      <c r="FID88" s="947"/>
      <c r="FIE88" s="947"/>
      <c r="FIF88" s="947"/>
      <c r="FIG88" s="947"/>
      <c r="FIH88" s="947"/>
      <c r="FII88" s="947"/>
      <c r="FIJ88" s="947"/>
      <c r="FIK88" s="947"/>
      <c r="FIL88" s="947"/>
      <c r="FIM88" s="947"/>
      <c r="FIN88" s="947"/>
      <c r="FIO88" s="947"/>
      <c r="FIP88" s="947"/>
      <c r="FIQ88" s="947"/>
      <c r="FIR88" s="947"/>
      <c r="FIS88" s="947"/>
      <c r="FIT88" s="947"/>
      <c r="FIU88" s="947"/>
      <c r="FIV88" s="947"/>
      <c r="FIW88" s="947"/>
      <c r="FIX88" s="947"/>
      <c r="FIY88" s="947"/>
      <c r="FIZ88" s="947"/>
      <c r="FJA88" s="947"/>
      <c r="FJB88" s="947"/>
      <c r="FJC88" s="947"/>
      <c r="FJD88" s="947"/>
      <c r="FJE88" s="947"/>
      <c r="FJF88" s="947"/>
      <c r="FJG88" s="947"/>
      <c r="FJH88" s="947"/>
      <c r="FJI88" s="947"/>
      <c r="FJJ88" s="947"/>
      <c r="FJK88" s="947"/>
      <c r="FJL88" s="947"/>
      <c r="FJM88" s="947"/>
      <c r="FJN88" s="947"/>
      <c r="FJO88" s="947"/>
      <c r="FJP88" s="947"/>
      <c r="FJQ88" s="947"/>
      <c r="FJR88" s="947"/>
      <c r="FJS88" s="947"/>
      <c r="FJT88" s="947"/>
      <c r="FJU88" s="947"/>
      <c r="FJV88" s="947"/>
      <c r="FJW88" s="947"/>
      <c r="FJX88" s="947"/>
      <c r="FJY88" s="947"/>
      <c r="FJZ88" s="947"/>
      <c r="FKA88" s="947"/>
      <c r="FKB88" s="947"/>
      <c r="FKC88" s="947"/>
      <c r="FKD88" s="947"/>
      <c r="FKE88" s="947"/>
      <c r="FKF88" s="947"/>
      <c r="FKG88" s="947"/>
      <c r="FKH88" s="947"/>
      <c r="FKI88" s="947"/>
      <c r="FKJ88" s="947"/>
      <c r="FKK88" s="947"/>
      <c r="FKL88" s="947"/>
      <c r="FKM88" s="947"/>
      <c r="FKN88" s="947"/>
      <c r="FKO88" s="947"/>
      <c r="FKP88" s="947"/>
      <c r="FKQ88" s="947"/>
      <c r="FKR88" s="947"/>
      <c r="FKS88" s="947"/>
      <c r="FKT88" s="947"/>
      <c r="FKU88" s="947"/>
      <c r="FKV88" s="947"/>
      <c r="FKW88" s="947"/>
      <c r="FKX88" s="947"/>
      <c r="FKY88" s="947"/>
      <c r="FKZ88" s="947"/>
      <c r="FLA88" s="947"/>
      <c r="FLB88" s="947"/>
      <c r="FLC88" s="947"/>
      <c r="FLD88" s="947"/>
      <c r="FLE88" s="947"/>
      <c r="FLF88" s="947"/>
      <c r="FLG88" s="947"/>
      <c r="FLH88" s="947"/>
      <c r="FLI88" s="947"/>
      <c r="FLJ88" s="947"/>
      <c r="FLK88" s="947"/>
      <c r="FLL88" s="947"/>
      <c r="FLM88" s="947"/>
      <c r="FLN88" s="947"/>
      <c r="FLO88" s="947"/>
      <c r="FLP88" s="947"/>
      <c r="FLQ88" s="947"/>
      <c r="FLR88" s="947"/>
      <c r="FLS88" s="947"/>
      <c r="FLT88" s="947"/>
      <c r="FLU88" s="947"/>
      <c r="FLV88" s="947"/>
      <c r="FLW88" s="947"/>
      <c r="FLX88" s="947"/>
      <c r="FLY88" s="947"/>
      <c r="FLZ88" s="947"/>
      <c r="FMA88" s="947"/>
      <c r="FMB88" s="947"/>
      <c r="FMC88" s="947"/>
      <c r="FMD88" s="947"/>
      <c r="FME88" s="947"/>
      <c r="FMF88" s="947"/>
      <c r="FMG88" s="947"/>
      <c r="FMH88" s="947"/>
      <c r="FMI88" s="947"/>
      <c r="FMJ88" s="947"/>
      <c r="FMK88" s="947"/>
      <c r="FML88" s="947"/>
      <c r="FMM88" s="947"/>
      <c r="FMN88" s="947"/>
      <c r="FMO88" s="947"/>
      <c r="FMP88" s="947"/>
      <c r="FMQ88" s="947"/>
      <c r="FMR88" s="947"/>
      <c r="FMS88" s="947"/>
      <c r="FMT88" s="947"/>
      <c r="FMU88" s="947"/>
      <c r="FMV88" s="947"/>
      <c r="FMW88" s="947"/>
      <c r="FMX88" s="947"/>
      <c r="FMY88" s="947"/>
      <c r="FMZ88" s="947"/>
      <c r="FNA88" s="947"/>
      <c r="FNB88" s="947"/>
      <c r="FNC88" s="947"/>
      <c r="FND88" s="947"/>
      <c r="FNE88" s="947"/>
      <c r="FNF88" s="947"/>
      <c r="FNG88" s="947"/>
      <c r="FNH88" s="947"/>
      <c r="FNI88" s="947"/>
      <c r="FNJ88" s="947"/>
      <c r="FNK88" s="947"/>
      <c r="FNL88" s="947"/>
      <c r="FNM88" s="947"/>
      <c r="FNN88" s="947"/>
      <c r="FNO88" s="947"/>
      <c r="FNP88" s="947"/>
      <c r="FNQ88" s="947"/>
      <c r="FNR88" s="947"/>
      <c r="FNS88" s="947"/>
      <c r="FNT88" s="947"/>
      <c r="FNU88" s="947"/>
      <c r="FNV88" s="947"/>
      <c r="FNW88" s="947"/>
      <c r="FNX88" s="947"/>
      <c r="FNY88" s="947"/>
      <c r="FNZ88" s="947"/>
      <c r="FOA88" s="947"/>
      <c r="FOB88" s="947"/>
      <c r="FOC88" s="947"/>
      <c r="FOD88" s="947"/>
      <c r="FOE88" s="947"/>
      <c r="FOF88" s="947"/>
      <c r="FOG88" s="947"/>
      <c r="FOH88" s="947"/>
      <c r="FOI88" s="947"/>
      <c r="FOJ88" s="947"/>
      <c r="FOK88" s="947"/>
      <c r="FOL88" s="947"/>
      <c r="FOM88" s="947"/>
      <c r="FON88" s="947"/>
      <c r="FOO88" s="947"/>
      <c r="FOP88" s="947"/>
      <c r="FOQ88" s="947"/>
      <c r="FOR88" s="947"/>
      <c r="FOS88" s="947"/>
      <c r="FOT88" s="947"/>
      <c r="FOU88" s="947"/>
      <c r="FOV88" s="947"/>
      <c r="FOW88" s="947"/>
      <c r="FOX88" s="947"/>
      <c r="FOY88" s="947"/>
      <c r="FOZ88" s="947"/>
      <c r="FPA88" s="947"/>
      <c r="FPB88" s="947"/>
      <c r="FPC88" s="947"/>
      <c r="FPD88" s="947"/>
      <c r="FPE88" s="947"/>
      <c r="FPF88" s="947"/>
      <c r="FPG88" s="947"/>
      <c r="FPH88" s="947"/>
      <c r="FPI88" s="947"/>
      <c r="FPJ88" s="947"/>
      <c r="FPK88" s="947"/>
      <c r="FPL88" s="947"/>
      <c r="FPM88" s="947"/>
      <c r="FPN88" s="947"/>
      <c r="FPO88" s="947"/>
      <c r="FPP88" s="947"/>
      <c r="FPQ88" s="947"/>
      <c r="FPR88" s="947"/>
      <c r="FPS88" s="947"/>
      <c r="FPT88" s="947"/>
      <c r="FPU88" s="947"/>
      <c r="FPV88" s="947"/>
      <c r="FPW88" s="947"/>
      <c r="FPX88" s="947"/>
      <c r="FPY88" s="947"/>
      <c r="FPZ88" s="947"/>
      <c r="FQA88" s="947"/>
      <c r="FQB88" s="947"/>
      <c r="FQC88" s="947"/>
      <c r="FQD88" s="947"/>
      <c r="FQE88" s="947"/>
      <c r="FQF88" s="947"/>
      <c r="FQG88" s="947"/>
      <c r="FQH88" s="947"/>
      <c r="FQI88" s="947"/>
      <c r="FQJ88" s="947"/>
      <c r="FQK88" s="947"/>
      <c r="FQL88" s="947"/>
      <c r="FQM88" s="947"/>
      <c r="FQN88" s="947"/>
      <c r="FQO88" s="947"/>
      <c r="FQP88" s="947"/>
      <c r="FQQ88" s="947"/>
      <c r="FQR88" s="947"/>
      <c r="FQS88" s="947"/>
      <c r="FQT88" s="947"/>
      <c r="FQU88" s="947"/>
      <c r="FQV88" s="947"/>
      <c r="FQW88" s="947"/>
      <c r="FQX88" s="947"/>
      <c r="FQY88" s="947"/>
      <c r="FQZ88" s="947"/>
      <c r="FRA88" s="947"/>
      <c r="FRB88" s="947"/>
      <c r="FRC88" s="947"/>
      <c r="FRD88" s="947"/>
      <c r="FRE88" s="947"/>
      <c r="FRF88" s="947"/>
      <c r="FRG88" s="947"/>
      <c r="FRH88" s="947"/>
      <c r="FRI88" s="947"/>
      <c r="FRJ88" s="947"/>
      <c r="FRK88" s="947"/>
      <c r="FRL88" s="947"/>
      <c r="FRM88" s="947"/>
      <c r="FRN88" s="947"/>
      <c r="FRO88" s="947"/>
      <c r="FRP88" s="947"/>
      <c r="FRQ88" s="947"/>
      <c r="FRR88" s="947"/>
      <c r="FRS88" s="947"/>
      <c r="FRT88" s="947"/>
      <c r="FRU88" s="947"/>
      <c r="FRV88" s="947"/>
      <c r="FRW88" s="947"/>
      <c r="FRX88" s="947"/>
      <c r="FRY88" s="947"/>
      <c r="FRZ88" s="947"/>
      <c r="FSA88" s="947"/>
      <c r="FSB88" s="947"/>
      <c r="FSC88" s="947"/>
      <c r="FSD88" s="947"/>
      <c r="FSE88" s="947"/>
      <c r="FSF88" s="947"/>
      <c r="FSG88" s="947"/>
      <c r="FSH88" s="947"/>
      <c r="FSI88" s="947"/>
      <c r="FSJ88" s="947"/>
      <c r="FSK88" s="947"/>
      <c r="FSL88" s="947"/>
      <c r="FSM88" s="947"/>
      <c r="FSN88" s="947"/>
      <c r="FSO88" s="947"/>
      <c r="FSP88" s="947"/>
      <c r="FSQ88" s="947"/>
      <c r="FSR88" s="947"/>
      <c r="FSS88" s="947"/>
      <c r="FST88" s="947"/>
      <c r="FSU88" s="947"/>
      <c r="FSV88" s="947"/>
      <c r="FSW88" s="947"/>
      <c r="FSX88" s="947"/>
      <c r="FSY88" s="947"/>
      <c r="FSZ88" s="947"/>
      <c r="FTA88" s="947"/>
      <c r="FTB88" s="947"/>
      <c r="FTC88" s="947"/>
      <c r="FTD88" s="947"/>
      <c r="FTE88" s="947"/>
      <c r="FTF88" s="947"/>
      <c r="FTG88" s="947"/>
      <c r="FTH88" s="947"/>
      <c r="FTI88" s="947"/>
      <c r="FTJ88" s="947"/>
      <c r="FTK88" s="947"/>
      <c r="FTL88" s="947"/>
      <c r="FTM88" s="947"/>
      <c r="FTN88" s="947"/>
      <c r="FTO88" s="947"/>
      <c r="FTP88" s="947"/>
      <c r="FTQ88" s="947"/>
      <c r="FTR88" s="947"/>
      <c r="FTS88" s="947"/>
      <c r="FTT88" s="947"/>
      <c r="FTU88" s="947"/>
      <c r="FTV88" s="947"/>
      <c r="FTW88" s="947"/>
      <c r="FTX88" s="947"/>
      <c r="FTY88" s="947"/>
      <c r="FTZ88" s="947"/>
      <c r="FUA88" s="947"/>
      <c r="FUB88" s="947"/>
      <c r="FUC88" s="947"/>
      <c r="FUD88" s="947"/>
      <c r="FUE88" s="947"/>
      <c r="FUF88" s="947"/>
      <c r="FUG88" s="947"/>
      <c r="FUH88" s="947"/>
      <c r="FUI88" s="947"/>
      <c r="FUJ88" s="947"/>
      <c r="FUK88" s="947"/>
      <c r="FUL88" s="947"/>
      <c r="FUM88" s="947"/>
      <c r="FUN88" s="947"/>
      <c r="FUO88" s="947"/>
      <c r="FUP88" s="947"/>
      <c r="FUQ88" s="947"/>
      <c r="FUR88" s="947"/>
      <c r="FUS88" s="947"/>
      <c r="FUT88" s="947"/>
      <c r="FUU88" s="947"/>
      <c r="FUV88" s="947"/>
      <c r="FUW88" s="947"/>
      <c r="FUX88" s="947"/>
      <c r="FUY88" s="947"/>
      <c r="FUZ88" s="947"/>
      <c r="FVA88" s="947"/>
      <c r="FVB88" s="947"/>
      <c r="FVC88" s="947"/>
      <c r="FVD88" s="947"/>
      <c r="FVE88" s="947"/>
      <c r="FVF88" s="947"/>
      <c r="FVG88" s="947"/>
      <c r="FVH88" s="947"/>
      <c r="FVI88" s="947"/>
      <c r="FVJ88" s="947"/>
      <c r="FVK88" s="947"/>
      <c r="FVL88" s="947"/>
      <c r="FVM88" s="947"/>
      <c r="FVN88" s="947"/>
      <c r="FVO88" s="947"/>
      <c r="FVP88" s="947"/>
      <c r="FVQ88" s="947"/>
      <c r="FVR88" s="947"/>
      <c r="FVS88" s="947"/>
      <c r="FVT88" s="947"/>
      <c r="FVU88" s="947"/>
      <c r="FVV88" s="947"/>
      <c r="FVW88" s="947"/>
      <c r="FVX88" s="947"/>
      <c r="FVY88" s="947"/>
      <c r="FVZ88" s="947"/>
      <c r="FWA88" s="947"/>
      <c r="FWB88" s="947"/>
      <c r="FWC88" s="947"/>
      <c r="FWD88" s="947"/>
      <c r="FWE88" s="947"/>
      <c r="FWF88" s="947"/>
      <c r="FWG88" s="947"/>
      <c r="FWH88" s="947"/>
      <c r="FWI88" s="947"/>
      <c r="FWJ88" s="947"/>
      <c r="FWK88" s="947"/>
      <c r="FWL88" s="947"/>
      <c r="FWM88" s="947"/>
      <c r="FWN88" s="947"/>
      <c r="FWO88" s="947"/>
      <c r="FWP88" s="947"/>
      <c r="FWQ88" s="947"/>
      <c r="FWR88" s="947"/>
      <c r="FWS88" s="947"/>
      <c r="FWT88" s="947"/>
      <c r="FWU88" s="947"/>
      <c r="FWV88" s="947"/>
      <c r="FWW88" s="947"/>
      <c r="FWX88" s="947"/>
      <c r="FWY88" s="947"/>
      <c r="FWZ88" s="947"/>
      <c r="FXA88" s="947"/>
      <c r="FXB88" s="947"/>
      <c r="FXC88" s="947"/>
      <c r="FXD88" s="947"/>
      <c r="FXE88" s="947"/>
      <c r="FXF88" s="947"/>
      <c r="FXG88" s="947"/>
      <c r="FXH88" s="947"/>
      <c r="FXI88" s="947"/>
      <c r="FXJ88" s="947"/>
      <c r="FXK88" s="947"/>
      <c r="FXL88" s="947"/>
      <c r="FXM88" s="947"/>
      <c r="FXN88" s="947"/>
      <c r="FXO88" s="947"/>
      <c r="FXP88" s="947"/>
      <c r="FXQ88" s="947"/>
      <c r="FXR88" s="947"/>
      <c r="FXS88" s="947"/>
      <c r="FXT88" s="947"/>
      <c r="FXU88" s="947"/>
      <c r="FXV88" s="947"/>
      <c r="FXW88" s="947"/>
      <c r="FXX88" s="947"/>
      <c r="FXY88" s="947"/>
      <c r="FXZ88" s="947"/>
      <c r="FYA88" s="947"/>
      <c r="FYB88" s="947"/>
      <c r="FYC88" s="947"/>
      <c r="FYD88" s="947"/>
      <c r="FYE88" s="947"/>
      <c r="FYF88" s="947"/>
      <c r="FYG88" s="947"/>
      <c r="FYH88" s="947"/>
      <c r="FYI88" s="947"/>
      <c r="FYJ88" s="947"/>
      <c r="FYK88" s="947"/>
      <c r="FYL88" s="947"/>
      <c r="FYM88" s="947"/>
      <c r="FYN88" s="947"/>
      <c r="FYO88" s="947"/>
      <c r="FYP88" s="947"/>
      <c r="FYQ88" s="947"/>
      <c r="FYR88" s="947"/>
      <c r="FYS88" s="947"/>
      <c r="FYT88" s="947"/>
      <c r="FYU88" s="947"/>
      <c r="FYV88" s="947"/>
      <c r="FYW88" s="947"/>
      <c r="FYX88" s="947"/>
      <c r="FYY88" s="947"/>
      <c r="FYZ88" s="947"/>
      <c r="FZA88" s="947"/>
      <c r="FZB88" s="947"/>
      <c r="FZC88" s="947"/>
      <c r="FZD88" s="947"/>
      <c r="FZE88" s="947"/>
      <c r="FZF88" s="947"/>
      <c r="FZG88" s="947"/>
      <c r="FZH88" s="947"/>
      <c r="FZI88" s="947"/>
      <c r="FZJ88" s="947"/>
      <c r="FZK88" s="947"/>
      <c r="FZL88" s="947"/>
      <c r="FZM88" s="947"/>
      <c r="FZN88" s="947"/>
      <c r="FZO88" s="947"/>
      <c r="FZP88" s="947"/>
      <c r="FZQ88" s="947"/>
      <c r="FZR88" s="947"/>
      <c r="FZS88" s="947"/>
      <c r="FZT88" s="947"/>
      <c r="FZU88" s="947"/>
      <c r="FZV88" s="947"/>
      <c r="FZW88" s="947"/>
      <c r="FZX88" s="947"/>
      <c r="FZY88" s="947"/>
      <c r="FZZ88" s="947"/>
      <c r="GAA88" s="947"/>
      <c r="GAB88" s="947"/>
      <c r="GAC88" s="947"/>
      <c r="GAD88" s="947"/>
      <c r="GAE88" s="947"/>
      <c r="GAF88" s="947"/>
      <c r="GAG88" s="947"/>
      <c r="GAH88" s="947"/>
      <c r="GAI88" s="947"/>
      <c r="GAJ88" s="947"/>
      <c r="GAK88" s="947"/>
      <c r="GAL88" s="947"/>
      <c r="GAM88" s="947"/>
      <c r="GAN88" s="947"/>
      <c r="GAO88" s="947"/>
      <c r="GAP88" s="947"/>
      <c r="GAQ88" s="947"/>
      <c r="GAR88" s="947"/>
      <c r="GAS88" s="947"/>
      <c r="GAT88" s="947"/>
      <c r="GAU88" s="947"/>
      <c r="GAV88" s="947"/>
      <c r="GAW88" s="947"/>
      <c r="GAX88" s="947"/>
      <c r="GAY88" s="947"/>
      <c r="GAZ88" s="947"/>
      <c r="GBA88" s="947"/>
      <c r="GBB88" s="947"/>
      <c r="GBC88" s="947"/>
      <c r="GBD88" s="947"/>
      <c r="GBE88" s="947"/>
      <c r="GBF88" s="947"/>
      <c r="GBG88" s="947"/>
      <c r="GBH88" s="947"/>
      <c r="GBI88" s="947"/>
      <c r="GBJ88" s="947"/>
      <c r="GBK88" s="947"/>
      <c r="GBL88" s="947"/>
      <c r="GBM88" s="947"/>
      <c r="GBN88" s="947"/>
      <c r="GBO88" s="947"/>
      <c r="GBP88" s="947"/>
      <c r="GBQ88" s="947"/>
      <c r="GBR88" s="947"/>
      <c r="GBS88" s="947"/>
      <c r="GBT88" s="947"/>
      <c r="GBU88" s="947"/>
      <c r="GBV88" s="947"/>
      <c r="GBW88" s="947"/>
      <c r="GBX88" s="947"/>
      <c r="GBY88" s="947"/>
      <c r="GBZ88" s="947"/>
      <c r="GCA88" s="947"/>
      <c r="GCB88" s="947"/>
      <c r="GCC88" s="947"/>
      <c r="GCD88" s="947"/>
      <c r="GCE88" s="947"/>
      <c r="GCF88" s="947"/>
      <c r="GCG88" s="947"/>
      <c r="GCH88" s="947"/>
      <c r="GCI88" s="947"/>
      <c r="GCJ88" s="947"/>
      <c r="GCK88" s="947"/>
      <c r="GCL88" s="947"/>
      <c r="GCM88" s="947"/>
      <c r="GCN88" s="947"/>
      <c r="GCO88" s="947"/>
      <c r="GCP88" s="947"/>
      <c r="GCQ88" s="947"/>
      <c r="GCR88" s="947"/>
      <c r="GCS88" s="947"/>
      <c r="GCT88" s="947"/>
      <c r="GCU88" s="947"/>
      <c r="GCV88" s="947"/>
      <c r="GCW88" s="947"/>
      <c r="GCX88" s="947"/>
      <c r="GCY88" s="947"/>
      <c r="GCZ88" s="947"/>
      <c r="GDA88" s="947"/>
      <c r="GDB88" s="947"/>
      <c r="GDC88" s="947"/>
      <c r="GDD88" s="947"/>
      <c r="GDE88" s="947"/>
      <c r="GDF88" s="947"/>
      <c r="GDG88" s="947"/>
      <c r="GDH88" s="947"/>
      <c r="GDI88" s="947"/>
      <c r="GDJ88" s="947"/>
      <c r="GDK88" s="947"/>
      <c r="GDL88" s="947"/>
      <c r="GDM88" s="947"/>
      <c r="GDN88" s="947"/>
      <c r="GDO88" s="947"/>
      <c r="GDP88" s="947"/>
      <c r="GDQ88" s="947"/>
      <c r="GDR88" s="947"/>
      <c r="GDS88" s="947"/>
      <c r="GDT88" s="947"/>
      <c r="GDU88" s="947"/>
      <c r="GDV88" s="947"/>
      <c r="GDW88" s="947"/>
      <c r="GDX88" s="947"/>
      <c r="GDY88" s="947"/>
      <c r="GDZ88" s="947"/>
      <c r="GEA88" s="947"/>
      <c r="GEB88" s="947"/>
      <c r="GEC88" s="947"/>
      <c r="GED88" s="947"/>
      <c r="GEE88" s="947"/>
      <c r="GEF88" s="947"/>
      <c r="GEG88" s="947"/>
      <c r="GEH88" s="947"/>
      <c r="GEI88" s="947"/>
      <c r="GEJ88" s="947"/>
      <c r="GEK88" s="947"/>
      <c r="GEL88" s="947"/>
      <c r="GEM88" s="947"/>
      <c r="GEN88" s="947"/>
      <c r="GEO88" s="947"/>
      <c r="GEP88" s="947"/>
      <c r="GEQ88" s="947"/>
      <c r="GER88" s="947"/>
      <c r="GES88" s="947"/>
      <c r="GET88" s="947"/>
      <c r="GEU88" s="947"/>
      <c r="GEV88" s="947"/>
      <c r="GEW88" s="947"/>
      <c r="GEX88" s="947"/>
      <c r="GEY88" s="947"/>
      <c r="GEZ88" s="947"/>
      <c r="GFA88" s="947"/>
      <c r="GFB88" s="947"/>
      <c r="GFC88" s="947"/>
      <c r="GFD88" s="947"/>
      <c r="GFE88" s="947"/>
      <c r="GFF88" s="947"/>
      <c r="GFG88" s="947"/>
      <c r="GFH88" s="947"/>
      <c r="GFI88" s="947"/>
      <c r="GFJ88" s="947"/>
      <c r="GFK88" s="947"/>
      <c r="GFL88" s="947"/>
      <c r="GFM88" s="947"/>
      <c r="GFN88" s="947"/>
      <c r="GFO88" s="947"/>
      <c r="GFP88" s="947"/>
      <c r="GFQ88" s="947"/>
      <c r="GFR88" s="947"/>
      <c r="GFS88" s="947"/>
      <c r="GFT88" s="947"/>
      <c r="GFU88" s="947"/>
      <c r="GFV88" s="947"/>
      <c r="GFW88" s="947"/>
      <c r="GFX88" s="947"/>
      <c r="GFY88" s="947"/>
      <c r="GFZ88" s="947"/>
      <c r="GGA88" s="947"/>
      <c r="GGB88" s="947"/>
      <c r="GGC88" s="947"/>
      <c r="GGD88" s="947"/>
      <c r="GGE88" s="947"/>
      <c r="GGF88" s="947"/>
      <c r="GGG88" s="947"/>
      <c r="GGH88" s="947"/>
      <c r="GGI88" s="947"/>
      <c r="GGJ88" s="947"/>
      <c r="GGK88" s="947"/>
      <c r="GGL88" s="947"/>
      <c r="GGM88" s="947"/>
      <c r="GGN88" s="947"/>
      <c r="GGO88" s="947"/>
      <c r="GGP88" s="947"/>
      <c r="GGQ88" s="947"/>
      <c r="GGR88" s="947"/>
      <c r="GGS88" s="947"/>
      <c r="GGT88" s="947"/>
      <c r="GGU88" s="947"/>
      <c r="GGV88" s="947"/>
      <c r="GGW88" s="947"/>
      <c r="GGX88" s="947"/>
      <c r="GGY88" s="947"/>
      <c r="GGZ88" s="947"/>
      <c r="GHA88" s="947"/>
      <c r="GHB88" s="947"/>
      <c r="GHC88" s="947"/>
      <c r="GHD88" s="947"/>
      <c r="GHE88" s="947"/>
      <c r="GHF88" s="947"/>
      <c r="GHG88" s="947"/>
      <c r="GHH88" s="947"/>
      <c r="GHI88" s="947"/>
      <c r="GHJ88" s="947"/>
      <c r="GHK88" s="947"/>
      <c r="GHL88" s="947"/>
      <c r="GHM88" s="947"/>
      <c r="GHN88" s="947"/>
      <c r="GHO88" s="947"/>
      <c r="GHP88" s="947"/>
      <c r="GHQ88" s="947"/>
      <c r="GHR88" s="947"/>
      <c r="GHS88" s="947"/>
      <c r="GHT88" s="947"/>
      <c r="GHU88" s="947"/>
      <c r="GHV88" s="947"/>
      <c r="GHW88" s="947"/>
      <c r="GHX88" s="947"/>
      <c r="GHY88" s="947"/>
      <c r="GHZ88" s="947"/>
      <c r="GIA88" s="947"/>
      <c r="GIB88" s="947"/>
      <c r="GIC88" s="947"/>
      <c r="GID88" s="947"/>
      <c r="GIE88" s="947"/>
      <c r="GIF88" s="947"/>
      <c r="GIG88" s="947"/>
      <c r="GIH88" s="947"/>
      <c r="GII88" s="947"/>
      <c r="GIJ88" s="947"/>
      <c r="GIK88" s="947"/>
      <c r="GIL88" s="947"/>
      <c r="GIM88" s="947"/>
      <c r="GIN88" s="947"/>
      <c r="GIO88" s="947"/>
      <c r="GIP88" s="947"/>
      <c r="GIQ88" s="947"/>
      <c r="GIR88" s="947"/>
      <c r="GIS88" s="947"/>
      <c r="GIT88" s="947"/>
      <c r="GIU88" s="947"/>
      <c r="GIV88" s="947"/>
      <c r="GIW88" s="947"/>
      <c r="GIX88" s="947"/>
      <c r="GIY88" s="947"/>
      <c r="GIZ88" s="947"/>
      <c r="GJA88" s="947"/>
      <c r="GJB88" s="947"/>
      <c r="GJC88" s="947"/>
      <c r="GJD88" s="947"/>
      <c r="GJE88" s="947"/>
      <c r="GJF88" s="947"/>
      <c r="GJG88" s="947"/>
      <c r="GJH88" s="947"/>
      <c r="GJI88" s="947"/>
      <c r="GJJ88" s="947"/>
      <c r="GJK88" s="947"/>
      <c r="GJL88" s="947"/>
      <c r="GJM88" s="947"/>
      <c r="GJN88" s="947"/>
      <c r="GJO88" s="947"/>
      <c r="GJP88" s="947"/>
      <c r="GJQ88" s="947"/>
      <c r="GJR88" s="947"/>
      <c r="GJS88" s="947"/>
      <c r="GJT88" s="947"/>
      <c r="GJU88" s="947"/>
      <c r="GJV88" s="947"/>
      <c r="GJW88" s="947"/>
      <c r="GJX88" s="947"/>
      <c r="GJY88" s="947"/>
      <c r="GJZ88" s="947"/>
      <c r="GKA88" s="947"/>
      <c r="GKB88" s="947"/>
      <c r="GKC88" s="947"/>
      <c r="GKD88" s="947"/>
      <c r="GKE88" s="947"/>
      <c r="GKF88" s="947"/>
      <c r="GKG88" s="947"/>
      <c r="GKH88" s="947"/>
      <c r="GKI88" s="947"/>
      <c r="GKJ88" s="947"/>
      <c r="GKK88" s="947"/>
      <c r="GKL88" s="947"/>
      <c r="GKM88" s="947"/>
      <c r="GKN88" s="947"/>
      <c r="GKO88" s="947"/>
      <c r="GKP88" s="947"/>
      <c r="GKQ88" s="947"/>
      <c r="GKR88" s="947"/>
      <c r="GKS88" s="947"/>
      <c r="GKT88" s="947"/>
      <c r="GKU88" s="947"/>
      <c r="GKV88" s="947"/>
      <c r="GKW88" s="947"/>
      <c r="GKX88" s="947"/>
      <c r="GKY88" s="947"/>
      <c r="GKZ88" s="947"/>
      <c r="GLA88" s="947"/>
      <c r="GLB88" s="947"/>
      <c r="GLC88" s="947"/>
      <c r="GLD88" s="947"/>
      <c r="GLE88" s="947"/>
      <c r="GLF88" s="947"/>
      <c r="GLG88" s="947"/>
      <c r="GLH88" s="947"/>
      <c r="GLI88" s="947"/>
      <c r="GLJ88" s="947"/>
      <c r="GLK88" s="947"/>
      <c r="GLL88" s="947"/>
      <c r="GLM88" s="947"/>
      <c r="GLN88" s="947"/>
      <c r="GLO88" s="947"/>
      <c r="GLP88" s="947"/>
      <c r="GLQ88" s="947"/>
      <c r="GLR88" s="947"/>
      <c r="GLS88" s="947"/>
      <c r="GLT88" s="947"/>
      <c r="GLU88" s="947"/>
      <c r="GLV88" s="947"/>
      <c r="GLW88" s="947"/>
      <c r="GLX88" s="947"/>
      <c r="GLY88" s="947"/>
      <c r="GLZ88" s="947"/>
      <c r="GMA88" s="947"/>
      <c r="GMB88" s="947"/>
      <c r="GMC88" s="947"/>
      <c r="GMD88" s="947"/>
      <c r="GME88" s="947"/>
      <c r="GMF88" s="947"/>
      <c r="GMG88" s="947"/>
      <c r="GMH88" s="947"/>
      <c r="GMI88" s="947"/>
      <c r="GMJ88" s="947"/>
      <c r="GMK88" s="947"/>
      <c r="GML88" s="947"/>
      <c r="GMM88" s="947"/>
      <c r="GMN88" s="947"/>
      <c r="GMO88" s="947"/>
      <c r="GMP88" s="947"/>
      <c r="GMQ88" s="947"/>
      <c r="GMR88" s="947"/>
      <c r="GMS88" s="947"/>
      <c r="GMT88" s="947"/>
      <c r="GMU88" s="947"/>
      <c r="GMV88" s="947"/>
      <c r="GMW88" s="947"/>
      <c r="GMX88" s="947"/>
      <c r="GMY88" s="947"/>
      <c r="GMZ88" s="947"/>
      <c r="GNA88" s="947"/>
      <c r="GNB88" s="947"/>
      <c r="GNC88" s="947"/>
      <c r="GND88" s="947"/>
      <c r="GNE88" s="947"/>
      <c r="GNF88" s="947"/>
      <c r="GNG88" s="947"/>
      <c r="GNH88" s="947"/>
      <c r="GNI88" s="947"/>
      <c r="GNJ88" s="947"/>
      <c r="GNK88" s="947"/>
      <c r="GNL88" s="947"/>
      <c r="GNM88" s="947"/>
      <c r="GNN88" s="947"/>
      <c r="GNO88" s="947"/>
      <c r="GNP88" s="947"/>
      <c r="GNQ88" s="947"/>
      <c r="GNR88" s="947"/>
      <c r="GNS88" s="947"/>
      <c r="GNT88" s="947"/>
      <c r="GNU88" s="947"/>
      <c r="GNV88" s="947"/>
      <c r="GNW88" s="947"/>
      <c r="GNX88" s="947"/>
      <c r="GNY88" s="947"/>
      <c r="GNZ88" s="947"/>
      <c r="GOA88" s="947"/>
      <c r="GOB88" s="947"/>
      <c r="GOC88" s="947"/>
      <c r="GOD88" s="947"/>
      <c r="GOE88" s="947"/>
      <c r="GOF88" s="947"/>
      <c r="GOG88" s="947"/>
      <c r="GOH88" s="947"/>
      <c r="GOI88" s="947"/>
      <c r="GOJ88" s="947"/>
      <c r="GOK88" s="947"/>
      <c r="GOL88" s="947"/>
      <c r="GOM88" s="947"/>
      <c r="GON88" s="947"/>
      <c r="GOO88" s="947"/>
      <c r="GOP88" s="947"/>
      <c r="GOQ88" s="947"/>
      <c r="GOR88" s="947"/>
      <c r="GOS88" s="947"/>
      <c r="GOT88" s="947"/>
      <c r="GOU88" s="947"/>
      <c r="GOV88" s="947"/>
      <c r="GOW88" s="947"/>
      <c r="GOX88" s="947"/>
      <c r="GOY88" s="947"/>
      <c r="GOZ88" s="947"/>
      <c r="GPA88" s="947"/>
      <c r="GPB88" s="947"/>
      <c r="GPC88" s="947"/>
      <c r="GPD88" s="947"/>
      <c r="GPE88" s="947"/>
      <c r="GPF88" s="947"/>
      <c r="GPG88" s="947"/>
      <c r="GPH88" s="947"/>
      <c r="GPI88" s="947"/>
      <c r="GPJ88" s="947"/>
      <c r="GPK88" s="947"/>
      <c r="GPL88" s="947"/>
      <c r="GPM88" s="947"/>
      <c r="GPN88" s="947"/>
      <c r="GPO88" s="947"/>
      <c r="GPP88" s="947"/>
      <c r="GPQ88" s="947"/>
      <c r="GPR88" s="947"/>
      <c r="GPS88" s="947"/>
      <c r="GPT88" s="947"/>
      <c r="GPU88" s="947"/>
      <c r="GPV88" s="947"/>
      <c r="GPW88" s="947"/>
      <c r="GPX88" s="947"/>
      <c r="GPY88" s="947"/>
      <c r="GPZ88" s="947"/>
      <c r="GQA88" s="947"/>
      <c r="GQB88" s="947"/>
      <c r="GQC88" s="947"/>
      <c r="GQD88" s="947"/>
      <c r="GQE88" s="947"/>
      <c r="GQF88" s="947"/>
      <c r="GQG88" s="947"/>
      <c r="GQH88" s="947"/>
      <c r="GQI88" s="947"/>
      <c r="GQJ88" s="947"/>
      <c r="GQK88" s="947"/>
      <c r="GQL88" s="947"/>
      <c r="GQM88" s="947"/>
      <c r="GQN88" s="947"/>
      <c r="GQO88" s="947"/>
      <c r="GQP88" s="947"/>
      <c r="GQQ88" s="947"/>
      <c r="GQR88" s="947"/>
      <c r="GQS88" s="947"/>
      <c r="GQT88" s="947"/>
      <c r="GQU88" s="947"/>
      <c r="GQV88" s="947"/>
      <c r="GQW88" s="947"/>
      <c r="GQX88" s="947"/>
      <c r="GQY88" s="947"/>
      <c r="GQZ88" s="947"/>
      <c r="GRA88" s="947"/>
      <c r="GRB88" s="947"/>
      <c r="GRC88" s="947"/>
      <c r="GRD88" s="947"/>
      <c r="GRE88" s="947"/>
      <c r="GRF88" s="947"/>
      <c r="GRG88" s="947"/>
      <c r="GRH88" s="947"/>
      <c r="GRI88" s="947"/>
      <c r="GRJ88" s="947"/>
      <c r="GRK88" s="947"/>
      <c r="GRL88" s="947"/>
      <c r="GRM88" s="947"/>
      <c r="GRN88" s="947"/>
      <c r="GRO88" s="947"/>
      <c r="GRP88" s="947"/>
      <c r="GRQ88" s="947"/>
      <c r="GRR88" s="947"/>
      <c r="GRS88" s="947"/>
      <c r="GRT88" s="947"/>
      <c r="GRU88" s="947"/>
      <c r="GRV88" s="947"/>
      <c r="GRW88" s="947"/>
      <c r="GRX88" s="947"/>
      <c r="GRY88" s="947"/>
      <c r="GRZ88" s="947"/>
      <c r="GSA88" s="947"/>
      <c r="GSB88" s="947"/>
      <c r="GSC88" s="947"/>
      <c r="GSD88" s="947"/>
      <c r="GSE88" s="947"/>
      <c r="GSF88" s="947"/>
      <c r="GSG88" s="947"/>
      <c r="GSH88" s="947"/>
      <c r="GSI88" s="947"/>
      <c r="GSJ88" s="947"/>
      <c r="GSK88" s="947"/>
      <c r="GSL88" s="947"/>
      <c r="GSM88" s="947"/>
      <c r="GSN88" s="947"/>
      <c r="GSO88" s="947"/>
      <c r="GSP88" s="947"/>
      <c r="GSQ88" s="947"/>
      <c r="GSR88" s="947"/>
      <c r="GSS88" s="947"/>
      <c r="GST88" s="947"/>
      <c r="GSU88" s="947"/>
      <c r="GSV88" s="947"/>
      <c r="GSW88" s="947"/>
      <c r="GSX88" s="947"/>
      <c r="GSY88" s="947"/>
      <c r="GSZ88" s="947"/>
      <c r="GTA88" s="947"/>
      <c r="GTB88" s="947"/>
      <c r="GTC88" s="947"/>
      <c r="GTD88" s="947"/>
      <c r="GTE88" s="947"/>
      <c r="GTF88" s="947"/>
      <c r="GTG88" s="947"/>
      <c r="GTH88" s="947"/>
      <c r="GTI88" s="947"/>
      <c r="GTJ88" s="947"/>
      <c r="GTK88" s="947"/>
      <c r="GTL88" s="947"/>
      <c r="GTM88" s="947"/>
      <c r="GTN88" s="947"/>
      <c r="GTO88" s="947"/>
      <c r="GTP88" s="947"/>
      <c r="GTQ88" s="947"/>
      <c r="GTR88" s="947"/>
      <c r="GTS88" s="947"/>
      <c r="GTT88" s="947"/>
      <c r="GTU88" s="947"/>
      <c r="GTV88" s="947"/>
      <c r="GTW88" s="947"/>
      <c r="GTX88" s="947"/>
      <c r="GTY88" s="947"/>
      <c r="GTZ88" s="947"/>
      <c r="GUA88" s="947"/>
      <c r="GUB88" s="947"/>
      <c r="GUC88" s="947"/>
      <c r="GUD88" s="947"/>
      <c r="GUE88" s="947"/>
      <c r="GUF88" s="947"/>
      <c r="GUG88" s="947"/>
      <c r="GUH88" s="947"/>
      <c r="GUI88" s="947"/>
      <c r="GUJ88" s="947"/>
      <c r="GUK88" s="947"/>
      <c r="GUL88" s="947"/>
      <c r="GUM88" s="947"/>
      <c r="GUN88" s="947"/>
      <c r="GUO88" s="947"/>
      <c r="GUP88" s="947"/>
      <c r="GUQ88" s="947"/>
      <c r="GUR88" s="947"/>
      <c r="GUS88" s="947"/>
      <c r="GUT88" s="947"/>
      <c r="GUU88" s="947"/>
      <c r="GUV88" s="947"/>
      <c r="GUW88" s="947"/>
      <c r="GUX88" s="947"/>
      <c r="GUY88" s="947"/>
      <c r="GUZ88" s="947"/>
      <c r="GVA88" s="947"/>
      <c r="GVB88" s="947"/>
      <c r="GVC88" s="947"/>
      <c r="GVD88" s="947"/>
      <c r="GVE88" s="947"/>
      <c r="GVF88" s="947"/>
      <c r="GVG88" s="947"/>
      <c r="GVH88" s="947"/>
      <c r="GVI88" s="947"/>
      <c r="GVJ88" s="947"/>
      <c r="GVK88" s="947"/>
      <c r="GVL88" s="947"/>
      <c r="GVM88" s="947"/>
      <c r="GVN88" s="947"/>
      <c r="GVO88" s="947"/>
      <c r="GVP88" s="947"/>
      <c r="GVQ88" s="947"/>
      <c r="GVR88" s="947"/>
      <c r="GVS88" s="947"/>
      <c r="GVT88" s="947"/>
      <c r="GVU88" s="947"/>
      <c r="GVV88" s="947"/>
      <c r="GVW88" s="947"/>
      <c r="GVX88" s="947"/>
      <c r="GVY88" s="947"/>
      <c r="GVZ88" s="947"/>
      <c r="GWA88" s="947"/>
      <c r="GWB88" s="947"/>
      <c r="GWC88" s="947"/>
      <c r="GWD88" s="947"/>
      <c r="GWE88" s="947"/>
      <c r="GWF88" s="947"/>
      <c r="GWG88" s="947"/>
      <c r="GWH88" s="947"/>
      <c r="GWI88" s="947"/>
      <c r="GWJ88" s="947"/>
      <c r="GWK88" s="947"/>
      <c r="GWL88" s="947"/>
      <c r="GWM88" s="947"/>
      <c r="GWN88" s="947"/>
      <c r="GWO88" s="947"/>
      <c r="GWP88" s="947"/>
      <c r="GWQ88" s="947"/>
      <c r="GWR88" s="947"/>
      <c r="GWS88" s="947"/>
      <c r="GWT88" s="947"/>
      <c r="GWU88" s="947"/>
      <c r="GWV88" s="947"/>
      <c r="GWW88" s="947"/>
      <c r="GWX88" s="947"/>
      <c r="GWY88" s="947"/>
      <c r="GWZ88" s="947"/>
      <c r="GXA88" s="947"/>
      <c r="GXB88" s="947"/>
      <c r="GXC88" s="947"/>
      <c r="GXD88" s="947"/>
      <c r="GXE88" s="947"/>
      <c r="GXF88" s="947"/>
      <c r="GXG88" s="947"/>
      <c r="GXH88" s="947"/>
      <c r="GXI88" s="947"/>
      <c r="GXJ88" s="947"/>
      <c r="GXK88" s="947"/>
      <c r="GXL88" s="947"/>
      <c r="GXM88" s="947"/>
      <c r="GXN88" s="947"/>
      <c r="GXO88" s="947"/>
      <c r="GXP88" s="947"/>
      <c r="GXQ88" s="947"/>
      <c r="GXR88" s="947"/>
      <c r="GXS88" s="947"/>
      <c r="GXT88" s="947"/>
      <c r="GXU88" s="947"/>
      <c r="GXV88" s="947"/>
      <c r="GXW88" s="947"/>
      <c r="GXX88" s="947"/>
      <c r="GXY88" s="947"/>
      <c r="GXZ88" s="947"/>
      <c r="GYA88" s="947"/>
      <c r="GYB88" s="947"/>
      <c r="GYC88" s="947"/>
      <c r="GYD88" s="947"/>
      <c r="GYE88" s="947"/>
      <c r="GYF88" s="947"/>
      <c r="GYG88" s="947"/>
      <c r="GYH88" s="947"/>
      <c r="GYI88" s="947"/>
      <c r="GYJ88" s="947"/>
      <c r="GYK88" s="947"/>
      <c r="GYL88" s="947"/>
      <c r="GYM88" s="947"/>
      <c r="GYN88" s="947"/>
      <c r="GYO88" s="947"/>
      <c r="GYP88" s="947"/>
      <c r="GYQ88" s="947"/>
      <c r="GYR88" s="947"/>
      <c r="GYS88" s="947"/>
      <c r="GYT88" s="947"/>
      <c r="GYU88" s="947"/>
      <c r="GYV88" s="947"/>
      <c r="GYW88" s="947"/>
      <c r="GYX88" s="947"/>
      <c r="GYY88" s="947"/>
      <c r="GYZ88" s="947"/>
      <c r="GZA88" s="947"/>
      <c r="GZB88" s="947"/>
      <c r="GZC88" s="947"/>
      <c r="GZD88" s="947"/>
      <c r="GZE88" s="947"/>
      <c r="GZF88" s="947"/>
      <c r="GZG88" s="947"/>
      <c r="GZH88" s="947"/>
      <c r="GZI88" s="947"/>
      <c r="GZJ88" s="947"/>
      <c r="GZK88" s="947"/>
      <c r="GZL88" s="947"/>
      <c r="GZM88" s="947"/>
      <c r="GZN88" s="947"/>
      <c r="GZO88" s="947"/>
      <c r="GZP88" s="947"/>
      <c r="GZQ88" s="947"/>
      <c r="GZR88" s="947"/>
      <c r="GZS88" s="947"/>
      <c r="GZT88" s="947"/>
      <c r="GZU88" s="947"/>
      <c r="GZV88" s="947"/>
      <c r="GZW88" s="947"/>
      <c r="GZX88" s="947"/>
      <c r="GZY88" s="947"/>
      <c r="GZZ88" s="947"/>
      <c r="HAA88" s="947"/>
      <c r="HAB88" s="947"/>
      <c r="HAC88" s="947"/>
      <c r="HAD88" s="947"/>
      <c r="HAE88" s="947"/>
      <c r="HAF88" s="947"/>
      <c r="HAG88" s="947"/>
      <c r="HAH88" s="947"/>
      <c r="HAI88" s="947"/>
      <c r="HAJ88" s="947"/>
      <c r="HAK88" s="947"/>
      <c r="HAL88" s="947"/>
      <c r="HAM88" s="947"/>
      <c r="HAN88" s="947"/>
      <c r="HAO88" s="947"/>
      <c r="HAP88" s="947"/>
      <c r="HAQ88" s="947"/>
      <c r="HAR88" s="947"/>
      <c r="HAS88" s="947"/>
      <c r="HAT88" s="947"/>
      <c r="HAU88" s="947"/>
      <c r="HAV88" s="947"/>
      <c r="HAW88" s="947"/>
      <c r="HAX88" s="947"/>
      <c r="HAY88" s="947"/>
      <c r="HAZ88" s="947"/>
      <c r="HBA88" s="947"/>
      <c r="HBB88" s="947"/>
      <c r="HBC88" s="947"/>
      <c r="HBD88" s="947"/>
      <c r="HBE88" s="947"/>
      <c r="HBF88" s="947"/>
      <c r="HBG88" s="947"/>
      <c r="HBH88" s="947"/>
      <c r="HBI88" s="947"/>
      <c r="HBJ88" s="947"/>
      <c r="HBK88" s="947"/>
      <c r="HBL88" s="947"/>
      <c r="HBM88" s="947"/>
      <c r="HBN88" s="947"/>
      <c r="HBO88" s="947"/>
      <c r="HBP88" s="947"/>
      <c r="HBQ88" s="947"/>
      <c r="HBR88" s="947"/>
      <c r="HBS88" s="947"/>
      <c r="HBT88" s="947"/>
      <c r="HBU88" s="947"/>
      <c r="HBV88" s="947"/>
      <c r="HBW88" s="947"/>
      <c r="HBX88" s="947"/>
      <c r="HBY88" s="947"/>
      <c r="HBZ88" s="947"/>
      <c r="HCA88" s="947"/>
      <c r="HCB88" s="947"/>
      <c r="HCC88" s="947"/>
      <c r="HCD88" s="947"/>
      <c r="HCE88" s="947"/>
      <c r="HCF88" s="947"/>
      <c r="HCG88" s="947"/>
      <c r="HCH88" s="947"/>
      <c r="HCI88" s="947"/>
      <c r="HCJ88" s="947"/>
      <c r="HCK88" s="947"/>
      <c r="HCL88" s="947"/>
      <c r="HCM88" s="947"/>
      <c r="HCN88" s="947"/>
      <c r="HCO88" s="947"/>
      <c r="HCP88" s="947"/>
      <c r="HCQ88" s="947"/>
      <c r="HCR88" s="947"/>
      <c r="HCS88" s="947"/>
      <c r="HCT88" s="947"/>
      <c r="HCU88" s="947"/>
      <c r="HCV88" s="947"/>
      <c r="HCW88" s="947"/>
      <c r="HCX88" s="947"/>
      <c r="HCY88" s="947"/>
      <c r="HCZ88" s="947"/>
      <c r="HDA88" s="947"/>
      <c r="HDB88" s="947"/>
      <c r="HDC88" s="947"/>
      <c r="HDD88" s="947"/>
      <c r="HDE88" s="947"/>
      <c r="HDF88" s="947"/>
      <c r="HDG88" s="947"/>
      <c r="HDH88" s="947"/>
      <c r="HDI88" s="947"/>
      <c r="HDJ88" s="947"/>
      <c r="HDK88" s="947"/>
      <c r="HDL88" s="947"/>
      <c r="HDM88" s="947"/>
      <c r="HDN88" s="947"/>
      <c r="HDO88" s="947"/>
      <c r="HDP88" s="947"/>
      <c r="HDQ88" s="947"/>
      <c r="HDR88" s="947"/>
      <c r="HDS88" s="947"/>
      <c r="HDT88" s="947"/>
      <c r="HDU88" s="947"/>
      <c r="HDV88" s="947"/>
      <c r="HDW88" s="947"/>
      <c r="HDX88" s="947"/>
      <c r="HDY88" s="947"/>
      <c r="HDZ88" s="947"/>
      <c r="HEA88" s="947"/>
      <c r="HEB88" s="947"/>
      <c r="HEC88" s="947"/>
      <c r="HED88" s="947"/>
      <c r="HEE88" s="947"/>
      <c r="HEF88" s="947"/>
      <c r="HEG88" s="947"/>
      <c r="HEH88" s="947"/>
      <c r="HEI88" s="947"/>
      <c r="HEJ88" s="947"/>
      <c r="HEK88" s="947"/>
      <c r="HEL88" s="947"/>
      <c r="HEM88" s="947"/>
      <c r="HEN88" s="947"/>
      <c r="HEO88" s="947"/>
      <c r="HEP88" s="947"/>
      <c r="HEQ88" s="947"/>
      <c r="HER88" s="947"/>
      <c r="HES88" s="947"/>
      <c r="HET88" s="947"/>
      <c r="HEU88" s="947"/>
      <c r="HEV88" s="947"/>
      <c r="HEW88" s="947"/>
      <c r="HEX88" s="947"/>
      <c r="HEY88" s="947"/>
      <c r="HEZ88" s="947"/>
      <c r="HFA88" s="947"/>
      <c r="HFB88" s="947"/>
      <c r="HFC88" s="947"/>
      <c r="HFD88" s="947"/>
      <c r="HFE88" s="947"/>
      <c r="HFF88" s="947"/>
      <c r="HFG88" s="947"/>
      <c r="HFH88" s="947"/>
      <c r="HFI88" s="947"/>
      <c r="HFJ88" s="947"/>
      <c r="HFK88" s="947"/>
      <c r="HFL88" s="947"/>
      <c r="HFM88" s="947"/>
      <c r="HFN88" s="947"/>
      <c r="HFO88" s="947"/>
      <c r="HFP88" s="947"/>
      <c r="HFQ88" s="947"/>
      <c r="HFR88" s="947"/>
      <c r="HFS88" s="947"/>
      <c r="HFT88" s="947"/>
      <c r="HFU88" s="947"/>
      <c r="HFV88" s="947"/>
      <c r="HFW88" s="947"/>
      <c r="HFX88" s="947"/>
      <c r="HFY88" s="947"/>
      <c r="HFZ88" s="947"/>
      <c r="HGA88" s="947"/>
      <c r="HGB88" s="947"/>
      <c r="HGC88" s="947"/>
      <c r="HGD88" s="947"/>
      <c r="HGE88" s="947"/>
      <c r="HGF88" s="947"/>
      <c r="HGG88" s="947"/>
      <c r="HGH88" s="947"/>
      <c r="HGI88" s="947"/>
      <c r="HGJ88" s="947"/>
      <c r="HGK88" s="947"/>
      <c r="HGL88" s="947"/>
      <c r="HGM88" s="947"/>
      <c r="HGN88" s="947"/>
      <c r="HGO88" s="947"/>
      <c r="HGP88" s="947"/>
      <c r="HGQ88" s="947"/>
      <c r="HGR88" s="947"/>
      <c r="HGS88" s="947"/>
      <c r="HGT88" s="947"/>
      <c r="HGU88" s="947"/>
      <c r="HGV88" s="947"/>
      <c r="HGW88" s="947"/>
      <c r="HGX88" s="947"/>
      <c r="HGY88" s="947"/>
      <c r="HGZ88" s="947"/>
      <c r="HHA88" s="947"/>
      <c r="HHB88" s="947"/>
      <c r="HHC88" s="947"/>
      <c r="HHD88" s="947"/>
      <c r="HHE88" s="947"/>
      <c r="HHF88" s="947"/>
      <c r="HHG88" s="947"/>
      <c r="HHH88" s="947"/>
      <c r="HHI88" s="947"/>
      <c r="HHJ88" s="947"/>
      <c r="HHK88" s="947"/>
      <c r="HHL88" s="947"/>
      <c r="HHM88" s="947"/>
      <c r="HHN88" s="947"/>
      <c r="HHO88" s="947"/>
      <c r="HHP88" s="947"/>
      <c r="HHQ88" s="947"/>
      <c r="HHR88" s="947"/>
      <c r="HHS88" s="947"/>
      <c r="HHT88" s="947"/>
      <c r="HHU88" s="947"/>
      <c r="HHV88" s="947"/>
      <c r="HHW88" s="947"/>
      <c r="HHX88" s="947"/>
      <c r="HHY88" s="947"/>
      <c r="HHZ88" s="947"/>
      <c r="HIA88" s="947"/>
      <c r="HIB88" s="947"/>
      <c r="HIC88" s="947"/>
      <c r="HID88" s="947"/>
      <c r="HIE88" s="947"/>
      <c r="HIF88" s="947"/>
      <c r="HIG88" s="947"/>
      <c r="HIH88" s="947"/>
      <c r="HII88" s="947"/>
      <c r="HIJ88" s="947"/>
      <c r="HIK88" s="947"/>
      <c r="HIL88" s="947"/>
      <c r="HIM88" s="947"/>
      <c r="HIN88" s="947"/>
      <c r="HIO88" s="947"/>
      <c r="HIP88" s="947"/>
      <c r="HIQ88" s="947"/>
      <c r="HIR88" s="947"/>
      <c r="HIS88" s="947"/>
      <c r="HIT88" s="947"/>
      <c r="HIU88" s="947"/>
      <c r="HIV88" s="947"/>
      <c r="HIW88" s="947"/>
      <c r="HIX88" s="947"/>
      <c r="HIY88" s="947"/>
      <c r="HIZ88" s="947"/>
      <c r="HJA88" s="947"/>
      <c r="HJB88" s="947"/>
      <c r="HJC88" s="947"/>
      <c r="HJD88" s="947"/>
      <c r="HJE88" s="947"/>
      <c r="HJF88" s="947"/>
      <c r="HJG88" s="947"/>
      <c r="HJH88" s="947"/>
      <c r="HJI88" s="947"/>
      <c r="HJJ88" s="947"/>
      <c r="HJK88" s="947"/>
      <c r="HJL88" s="947"/>
      <c r="HJM88" s="947"/>
      <c r="HJN88" s="947"/>
      <c r="HJO88" s="947"/>
      <c r="HJP88" s="947"/>
      <c r="HJQ88" s="947"/>
      <c r="HJR88" s="947"/>
      <c r="HJS88" s="947"/>
      <c r="HJT88" s="947"/>
      <c r="HJU88" s="947"/>
      <c r="HJV88" s="947"/>
      <c r="HJW88" s="947"/>
      <c r="HJX88" s="947"/>
      <c r="HJY88" s="947"/>
      <c r="HJZ88" s="947"/>
      <c r="HKA88" s="947"/>
      <c r="HKB88" s="947"/>
      <c r="HKC88" s="947"/>
      <c r="HKD88" s="947"/>
      <c r="HKE88" s="947"/>
      <c r="HKF88" s="947"/>
      <c r="HKG88" s="947"/>
      <c r="HKH88" s="947"/>
      <c r="HKI88" s="947"/>
      <c r="HKJ88" s="947"/>
      <c r="HKK88" s="947"/>
      <c r="HKL88" s="947"/>
      <c r="HKM88" s="947"/>
      <c r="HKN88" s="947"/>
      <c r="HKO88" s="947"/>
      <c r="HKP88" s="947"/>
      <c r="HKQ88" s="947"/>
      <c r="HKR88" s="947"/>
      <c r="HKS88" s="947"/>
      <c r="HKT88" s="947"/>
      <c r="HKU88" s="947"/>
      <c r="HKV88" s="947"/>
      <c r="HKW88" s="947"/>
      <c r="HKX88" s="947"/>
      <c r="HKY88" s="947"/>
      <c r="HKZ88" s="947"/>
      <c r="HLA88" s="947"/>
      <c r="HLB88" s="947"/>
      <c r="HLC88" s="947"/>
      <c r="HLD88" s="947"/>
      <c r="HLE88" s="947"/>
      <c r="HLF88" s="947"/>
      <c r="HLG88" s="947"/>
      <c r="HLH88" s="947"/>
      <c r="HLI88" s="947"/>
      <c r="HLJ88" s="947"/>
      <c r="HLK88" s="947"/>
      <c r="HLL88" s="947"/>
      <c r="HLM88" s="947"/>
      <c r="HLN88" s="947"/>
      <c r="HLO88" s="947"/>
      <c r="HLP88" s="947"/>
      <c r="HLQ88" s="947"/>
      <c r="HLR88" s="947"/>
      <c r="HLS88" s="947"/>
      <c r="HLT88" s="947"/>
      <c r="HLU88" s="947"/>
      <c r="HLV88" s="947"/>
      <c r="HLW88" s="947"/>
      <c r="HLX88" s="947"/>
      <c r="HLY88" s="947"/>
      <c r="HLZ88" s="947"/>
      <c r="HMA88" s="947"/>
      <c r="HMB88" s="947"/>
      <c r="HMC88" s="947"/>
      <c r="HMD88" s="947"/>
      <c r="HME88" s="947"/>
      <c r="HMF88" s="947"/>
      <c r="HMG88" s="947"/>
      <c r="HMH88" s="947"/>
      <c r="HMI88" s="947"/>
      <c r="HMJ88" s="947"/>
      <c r="HMK88" s="947"/>
      <c r="HML88" s="947"/>
      <c r="HMM88" s="947"/>
      <c r="HMN88" s="947"/>
      <c r="HMO88" s="947"/>
      <c r="HMP88" s="947"/>
      <c r="HMQ88" s="947"/>
      <c r="HMR88" s="947"/>
      <c r="HMS88" s="947"/>
      <c r="HMT88" s="947"/>
      <c r="HMU88" s="947"/>
      <c r="HMV88" s="947"/>
      <c r="HMW88" s="947"/>
      <c r="HMX88" s="947"/>
      <c r="HMY88" s="947"/>
      <c r="HMZ88" s="947"/>
      <c r="HNA88" s="947"/>
      <c r="HNB88" s="947"/>
      <c r="HNC88" s="947"/>
      <c r="HND88" s="947"/>
      <c r="HNE88" s="947"/>
      <c r="HNF88" s="947"/>
      <c r="HNG88" s="947"/>
      <c r="HNH88" s="947"/>
      <c r="HNI88" s="947"/>
      <c r="HNJ88" s="947"/>
      <c r="HNK88" s="947"/>
      <c r="HNL88" s="947"/>
      <c r="HNM88" s="947"/>
      <c r="HNN88" s="947"/>
      <c r="HNO88" s="947"/>
      <c r="HNP88" s="947"/>
      <c r="HNQ88" s="947"/>
      <c r="HNR88" s="947"/>
      <c r="HNS88" s="947"/>
      <c r="HNT88" s="947"/>
      <c r="HNU88" s="947"/>
      <c r="HNV88" s="947"/>
      <c r="HNW88" s="947"/>
      <c r="HNX88" s="947"/>
      <c r="HNY88" s="947"/>
      <c r="HNZ88" s="947"/>
      <c r="HOA88" s="947"/>
      <c r="HOB88" s="947"/>
      <c r="HOC88" s="947"/>
      <c r="HOD88" s="947"/>
      <c r="HOE88" s="947"/>
      <c r="HOF88" s="947"/>
      <c r="HOG88" s="947"/>
      <c r="HOH88" s="947"/>
      <c r="HOI88" s="947"/>
      <c r="HOJ88" s="947"/>
      <c r="HOK88" s="947"/>
      <c r="HOL88" s="947"/>
      <c r="HOM88" s="947"/>
      <c r="HON88" s="947"/>
      <c r="HOO88" s="947"/>
      <c r="HOP88" s="947"/>
      <c r="HOQ88" s="947"/>
      <c r="HOR88" s="947"/>
      <c r="HOS88" s="947"/>
      <c r="HOT88" s="947"/>
      <c r="HOU88" s="947"/>
      <c r="HOV88" s="947"/>
      <c r="HOW88" s="947"/>
      <c r="HOX88" s="947"/>
      <c r="HOY88" s="947"/>
      <c r="HOZ88" s="947"/>
      <c r="HPA88" s="947"/>
      <c r="HPB88" s="947"/>
      <c r="HPC88" s="947"/>
      <c r="HPD88" s="947"/>
      <c r="HPE88" s="947"/>
      <c r="HPF88" s="947"/>
      <c r="HPG88" s="947"/>
      <c r="HPH88" s="947"/>
      <c r="HPI88" s="947"/>
      <c r="HPJ88" s="947"/>
      <c r="HPK88" s="947"/>
      <c r="HPL88" s="947"/>
      <c r="HPM88" s="947"/>
      <c r="HPN88" s="947"/>
      <c r="HPO88" s="947"/>
      <c r="HPP88" s="947"/>
      <c r="HPQ88" s="947"/>
      <c r="HPR88" s="947"/>
      <c r="HPS88" s="947"/>
      <c r="HPT88" s="947"/>
      <c r="HPU88" s="947"/>
      <c r="HPV88" s="947"/>
      <c r="HPW88" s="947"/>
      <c r="HPX88" s="947"/>
      <c r="HPY88" s="947"/>
      <c r="HPZ88" s="947"/>
      <c r="HQA88" s="947"/>
      <c r="HQB88" s="947"/>
      <c r="HQC88" s="947"/>
      <c r="HQD88" s="947"/>
      <c r="HQE88" s="947"/>
      <c r="HQF88" s="947"/>
      <c r="HQG88" s="947"/>
      <c r="HQH88" s="947"/>
      <c r="HQI88" s="947"/>
      <c r="HQJ88" s="947"/>
      <c r="HQK88" s="947"/>
      <c r="HQL88" s="947"/>
      <c r="HQM88" s="947"/>
      <c r="HQN88" s="947"/>
      <c r="HQO88" s="947"/>
      <c r="HQP88" s="947"/>
      <c r="HQQ88" s="947"/>
      <c r="HQR88" s="947"/>
      <c r="HQS88" s="947"/>
      <c r="HQT88" s="947"/>
      <c r="HQU88" s="947"/>
      <c r="HQV88" s="947"/>
      <c r="HQW88" s="947"/>
      <c r="HQX88" s="947"/>
      <c r="HQY88" s="947"/>
      <c r="HQZ88" s="947"/>
      <c r="HRA88" s="947"/>
      <c r="HRB88" s="947"/>
      <c r="HRC88" s="947"/>
      <c r="HRD88" s="947"/>
      <c r="HRE88" s="947"/>
      <c r="HRF88" s="947"/>
      <c r="HRG88" s="947"/>
      <c r="HRH88" s="947"/>
      <c r="HRI88" s="947"/>
      <c r="HRJ88" s="947"/>
      <c r="HRK88" s="947"/>
      <c r="HRL88" s="947"/>
      <c r="HRM88" s="947"/>
      <c r="HRN88" s="947"/>
      <c r="HRO88" s="947"/>
      <c r="HRP88" s="947"/>
      <c r="HRQ88" s="947"/>
      <c r="HRR88" s="947"/>
      <c r="HRS88" s="947"/>
      <c r="HRT88" s="947"/>
      <c r="HRU88" s="947"/>
      <c r="HRV88" s="947"/>
      <c r="HRW88" s="947"/>
      <c r="HRX88" s="947"/>
      <c r="HRY88" s="947"/>
      <c r="HRZ88" s="947"/>
      <c r="HSA88" s="947"/>
      <c r="HSB88" s="947"/>
      <c r="HSC88" s="947"/>
      <c r="HSD88" s="947"/>
      <c r="HSE88" s="947"/>
      <c r="HSF88" s="947"/>
      <c r="HSG88" s="947"/>
      <c r="HSH88" s="947"/>
      <c r="HSI88" s="947"/>
      <c r="HSJ88" s="947"/>
      <c r="HSK88" s="947"/>
      <c r="HSL88" s="947"/>
      <c r="HSM88" s="947"/>
      <c r="HSN88" s="947"/>
      <c r="HSO88" s="947"/>
      <c r="HSP88" s="947"/>
      <c r="HSQ88" s="947"/>
      <c r="HSR88" s="947"/>
      <c r="HSS88" s="947"/>
      <c r="HST88" s="947"/>
      <c r="HSU88" s="947"/>
      <c r="HSV88" s="947"/>
      <c r="HSW88" s="947"/>
      <c r="HSX88" s="947"/>
      <c r="HSY88" s="947"/>
      <c r="HSZ88" s="947"/>
      <c r="HTA88" s="947"/>
      <c r="HTB88" s="947"/>
      <c r="HTC88" s="947"/>
      <c r="HTD88" s="947"/>
      <c r="HTE88" s="947"/>
      <c r="HTF88" s="947"/>
      <c r="HTG88" s="947"/>
      <c r="HTH88" s="947"/>
      <c r="HTI88" s="947"/>
      <c r="HTJ88" s="947"/>
      <c r="HTK88" s="947"/>
      <c r="HTL88" s="947"/>
      <c r="HTM88" s="947"/>
      <c r="HTN88" s="947"/>
      <c r="HTO88" s="947"/>
      <c r="HTP88" s="947"/>
      <c r="HTQ88" s="947"/>
      <c r="HTR88" s="947"/>
      <c r="HTS88" s="947"/>
      <c r="HTT88" s="947"/>
      <c r="HTU88" s="947"/>
      <c r="HTV88" s="947"/>
      <c r="HTW88" s="947"/>
      <c r="HTX88" s="947"/>
      <c r="HTY88" s="947"/>
      <c r="HTZ88" s="947"/>
      <c r="HUA88" s="947"/>
      <c r="HUB88" s="947"/>
      <c r="HUC88" s="947"/>
      <c r="HUD88" s="947"/>
      <c r="HUE88" s="947"/>
      <c r="HUF88" s="947"/>
      <c r="HUG88" s="947"/>
      <c r="HUH88" s="947"/>
      <c r="HUI88" s="947"/>
      <c r="HUJ88" s="947"/>
      <c r="HUK88" s="947"/>
      <c r="HUL88" s="947"/>
      <c r="HUM88" s="947"/>
      <c r="HUN88" s="947"/>
      <c r="HUO88" s="947"/>
      <c r="HUP88" s="947"/>
      <c r="HUQ88" s="947"/>
      <c r="HUR88" s="947"/>
      <c r="HUS88" s="947"/>
      <c r="HUT88" s="947"/>
      <c r="HUU88" s="947"/>
      <c r="HUV88" s="947"/>
      <c r="HUW88" s="947"/>
      <c r="HUX88" s="947"/>
      <c r="HUY88" s="947"/>
      <c r="HUZ88" s="947"/>
      <c r="HVA88" s="947"/>
      <c r="HVB88" s="947"/>
      <c r="HVC88" s="947"/>
      <c r="HVD88" s="947"/>
      <c r="HVE88" s="947"/>
      <c r="HVF88" s="947"/>
      <c r="HVG88" s="947"/>
      <c r="HVH88" s="947"/>
      <c r="HVI88" s="947"/>
      <c r="HVJ88" s="947"/>
      <c r="HVK88" s="947"/>
      <c r="HVL88" s="947"/>
      <c r="HVM88" s="947"/>
      <c r="HVN88" s="947"/>
      <c r="HVO88" s="947"/>
      <c r="HVP88" s="947"/>
      <c r="HVQ88" s="947"/>
      <c r="HVR88" s="947"/>
      <c r="HVS88" s="947"/>
      <c r="HVT88" s="947"/>
      <c r="HVU88" s="947"/>
      <c r="HVV88" s="947"/>
      <c r="HVW88" s="947"/>
      <c r="HVX88" s="947"/>
      <c r="HVY88" s="947"/>
      <c r="HVZ88" s="947"/>
      <c r="HWA88" s="947"/>
      <c r="HWB88" s="947"/>
      <c r="HWC88" s="947"/>
      <c r="HWD88" s="947"/>
      <c r="HWE88" s="947"/>
      <c r="HWF88" s="947"/>
      <c r="HWG88" s="947"/>
      <c r="HWH88" s="947"/>
      <c r="HWI88" s="947"/>
      <c r="HWJ88" s="947"/>
      <c r="HWK88" s="947"/>
      <c r="HWL88" s="947"/>
      <c r="HWM88" s="947"/>
      <c r="HWN88" s="947"/>
      <c r="HWO88" s="947"/>
      <c r="HWP88" s="947"/>
      <c r="HWQ88" s="947"/>
      <c r="HWR88" s="947"/>
      <c r="HWS88" s="947"/>
      <c r="HWT88" s="947"/>
      <c r="HWU88" s="947"/>
      <c r="HWV88" s="947"/>
      <c r="HWW88" s="947"/>
      <c r="HWX88" s="947"/>
      <c r="HWY88" s="947"/>
      <c r="HWZ88" s="947"/>
      <c r="HXA88" s="947"/>
      <c r="HXB88" s="947"/>
      <c r="HXC88" s="947"/>
      <c r="HXD88" s="947"/>
      <c r="HXE88" s="947"/>
      <c r="HXF88" s="947"/>
      <c r="HXG88" s="947"/>
      <c r="HXH88" s="947"/>
      <c r="HXI88" s="947"/>
      <c r="HXJ88" s="947"/>
      <c r="HXK88" s="947"/>
      <c r="HXL88" s="947"/>
      <c r="HXM88" s="947"/>
      <c r="HXN88" s="947"/>
      <c r="HXO88" s="947"/>
      <c r="HXP88" s="947"/>
      <c r="HXQ88" s="947"/>
      <c r="HXR88" s="947"/>
      <c r="HXS88" s="947"/>
      <c r="HXT88" s="947"/>
      <c r="HXU88" s="947"/>
      <c r="HXV88" s="947"/>
      <c r="HXW88" s="947"/>
      <c r="HXX88" s="947"/>
      <c r="HXY88" s="947"/>
      <c r="HXZ88" s="947"/>
      <c r="HYA88" s="947"/>
      <c r="HYB88" s="947"/>
      <c r="HYC88" s="947"/>
      <c r="HYD88" s="947"/>
      <c r="HYE88" s="947"/>
      <c r="HYF88" s="947"/>
      <c r="HYG88" s="947"/>
      <c r="HYH88" s="947"/>
      <c r="HYI88" s="947"/>
      <c r="HYJ88" s="947"/>
      <c r="HYK88" s="947"/>
      <c r="HYL88" s="947"/>
      <c r="HYM88" s="947"/>
      <c r="HYN88" s="947"/>
      <c r="HYO88" s="947"/>
      <c r="HYP88" s="947"/>
      <c r="HYQ88" s="947"/>
      <c r="HYR88" s="947"/>
      <c r="HYS88" s="947"/>
      <c r="HYT88" s="947"/>
      <c r="HYU88" s="947"/>
      <c r="HYV88" s="947"/>
      <c r="HYW88" s="947"/>
      <c r="HYX88" s="947"/>
      <c r="HYY88" s="947"/>
      <c r="HYZ88" s="947"/>
      <c r="HZA88" s="947"/>
      <c r="HZB88" s="947"/>
      <c r="HZC88" s="947"/>
      <c r="HZD88" s="947"/>
      <c r="HZE88" s="947"/>
      <c r="HZF88" s="947"/>
      <c r="HZG88" s="947"/>
      <c r="HZH88" s="947"/>
      <c r="HZI88" s="947"/>
      <c r="HZJ88" s="947"/>
      <c r="HZK88" s="947"/>
      <c r="HZL88" s="947"/>
      <c r="HZM88" s="947"/>
      <c r="HZN88" s="947"/>
      <c r="HZO88" s="947"/>
      <c r="HZP88" s="947"/>
      <c r="HZQ88" s="947"/>
      <c r="HZR88" s="947"/>
      <c r="HZS88" s="947"/>
      <c r="HZT88" s="947"/>
      <c r="HZU88" s="947"/>
      <c r="HZV88" s="947"/>
      <c r="HZW88" s="947"/>
      <c r="HZX88" s="947"/>
      <c r="HZY88" s="947"/>
      <c r="HZZ88" s="947"/>
      <c r="IAA88" s="947"/>
      <c r="IAB88" s="947"/>
      <c r="IAC88" s="947"/>
      <c r="IAD88" s="947"/>
      <c r="IAE88" s="947"/>
      <c r="IAF88" s="947"/>
      <c r="IAG88" s="947"/>
      <c r="IAH88" s="947"/>
      <c r="IAI88" s="947"/>
      <c r="IAJ88" s="947"/>
      <c r="IAK88" s="947"/>
      <c r="IAL88" s="947"/>
      <c r="IAM88" s="947"/>
      <c r="IAN88" s="947"/>
      <c r="IAO88" s="947"/>
      <c r="IAP88" s="947"/>
      <c r="IAQ88" s="947"/>
      <c r="IAR88" s="947"/>
      <c r="IAS88" s="947"/>
      <c r="IAT88" s="947"/>
      <c r="IAU88" s="947"/>
      <c r="IAV88" s="947"/>
      <c r="IAW88" s="947"/>
      <c r="IAX88" s="947"/>
      <c r="IAY88" s="947"/>
      <c r="IAZ88" s="947"/>
      <c r="IBA88" s="947"/>
      <c r="IBB88" s="947"/>
      <c r="IBC88" s="947"/>
      <c r="IBD88" s="947"/>
      <c r="IBE88" s="947"/>
      <c r="IBF88" s="947"/>
      <c r="IBG88" s="947"/>
      <c r="IBH88" s="947"/>
      <c r="IBI88" s="947"/>
      <c r="IBJ88" s="947"/>
      <c r="IBK88" s="947"/>
      <c r="IBL88" s="947"/>
      <c r="IBM88" s="947"/>
      <c r="IBN88" s="947"/>
      <c r="IBO88" s="947"/>
      <c r="IBP88" s="947"/>
      <c r="IBQ88" s="947"/>
      <c r="IBR88" s="947"/>
      <c r="IBS88" s="947"/>
      <c r="IBT88" s="947"/>
      <c r="IBU88" s="947"/>
      <c r="IBV88" s="947"/>
      <c r="IBW88" s="947"/>
      <c r="IBX88" s="947"/>
      <c r="IBY88" s="947"/>
      <c r="IBZ88" s="947"/>
      <c r="ICA88" s="947"/>
      <c r="ICB88" s="947"/>
      <c r="ICC88" s="947"/>
      <c r="ICD88" s="947"/>
      <c r="ICE88" s="947"/>
      <c r="ICF88" s="947"/>
      <c r="ICG88" s="947"/>
      <c r="ICH88" s="947"/>
      <c r="ICI88" s="947"/>
      <c r="ICJ88" s="947"/>
      <c r="ICK88" s="947"/>
      <c r="ICL88" s="947"/>
      <c r="ICM88" s="947"/>
      <c r="ICN88" s="947"/>
      <c r="ICO88" s="947"/>
      <c r="ICP88" s="947"/>
      <c r="ICQ88" s="947"/>
      <c r="ICR88" s="947"/>
      <c r="ICS88" s="947"/>
      <c r="ICT88" s="947"/>
      <c r="ICU88" s="947"/>
      <c r="ICV88" s="947"/>
      <c r="ICW88" s="947"/>
      <c r="ICX88" s="947"/>
      <c r="ICY88" s="947"/>
      <c r="ICZ88" s="947"/>
      <c r="IDA88" s="947"/>
      <c r="IDB88" s="947"/>
      <c r="IDC88" s="947"/>
      <c r="IDD88" s="947"/>
      <c r="IDE88" s="947"/>
      <c r="IDF88" s="947"/>
      <c r="IDG88" s="947"/>
      <c r="IDH88" s="947"/>
      <c r="IDI88" s="947"/>
      <c r="IDJ88" s="947"/>
      <c r="IDK88" s="947"/>
      <c r="IDL88" s="947"/>
      <c r="IDM88" s="947"/>
      <c r="IDN88" s="947"/>
      <c r="IDO88" s="947"/>
      <c r="IDP88" s="947"/>
      <c r="IDQ88" s="947"/>
      <c r="IDR88" s="947"/>
      <c r="IDS88" s="947"/>
      <c r="IDT88" s="947"/>
      <c r="IDU88" s="947"/>
      <c r="IDV88" s="947"/>
      <c r="IDW88" s="947"/>
      <c r="IDX88" s="947"/>
      <c r="IDY88" s="947"/>
      <c r="IDZ88" s="947"/>
      <c r="IEA88" s="947"/>
      <c r="IEB88" s="947"/>
      <c r="IEC88" s="947"/>
      <c r="IED88" s="947"/>
      <c r="IEE88" s="947"/>
      <c r="IEF88" s="947"/>
      <c r="IEG88" s="947"/>
      <c r="IEH88" s="947"/>
      <c r="IEI88" s="947"/>
      <c r="IEJ88" s="947"/>
      <c r="IEK88" s="947"/>
      <c r="IEL88" s="947"/>
      <c r="IEM88" s="947"/>
      <c r="IEN88" s="947"/>
      <c r="IEO88" s="947"/>
      <c r="IEP88" s="947"/>
      <c r="IEQ88" s="947"/>
      <c r="IER88" s="947"/>
      <c r="IES88" s="947"/>
      <c r="IET88" s="947"/>
      <c r="IEU88" s="947"/>
      <c r="IEV88" s="947"/>
      <c r="IEW88" s="947"/>
      <c r="IEX88" s="947"/>
      <c r="IEY88" s="947"/>
      <c r="IEZ88" s="947"/>
      <c r="IFA88" s="947"/>
      <c r="IFB88" s="947"/>
      <c r="IFC88" s="947"/>
      <c r="IFD88" s="947"/>
      <c r="IFE88" s="947"/>
      <c r="IFF88" s="947"/>
      <c r="IFG88" s="947"/>
      <c r="IFH88" s="947"/>
      <c r="IFI88" s="947"/>
      <c r="IFJ88" s="947"/>
      <c r="IFK88" s="947"/>
      <c r="IFL88" s="947"/>
      <c r="IFM88" s="947"/>
      <c r="IFN88" s="947"/>
      <c r="IFO88" s="947"/>
      <c r="IFP88" s="947"/>
      <c r="IFQ88" s="947"/>
      <c r="IFR88" s="947"/>
      <c r="IFS88" s="947"/>
      <c r="IFT88" s="947"/>
      <c r="IFU88" s="947"/>
      <c r="IFV88" s="947"/>
      <c r="IFW88" s="947"/>
      <c r="IFX88" s="947"/>
      <c r="IFY88" s="947"/>
      <c r="IFZ88" s="947"/>
      <c r="IGA88" s="947"/>
      <c r="IGB88" s="947"/>
      <c r="IGC88" s="947"/>
      <c r="IGD88" s="947"/>
      <c r="IGE88" s="947"/>
      <c r="IGF88" s="947"/>
      <c r="IGG88" s="947"/>
      <c r="IGH88" s="947"/>
      <c r="IGI88" s="947"/>
      <c r="IGJ88" s="947"/>
      <c r="IGK88" s="947"/>
      <c r="IGL88" s="947"/>
      <c r="IGM88" s="947"/>
      <c r="IGN88" s="947"/>
      <c r="IGO88" s="947"/>
      <c r="IGP88" s="947"/>
      <c r="IGQ88" s="947"/>
      <c r="IGR88" s="947"/>
      <c r="IGS88" s="947"/>
      <c r="IGT88" s="947"/>
      <c r="IGU88" s="947"/>
      <c r="IGV88" s="947"/>
      <c r="IGW88" s="947"/>
      <c r="IGX88" s="947"/>
      <c r="IGY88" s="947"/>
      <c r="IGZ88" s="947"/>
      <c r="IHA88" s="947"/>
      <c r="IHB88" s="947"/>
      <c r="IHC88" s="947"/>
      <c r="IHD88" s="947"/>
      <c r="IHE88" s="947"/>
      <c r="IHF88" s="947"/>
      <c r="IHG88" s="947"/>
      <c r="IHH88" s="947"/>
      <c r="IHI88" s="947"/>
      <c r="IHJ88" s="947"/>
      <c r="IHK88" s="947"/>
      <c r="IHL88" s="947"/>
      <c r="IHM88" s="947"/>
      <c r="IHN88" s="947"/>
      <c r="IHO88" s="947"/>
      <c r="IHP88" s="947"/>
      <c r="IHQ88" s="947"/>
      <c r="IHR88" s="947"/>
      <c r="IHS88" s="947"/>
      <c r="IHT88" s="947"/>
      <c r="IHU88" s="947"/>
      <c r="IHV88" s="947"/>
      <c r="IHW88" s="947"/>
      <c r="IHX88" s="947"/>
      <c r="IHY88" s="947"/>
      <c r="IHZ88" s="947"/>
      <c r="IIA88" s="947"/>
      <c r="IIB88" s="947"/>
      <c r="IIC88" s="947"/>
      <c r="IID88" s="947"/>
      <c r="IIE88" s="947"/>
      <c r="IIF88" s="947"/>
      <c r="IIG88" s="947"/>
      <c r="IIH88" s="947"/>
      <c r="III88" s="947"/>
      <c r="IIJ88" s="947"/>
      <c r="IIK88" s="947"/>
      <c r="IIL88" s="947"/>
      <c r="IIM88" s="947"/>
      <c r="IIN88" s="947"/>
      <c r="IIO88" s="947"/>
      <c r="IIP88" s="947"/>
      <c r="IIQ88" s="947"/>
      <c r="IIR88" s="947"/>
      <c r="IIS88" s="947"/>
      <c r="IIT88" s="947"/>
      <c r="IIU88" s="947"/>
      <c r="IIV88" s="947"/>
      <c r="IIW88" s="947"/>
      <c r="IIX88" s="947"/>
      <c r="IIY88" s="947"/>
      <c r="IIZ88" s="947"/>
      <c r="IJA88" s="947"/>
      <c r="IJB88" s="947"/>
      <c r="IJC88" s="947"/>
      <c r="IJD88" s="947"/>
      <c r="IJE88" s="947"/>
      <c r="IJF88" s="947"/>
      <c r="IJG88" s="947"/>
      <c r="IJH88" s="947"/>
      <c r="IJI88" s="947"/>
      <c r="IJJ88" s="947"/>
      <c r="IJK88" s="947"/>
      <c r="IJL88" s="947"/>
      <c r="IJM88" s="947"/>
      <c r="IJN88" s="947"/>
      <c r="IJO88" s="947"/>
      <c r="IJP88" s="947"/>
      <c r="IJQ88" s="947"/>
      <c r="IJR88" s="947"/>
      <c r="IJS88" s="947"/>
      <c r="IJT88" s="947"/>
      <c r="IJU88" s="947"/>
      <c r="IJV88" s="947"/>
      <c r="IJW88" s="947"/>
      <c r="IJX88" s="947"/>
      <c r="IJY88" s="947"/>
      <c r="IJZ88" s="947"/>
      <c r="IKA88" s="947"/>
      <c r="IKB88" s="947"/>
      <c r="IKC88" s="947"/>
      <c r="IKD88" s="947"/>
      <c r="IKE88" s="947"/>
      <c r="IKF88" s="947"/>
      <c r="IKG88" s="947"/>
      <c r="IKH88" s="947"/>
      <c r="IKI88" s="947"/>
      <c r="IKJ88" s="947"/>
      <c r="IKK88" s="947"/>
      <c r="IKL88" s="947"/>
      <c r="IKM88" s="947"/>
      <c r="IKN88" s="947"/>
      <c r="IKO88" s="947"/>
      <c r="IKP88" s="947"/>
      <c r="IKQ88" s="947"/>
      <c r="IKR88" s="947"/>
      <c r="IKS88" s="947"/>
      <c r="IKT88" s="947"/>
      <c r="IKU88" s="947"/>
      <c r="IKV88" s="947"/>
      <c r="IKW88" s="947"/>
      <c r="IKX88" s="947"/>
      <c r="IKY88" s="947"/>
      <c r="IKZ88" s="947"/>
      <c r="ILA88" s="947"/>
      <c r="ILB88" s="947"/>
      <c r="ILC88" s="947"/>
      <c r="ILD88" s="947"/>
      <c r="ILE88" s="947"/>
      <c r="ILF88" s="947"/>
      <c r="ILG88" s="947"/>
      <c r="ILH88" s="947"/>
      <c r="ILI88" s="947"/>
      <c r="ILJ88" s="947"/>
      <c r="ILK88" s="947"/>
      <c r="ILL88" s="947"/>
      <c r="ILM88" s="947"/>
      <c r="ILN88" s="947"/>
      <c r="ILO88" s="947"/>
      <c r="ILP88" s="947"/>
      <c r="ILQ88" s="947"/>
      <c r="ILR88" s="947"/>
      <c r="ILS88" s="947"/>
      <c r="ILT88" s="947"/>
      <c r="ILU88" s="947"/>
      <c r="ILV88" s="947"/>
      <c r="ILW88" s="947"/>
      <c r="ILX88" s="947"/>
      <c r="ILY88" s="947"/>
      <c r="ILZ88" s="947"/>
      <c r="IMA88" s="947"/>
      <c r="IMB88" s="947"/>
      <c r="IMC88" s="947"/>
      <c r="IMD88" s="947"/>
      <c r="IME88" s="947"/>
      <c r="IMF88" s="947"/>
      <c r="IMG88" s="947"/>
      <c r="IMH88" s="947"/>
      <c r="IMI88" s="947"/>
      <c r="IMJ88" s="947"/>
      <c r="IMK88" s="947"/>
      <c r="IML88" s="947"/>
      <c r="IMM88" s="947"/>
      <c r="IMN88" s="947"/>
      <c r="IMO88" s="947"/>
      <c r="IMP88" s="947"/>
      <c r="IMQ88" s="947"/>
      <c r="IMR88" s="947"/>
      <c r="IMS88" s="947"/>
      <c r="IMT88" s="947"/>
      <c r="IMU88" s="947"/>
      <c r="IMV88" s="947"/>
      <c r="IMW88" s="947"/>
      <c r="IMX88" s="947"/>
      <c r="IMY88" s="947"/>
      <c r="IMZ88" s="947"/>
      <c r="INA88" s="947"/>
      <c r="INB88" s="947"/>
      <c r="INC88" s="947"/>
      <c r="IND88" s="947"/>
      <c r="INE88" s="947"/>
      <c r="INF88" s="947"/>
      <c r="ING88" s="947"/>
      <c r="INH88" s="947"/>
      <c r="INI88" s="947"/>
      <c r="INJ88" s="947"/>
      <c r="INK88" s="947"/>
      <c r="INL88" s="947"/>
      <c r="INM88" s="947"/>
      <c r="INN88" s="947"/>
      <c r="INO88" s="947"/>
      <c r="INP88" s="947"/>
      <c r="INQ88" s="947"/>
      <c r="INR88" s="947"/>
      <c r="INS88" s="947"/>
      <c r="INT88" s="947"/>
      <c r="INU88" s="947"/>
      <c r="INV88" s="947"/>
      <c r="INW88" s="947"/>
      <c r="INX88" s="947"/>
      <c r="INY88" s="947"/>
      <c r="INZ88" s="947"/>
      <c r="IOA88" s="947"/>
      <c r="IOB88" s="947"/>
      <c r="IOC88" s="947"/>
      <c r="IOD88" s="947"/>
      <c r="IOE88" s="947"/>
      <c r="IOF88" s="947"/>
      <c r="IOG88" s="947"/>
      <c r="IOH88" s="947"/>
      <c r="IOI88" s="947"/>
      <c r="IOJ88" s="947"/>
      <c r="IOK88" s="947"/>
      <c r="IOL88" s="947"/>
      <c r="IOM88" s="947"/>
      <c r="ION88" s="947"/>
      <c r="IOO88" s="947"/>
      <c r="IOP88" s="947"/>
      <c r="IOQ88" s="947"/>
      <c r="IOR88" s="947"/>
      <c r="IOS88" s="947"/>
      <c r="IOT88" s="947"/>
      <c r="IOU88" s="947"/>
      <c r="IOV88" s="947"/>
      <c r="IOW88" s="947"/>
      <c r="IOX88" s="947"/>
      <c r="IOY88" s="947"/>
      <c r="IOZ88" s="947"/>
      <c r="IPA88" s="947"/>
      <c r="IPB88" s="947"/>
      <c r="IPC88" s="947"/>
      <c r="IPD88" s="947"/>
      <c r="IPE88" s="947"/>
      <c r="IPF88" s="947"/>
      <c r="IPG88" s="947"/>
      <c r="IPH88" s="947"/>
      <c r="IPI88" s="947"/>
      <c r="IPJ88" s="947"/>
      <c r="IPK88" s="947"/>
      <c r="IPL88" s="947"/>
      <c r="IPM88" s="947"/>
      <c r="IPN88" s="947"/>
      <c r="IPO88" s="947"/>
      <c r="IPP88" s="947"/>
      <c r="IPQ88" s="947"/>
      <c r="IPR88" s="947"/>
      <c r="IPS88" s="947"/>
      <c r="IPT88" s="947"/>
      <c r="IPU88" s="947"/>
      <c r="IPV88" s="947"/>
      <c r="IPW88" s="947"/>
      <c r="IPX88" s="947"/>
      <c r="IPY88" s="947"/>
      <c r="IPZ88" s="947"/>
      <c r="IQA88" s="947"/>
      <c r="IQB88" s="947"/>
      <c r="IQC88" s="947"/>
      <c r="IQD88" s="947"/>
      <c r="IQE88" s="947"/>
      <c r="IQF88" s="947"/>
      <c r="IQG88" s="947"/>
      <c r="IQH88" s="947"/>
      <c r="IQI88" s="947"/>
      <c r="IQJ88" s="947"/>
      <c r="IQK88" s="947"/>
      <c r="IQL88" s="947"/>
      <c r="IQM88" s="947"/>
      <c r="IQN88" s="947"/>
      <c r="IQO88" s="947"/>
      <c r="IQP88" s="947"/>
      <c r="IQQ88" s="947"/>
      <c r="IQR88" s="947"/>
      <c r="IQS88" s="947"/>
      <c r="IQT88" s="947"/>
      <c r="IQU88" s="947"/>
      <c r="IQV88" s="947"/>
      <c r="IQW88" s="947"/>
      <c r="IQX88" s="947"/>
      <c r="IQY88" s="947"/>
      <c r="IQZ88" s="947"/>
      <c r="IRA88" s="947"/>
      <c r="IRB88" s="947"/>
      <c r="IRC88" s="947"/>
      <c r="IRD88" s="947"/>
      <c r="IRE88" s="947"/>
      <c r="IRF88" s="947"/>
      <c r="IRG88" s="947"/>
      <c r="IRH88" s="947"/>
      <c r="IRI88" s="947"/>
      <c r="IRJ88" s="947"/>
      <c r="IRK88" s="947"/>
      <c r="IRL88" s="947"/>
      <c r="IRM88" s="947"/>
      <c r="IRN88" s="947"/>
      <c r="IRO88" s="947"/>
      <c r="IRP88" s="947"/>
      <c r="IRQ88" s="947"/>
      <c r="IRR88" s="947"/>
      <c r="IRS88" s="947"/>
      <c r="IRT88" s="947"/>
      <c r="IRU88" s="947"/>
      <c r="IRV88" s="947"/>
      <c r="IRW88" s="947"/>
      <c r="IRX88" s="947"/>
      <c r="IRY88" s="947"/>
      <c r="IRZ88" s="947"/>
      <c r="ISA88" s="947"/>
      <c r="ISB88" s="947"/>
      <c r="ISC88" s="947"/>
      <c r="ISD88" s="947"/>
      <c r="ISE88" s="947"/>
      <c r="ISF88" s="947"/>
      <c r="ISG88" s="947"/>
      <c r="ISH88" s="947"/>
      <c r="ISI88" s="947"/>
      <c r="ISJ88" s="947"/>
      <c r="ISK88" s="947"/>
      <c r="ISL88" s="947"/>
      <c r="ISM88" s="947"/>
      <c r="ISN88" s="947"/>
      <c r="ISO88" s="947"/>
      <c r="ISP88" s="947"/>
      <c r="ISQ88" s="947"/>
      <c r="ISR88" s="947"/>
      <c r="ISS88" s="947"/>
      <c r="IST88" s="947"/>
      <c r="ISU88" s="947"/>
      <c r="ISV88" s="947"/>
      <c r="ISW88" s="947"/>
      <c r="ISX88" s="947"/>
      <c r="ISY88" s="947"/>
      <c r="ISZ88" s="947"/>
      <c r="ITA88" s="947"/>
      <c r="ITB88" s="947"/>
      <c r="ITC88" s="947"/>
      <c r="ITD88" s="947"/>
      <c r="ITE88" s="947"/>
      <c r="ITF88" s="947"/>
      <c r="ITG88" s="947"/>
      <c r="ITH88" s="947"/>
      <c r="ITI88" s="947"/>
      <c r="ITJ88" s="947"/>
      <c r="ITK88" s="947"/>
      <c r="ITL88" s="947"/>
      <c r="ITM88" s="947"/>
      <c r="ITN88" s="947"/>
      <c r="ITO88" s="947"/>
      <c r="ITP88" s="947"/>
      <c r="ITQ88" s="947"/>
      <c r="ITR88" s="947"/>
      <c r="ITS88" s="947"/>
      <c r="ITT88" s="947"/>
      <c r="ITU88" s="947"/>
      <c r="ITV88" s="947"/>
      <c r="ITW88" s="947"/>
      <c r="ITX88" s="947"/>
      <c r="ITY88" s="947"/>
      <c r="ITZ88" s="947"/>
      <c r="IUA88" s="947"/>
      <c r="IUB88" s="947"/>
      <c r="IUC88" s="947"/>
      <c r="IUD88" s="947"/>
      <c r="IUE88" s="947"/>
      <c r="IUF88" s="947"/>
      <c r="IUG88" s="947"/>
      <c r="IUH88" s="947"/>
      <c r="IUI88" s="947"/>
      <c r="IUJ88" s="947"/>
      <c r="IUK88" s="947"/>
      <c r="IUL88" s="947"/>
      <c r="IUM88" s="947"/>
      <c r="IUN88" s="947"/>
      <c r="IUO88" s="947"/>
      <c r="IUP88" s="947"/>
      <c r="IUQ88" s="947"/>
      <c r="IUR88" s="947"/>
      <c r="IUS88" s="947"/>
      <c r="IUT88" s="947"/>
      <c r="IUU88" s="947"/>
      <c r="IUV88" s="947"/>
      <c r="IUW88" s="947"/>
      <c r="IUX88" s="947"/>
      <c r="IUY88" s="947"/>
      <c r="IUZ88" s="947"/>
      <c r="IVA88" s="947"/>
      <c r="IVB88" s="947"/>
      <c r="IVC88" s="947"/>
      <c r="IVD88" s="947"/>
      <c r="IVE88" s="947"/>
      <c r="IVF88" s="947"/>
      <c r="IVG88" s="947"/>
      <c r="IVH88" s="947"/>
      <c r="IVI88" s="947"/>
      <c r="IVJ88" s="947"/>
      <c r="IVK88" s="947"/>
      <c r="IVL88" s="947"/>
      <c r="IVM88" s="947"/>
      <c r="IVN88" s="947"/>
      <c r="IVO88" s="947"/>
      <c r="IVP88" s="947"/>
      <c r="IVQ88" s="947"/>
      <c r="IVR88" s="947"/>
      <c r="IVS88" s="947"/>
      <c r="IVT88" s="947"/>
      <c r="IVU88" s="947"/>
      <c r="IVV88" s="947"/>
      <c r="IVW88" s="947"/>
      <c r="IVX88" s="947"/>
      <c r="IVY88" s="947"/>
      <c r="IVZ88" s="947"/>
      <c r="IWA88" s="947"/>
      <c r="IWB88" s="947"/>
      <c r="IWC88" s="947"/>
      <c r="IWD88" s="947"/>
      <c r="IWE88" s="947"/>
      <c r="IWF88" s="947"/>
      <c r="IWG88" s="947"/>
      <c r="IWH88" s="947"/>
      <c r="IWI88" s="947"/>
      <c r="IWJ88" s="947"/>
      <c r="IWK88" s="947"/>
      <c r="IWL88" s="947"/>
      <c r="IWM88" s="947"/>
      <c r="IWN88" s="947"/>
      <c r="IWO88" s="947"/>
      <c r="IWP88" s="947"/>
      <c r="IWQ88" s="947"/>
      <c r="IWR88" s="947"/>
      <c r="IWS88" s="947"/>
      <c r="IWT88" s="947"/>
      <c r="IWU88" s="947"/>
      <c r="IWV88" s="947"/>
      <c r="IWW88" s="947"/>
      <c r="IWX88" s="947"/>
      <c r="IWY88" s="947"/>
      <c r="IWZ88" s="947"/>
      <c r="IXA88" s="947"/>
      <c r="IXB88" s="947"/>
      <c r="IXC88" s="947"/>
      <c r="IXD88" s="947"/>
      <c r="IXE88" s="947"/>
      <c r="IXF88" s="947"/>
      <c r="IXG88" s="947"/>
      <c r="IXH88" s="947"/>
      <c r="IXI88" s="947"/>
      <c r="IXJ88" s="947"/>
      <c r="IXK88" s="947"/>
      <c r="IXL88" s="947"/>
      <c r="IXM88" s="947"/>
      <c r="IXN88" s="947"/>
      <c r="IXO88" s="947"/>
      <c r="IXP88" s="947"/>
      <c r="IXQ88" s="947"/>
      <c r="IXR88" s="947"/>
      <c r="IXS88" s="947"/>
      <c r="IXT88" s="947"/>
      <c r="IXU88" s="947"/>
      <c r="IXV88" s="947"/>
      <c r="IXW88" s="947"/>
      <c r="IXX88" s="947"/>
      <c r="IXY88" s="947"/>
      <c r="IXZ88" s="947"/>
      <c r="IYA88" s="947"/>
      <c r="IYB88" s="947"/>
      <c r="IYC88" s="947"/>
      <c r="IYD88" s="947"/>
      <c r="IYE88" s="947"/>
      <c r="IYF88" s="947"/>
      <c r="IYG88" s="947"/>
      <c r="IYH88" s="947"/>
      <c r="IYI88" s="947"/>
      <c r="IYJ88" s="947"/>
      <c r="IYK88" s="947"/>
      <c r="IYL88" s="947"/>
      <c r="IYM88" s="947"/>
      <c r="IYN88" s="947"/>
      <c r="IYO88" s="947"/>
      <c r="IYP88" s="947"/>
      <c r="IYQ88" s="947"/>
      <c r="IYR88" s="947"/>
      <c r="IYS88" s="947"/>
      <c r="IYT88" s="947"/>
      <c r="IYU88" s="947"/>
      <c r="IYV88" s="947"/>
      <c r="IYW88" s="947"/>
      <c r="IYX88" s="947"/>
      <c r="IYY88" s="947"/>
      <c r="IYZ88" s="947"/>
      <c r="IZA88" s="947"/>
      <c r="IZB88" s="947"/>
      <c r="IZC88" s="947"/>
      <c r="IZD88" s="947"/>
      <c r="IZE88" s="947"/>
      <c r="IZF88" s="947"/>
      <c r="IZG88" s="947"/>
      <c r="IZH88" s="947"/>
      <c r="IZI88" s="947"/>
      <c r="IZJ88" s="947"/>
      <c r="IZK88" s="947"/>
      <c r="IZL88" s="947"/>
      <c r="IZM88" s="947"/>
      <c r="IZN88" s="947"/>
      <c r="IZO88" s="947"/>
      <c r="IZP88" s="947"/>
      <c r="IZQ88" s="947"/>
      <c r="IZR88" s="947"/>
      <c r="IZS88" s="947"/>
      <c r="IZT88" s="947"/>
      <c r="IZU88" s="947"/>
      <c r="IZV88" s="947"/>
      <c r="IZW88" s="947"/>
      <c r="IZX88" s="947"/>
      <c r="IZY88" s="947"/>
      <c r="IZZ88" s="947"/>
      <c r="JAA88" s="947"/>
      <c r="JAB88" s="947"/>
      <c r="JAC88" s="947"/>
      <c r="JAD88" s="947"/>
      <c r="JAE88" s="947"/>
      <c r="JAF88" s="947"/>
      <c r="JAG88" s="947"/>
      <c r="JAH88" s="947"/>
      <c r="JAI88" s="947"/>
      <c r="JAJ88" s="947"/>
      <c r="JAK88" s="947"/>
      <c r="JAL88" s="947"/>
      <c r="JAM88" s="947"/>
      <c r="JAN88" s="947"/>
      <c r="JAO88" s="947"/>
      <c r="JAP88" s="947"/>
      <c r="JAQ88" s="947"/>
      <c r="JAR88" s="947"/>
      <c r="JAS88" s="947"/>
      <c r="JAT88" s="947"/>
      <c r="JAU88" s="947"/>
      <c r="JAV88" s="947"/>
      <c r="JAW88" s="947"/>
      <c r="JAX88" s="947"/>
      <c r="JAY88" s="947"/>
      <c r="JAZ88" s="947"/>
      <c r="JBA88" s="947"/>
      <c r="JBB88" s="947"/>
      <c r="JBC88" s="947"/>
      <c r="JBD88" s="947"/>
      <c r="JBE88" s="947"/>
      <c r="JBF88" s="947"/>
      <c r="JBG88" s="947"/>
      <c r="JBH88" s="947"/>
      <c r="JBI88" s="947"/>
      <c r="JBJ88" s="947"/>
      <c r="JBK88" s="947"/>
      <c r="JBL88" s="947"/>
      <c r="JBM88" s="947"/>
      <c r="JBN88" s="947"/>
      <c r="JBO88" s="947"/>
      <c r="JBP88" s="947"/>
      <c r="JBQ88" s="947"/>
      <c r="JBR88" s="947"/>
      <c r="JBS88" s="947"/>
      <c r="JBT88" s="947"/>
      <c r="JBU88" s="947"/>
      <c r="JBV88" s="947"/>
      <c r="JBW88" s="947"/>
      <c r="JBX88" s="947"/>
      <c r="JBY88" s="947"/>
      <c r="JBZ88" s="947"/>
      <c r="JCA88" s="947"/>
      <c r="JCB88" s="947"/>
      <c r="JCC88" s="947"/>
      <c r="JCD88" s="947"/>
      <c r="JCE88" s="947"/>
      <c r="JCF88" s="947"/>
      <c r="JCG88" s="947"/>
      <c r="JCH88" s="947"/>
      <c r="JCI88" s="947"/>
      <c r="JCJ88" s="947"/>
      <c r="JCK88" s="947"/>
      <c r="JCL88" s="947"/>
      <c r="JCM88" s="947"/>
      <c r="JCN88" s="947"/>
      <c r="JCO88" s="947"/>
      <c r="JCP88" s="947"/>
      <c r="JCQ88" s="947"/>
      <c r="JCR88" s="947"/>
      <c r="JCS88" s="947"/>
      <c r="JCT88" s="947"/>
      <c r="JCU88" s="947"/>
      <c r="JCV88" s="947"/>
      <c r="JCW88" s="947"/>
      <c r="JCX88" s="947"/>
      <c r="JCY88" s="947"/>
      <c r="JCZ88" s="947"/>
      <c r="JDA88" s="947"/>
      <c r="JDB88" s="947"/>
      <c r="JDC88" s="947"/>
      <c r="JDD88" s="947"/>
      <c r="JDE88" s="947"/>
      <c r="JDF88" s="947"/>
      <c r="JDG88" s="947"/>
      <c r="JDH88" s="947"/>
      <c r="JDI88" s="947"/>
      <c r="JDJ88" s="947"/>
      <c r="JDK88" s="947"/>
      <c r="JDL88" s="947"/>
      <c r="JDM88" s="947"/>
      <c r="JDN88" s="947"/>
      <c r="JDO88" s="947"/>
      <c r="JDP88" s="947"/>
      <c r="JDQ88" s="947"/>
      <c r="JDR88" s="947"/>
      <c r="JDS88" s="947"/>
      <c r="JDT88" s="947"/>
      <c r="JDU88" s="947"/>
      <c r="JDV88" s="947"/>
      <c r="JDW88" s="947"/>
      <c r="JDX88" s="947"/>
      <c r="JDY88" s="947"/>
      <c r="JDZ88" s="947"/>
      <c r="JEA88" s="947"/>
      <c r="JEB88" s="947"/>
      <c r="JEC88" s="947"/>
      <c r="JED88" s="947"/>
      <c r="JEE88" s="947"/>
      <c r="JEF88" s="947"/>
      <c r="JEG88" s="947"/>
      <c r="JEH88" s="947"/>
      <c r="JEI88" s="947"/>
      <c r="JEJ88" s="947"/>
      <c r="JEK88" s="947"/>
      <c r="JEL88" s="947"/>
      <c r="JEM88" s="947"/>
      <c r="JEN88" s="947"/>
      <c r="JEO88" s="947"/>
      <c r="JEP88" s="947"/>
      <c r="JEQ88" s="947"/>
      <c r="JER88" s="947"/>
      <c r="JES88" s="947"/>
      <c r="JET88" s="947"/>
      <c r="JEU88" s="947"/>
      <c r="JEV88" s="947"/>
      <c r="JEW88" s="947"/>
      <c r="JEX88" s="947"/>
      <c r="JEY88" s="947"/>
      <c r="JEZ88" s="947"/>
      <c r="JFA88" s="947"/>
      <c r="JFB88" s="947"/>
      <c r="JFC88" s="947"/>
      <c r="JFD88" s="947"/>
      <c r="JFE88" s="947"/>
      <c r="JFF88" s="947"/>
      <c r="JFG88" s="947"/>
      <c r="JFH88" s="947"/>
      <c r="JFI88" s="947"/>
      <c r="JFJ88" s="947"/>
      <c r="JFK88" s="947"/>
      <c r="JFL88" s="947"/>
      <c r="JFM88" s="947"/>
      <c r="JFN88" s="947"/>
      <c r="JFO88" s="947"/>
      <c r="JFP88" s="947"/>
      <c r="JFQ88" s="947"/>
      <c r="JFR88" s="947"/>
      <c r="JFS88" s="947"/>
      <c r="JFT88" s="947"/>
      <c r="JFU88" s="947"/>
      <c r="JFV88" s="947"/>
      <c r="JFW88" s="947"/>
      <c r="JFX88" s="947"/>
      <c r="JFY88" s="947"/>
      <c r="JFZ88" s="947"/>
      <c r="JGA88" s="947"/>
      <c r="JGB88" s="947"/>
      <c r="JGC88" s="947"/>
      <c r="JGD88" s="947"/>
      <c r="JGE88" s="947"/>
      <c r="JGF88" s="947"/>
      <c r="JGG88" s="947"/>
      <c r="JGH88" s="947"/>
      <c r="JGI88" s="947"/>
      <c r="JGJ88" s="947"/>
      <c r="JGK88" s="947"/>
      <c r="JGL88" s="947"/>
      <c r="JGM88" s="947"/>
      <c r="JGN88" s="947"/>
      <c r="JGO88" s="947"/>
      <c r="JGP88" s="947"/>
      <c r="JGQ88" s="947"/>
      <c r="JGR88" s="947"/>
      <c r="JGS88" s="947"/>
      <c r="JGT88" s="947"/>
      <c r="JGU88" s="947"/>
      <c r="JGV88" s="947"/>
      <c r="JGW88" s="947"/>
      <c r="JGX88" s="947"/>
      <c r="JGY88" s="947"/>
      <c r="JGZ88" s="947"/>
      <c r="JHA88" s="947"/>
      <c r="JHB88" s="947"/>
      <c r="JHC88" s="947"/>
      <c r="JHD88" s="947"/>
      <c r="JHE88" s="947"/>
      <c r="JHF88" s="947"/>
      <c r="JHG88" s="947"/>
      <c r="JHH88" s="947"/>
      <c r="JHI88" s="947"/>
      <c r="JHJ88" s="947"/>
      <c r="JHK88" s="947"/>
      <c r="JHL88" s="947"/>
      <c r="JHM88" s="947"/>
      <c r="JHN88" s="947"/>
      <c r="JHO88" s="947"/>
      <c r="JHP88" s="947"/>
      <c r="JHQ88" s="947"/>
      <c r="JHR88" s="947"/>
      <c r="JHS88" s="947"/>
      <c r="JHT88" s="947"/>
      <c r="JHU88" s="947"/>
      <c r="JHV88" s="947"/>
      <c r="JHW88" s="947"/>
      <c r="JHX88" s="947"/>
      <c r="JHY88" s="947"/>
      <c r="JHZ88" s="947"/>
      <c r="JIA88" s="947"/>
      <c r="JIB88" s="947"/>
      <c r="JIC88" s="947"/>
      <c r="JID88" s="947"/>
      <c r="JIE88" s="947"/>
      <c r="JIF88" s="947"/>
      <c r="JIG88" s="947"/>
      <c r="JIH88" s="947"/>
      <c r="JII88" s="947"/>
      <c r="JIJ88" s="947"/>
      <c r="JIK88" s="947"/>
      <c r="JIL88" s="947"/>
      <c r="JIM88" s="947"/>
      <c r="JIN88" s="947"/>
      <c r="JIO88" s="947"/>
      <c r="JIP88" s="947"/>
      <c r="JIQ88" s="947"/>
      <c r="JIR88" s="947"/>
      <c r="JIS88" s="947"/>
      <c r="JIT88" s="947"/>
      <c r="JIU88" s="947"/>
      <c r="JIV88" s="947"/>
      <c r="JIW88" s="947"/>
      <c r="JIX88" s="947"/>
      <c r="JIY88" s="947"/>
      <c r="JIZ88" s="947"/>
      <c r="JJA88" s="947"/>
      <c r="JJB88" s="947"/>
      <c r="JJC88" s="947"/>
      <c r="JJD88" s="947"/>
      <c r="JJE88" s="947"/>
      <c r="JJF88" s="947"/>
      <c r="JJG88" s="947"/>
      <c r="JJH88" s="947"/>
      <c r="JJI88" s="947"/>
      <c r="JJJ88" s="947"/>
      <c r="JJK88" s="947"/>
      <c r="JJL88" s="947"/>
      <c r="JJM88" s="947"/>
      <c r="JJN88" s="947"/>
      <c r="JJO88" s="947"/>
      <c r="JJP88" s="947"/>
      <c r="JJQ88" s="947"/>
      <c r="JJR88" s="947"/>
      <c r="JJS88" s="947"/>
      <c r="JJT88" s="947"/>
      <c r="JJU88" s="947"/>
      <c r="JJV88" s="947"/>
      <c r="JJW88" s="947"/>
      <c r="JJX88" s="947"/>
      <c r="JJY88" s="947"/>
      <c r="JJZ88" s="947"/>
      <c r="JKA88" s="947"/>
      <c r="JKB88" s="947"/>
      <c r="JKC88" s="947"/>
      <c r="JKD88" s="947"/>
      <c r="JKE88" s="947"/>
      <c r="JKF88" s="947"/>
      <c r="JKG88" s="947"/>
      <c r="JKH88" s="947"/>
      <c r="JKI88" s="947"/>
      <c r="JKJ88" s="947"/>
      <c r="JKK88" s="947"/>
      <c r="JKL88" s="947"/>
      <c r="JKM88" s="947"/>
      <c r="JKN88" s="947"/>
      <c r="JKO88" s="947"/>
      <c r="JKP88" s="947"/>
      <c r="JKQ88" s="947"/>
      <c r="JKR88" s="947"/>
      <c r="JKS88" s="947"/>
      <c r="JKT88" s="947"/>
      <c r="JKU88" s="947"/>
      <c r="JKV88" s="947"/>
      <c r="JKW88" s="947"/>
      <c r="JKX88" s="947"/>
      <c r="JKY88" s="947"/>
      <c r="JKZ88" s="947"/>
      <c r="JLA88" s="947"/>
      <c r="JLB88" s="947"/>
      <c r="JLC88" s="947"/>
      <c r="JLD88" s="947"/>
      <c r="JLE88" s="947"/>
      <c r="JLF88" s="947"/>
      <c r="JLG88" s="947"/>
      <c r="JLH88" s="947"/>
      <c r="JLI88" s="947"/>
      <c r="JLJ88" s="947"/>
      <c r="JLK88" s="947"/>
      <c r="JLL88" s="947"/>
      <c r="JLM88" s="947"/>
      <c r="JLN88" s="947"/>
      <c r="JLO88" s="947"/>
      <c r="JLP88" s="947"/>
      <c r="JLQ88" s="947"/>
      <c r="JLR88" s="947"/>
      <c r="JLS88" s="947"/>
      <c r="JLT88" s="947"/>
      <c r="JLU88" s="947"/>
      <c r="JLV88" s="947"/>
      <c r="JLW88" s="947"/>
      <c r="JLX88" s="947"/>
      <c r="JLY88" s="947"/>
      <c r="JLZ88" s="947"/>
      <c r="JMA88" s="947"/>
      <c r="JMB88" s="947"/>
      <c r="JMC88" s="947"/>
      <c r="JMD88" s="947"/>
      <c r="JME88" s="947"/>
      <c r="JMF88" s="947"/>
      <c r="JMG88" s="947"/>
      <c r="JMH88" s="947"/>
      <c r="JMI88" s="947"/>
      <c r="JMJ88" s="947"/>
      <c r="JMK88" s="947"/>
      <c r="JML88" s="947"/>
      <c r="JMM88" s="947"/>
      <c r="JMN88" s="947"/>
      <c r="JMO88" s="947"/>
      <c r="JMP88" s="947"/>
      <c r="JMQ88" s="947"/>
      <c r="JMR88" s="947"/>
      <c r="JMS88" s="947"/>
      <c r="JMT88" s="947"/>
      <c r="JMU88" s="947"/>
      <c r="JMV88" s="947"/>
      <c r="JMW88" s="947"/>
      <c r="JMX88" s="947"/>
      <c r="JMY88" s="947"/>
      <c r="JMZ88" s="947"/>
      <c r="JNA88" s="947"/>
      <c r="JNB88" s="947"/>
      <c r="JNC88" s="947"/>
      <c r="JND88" s="947"/>
      <c r="JNE88" s="947"/>
      <c r="JNF88" s="947"/>
      <c r="JNG88" s="947"/>
      <c r="JNH88" s="947"/>
      <c r="JNI88" s="947"/>
      <c r="JNJ88" s="947"/>
      <c r="JNK88" s="947"/>
      <c r="JNL88" s="947"/>
      <c r="JNM88" s="947"/>
      <c r="JNN88" s="947"/>
      <c r="JNO88" s="947"/>
      <c r="JNP88" s="947"/>
      <c r="JNQ88" s="947"/>
      <c r="JNR88" s="947"/>
      <c r="JNS88" s="947"/>
      <c r="JNT88" s="947"/>
      <c r="JNU88" s="947"/>
      <c r="JNV88" s="947"/>
      <c r="JNW88" s="947"/>
      <c r="JNX88" s="947"/>
      <c r="JNY88" s="947"/>
      <c r="JNZ88" s="947"/>
      <c r="JOA88" s="947"/>
      <c r="JOB88" s="947"/>
      <c r="JOC88" s="947"/>
      <c r="JOD88" s="947"/>
      <c r="JOE88" s="947"/>
      <c r="JOF88" s="947"/>
      <c r="JOG88" s="947"/>
      <c r="JOH88" s="947"/>
      <c r="JOI88" s="947"/>
      <c r="JOJ88" s="947"/>
      <c r="JOK88" s="947"/>
      <c r="JOL88" s="947"/>
      <c r="JOM88" s="947"/>
      <c r="JON88" s="947"/>
      <c r="JOO88" s="947"/>
      <c r="JOP88" s="947"/>
      <c r="JOQ88" s="947"/>
      <c r="JOR88" s="947"/>
      <c r="JOS88" s="947"/>
      <c r="JOT88" s="947"/>
      <c r="JOU88" s="947"/>
      <c r="JOV88" s="947"/>
      <c r="JOW88" s="947"/>
      <c r="JOX88" s="947"/>
      <c r="JOY88" s="947"/>
      <c r="JOZ88" s="947"/>
      <c r="JPA88" s="947"/>
      <c r="JPB88" s="947"/>
      <c r="JPC88" s="947"/>
      <c r="JPD88" s="947"/>
      <c r="JPE88" s="947"/>
      <c r="JPF88" s="947"/>
      <c r="JPG88" s="947"/>
      <c r="JPH88" s="947"/>
      <c r="JPI88" s="947"/>
      <c r="JPJ88" s="947"/>
      <c r="JPK88" s="947"/>
      <c r="JPL88" s="947"/>
      <c r="JPM88" s="947"/>
      <c r="JPN88" s="947"/>
      <c r="JPO88" s="947"/>
      <c r="JPP88" s="947"/>
      <c r="JPQ88" s="947"/>
      <c r="JPR88" s="947"/>
      <c r="JPS88" s="947"/>
      <c r="JPT88" s="947"/>
      <c r="JPU88" s="947"/>
      <c r="JPV88" s="947"/>
      <c r="JPW88" s="947"/>
      <c r="JPX88" s="947"/>
      <c r="JPY88" s="947"/>
      <c r="JPZ88" s="947"/>
      <c r="JQA88" s="947"/>
      <c r="JQB88" s="947"/>
      <c r="JQC88" s="947"/>
      <c r="JQD88" s="947"/>
      <c r="JQE88" s="947"/>
      <c r="JQF88" s="947"/>
      <c r="JQG88" s="947"/>
      <c r="JQH88" s="947"/>
      <c r="JQI88" s="947"/>
      <c r="JQJ88" s="947"/>
      <c r="JQK88" s="947"/>
      <c r="JQL88" s="947"/>
      <c r="JQM88" s="947"/>
      <c r="JQN88" s="947"/>
      <c r="JQO88" s="947"/>
      <c r="JQP88" s="947"/>
      <c r="JQQ88" s="947"/>
      <c r="JQR88" s="947"/>
      <c r="JQS88" s="947"/>
      <c r="JQT88" s="947"/>
      <c r="JQU88" s="947"/>
      <c r="JQV88" s="947"/>
      <c r="JQW88" s="947"/>
      <c r="JQX88" s="947"/>
      <c r="JQY88" s="947"/>
      <c r="JQZ88" s="947"/>
      <c r="JRA88" s="947"/>
      <c r="JRB88" s="947"/>
      <c r="JRC88" s="947"/>
      <c r="JRD88" s="947"/>
      <c r="JRE88" s="947"/>
      <c r="JRF88" s="947"/>
      <c r="JRG88" s="947"/>
      <c r="JRH88" s="947"/>
      <c r="JRI88" s="947"/>
      <c r="JRJ88" s="947"/>
      <c r="JRK88" s="947"/>
      <c r="JRL88" s="947"/>
      <c r="JRM88" s="947"/>
      <c r="JRN88" s="947"/>
      <c r="JRO88" s="947"/>
      <c r="JRP88" s="947"/>
      <c r="JRQ88" s="947"/>
      <c r="JRR88" s="947"/>
      <c r="JRS88" s="947"/>
      <c r="JRT88" s="947"/>
      <c r="JRU88" s="947"/>
      <c r="JRV88" s="947"/>
      <c r="JRW88" s="947"/>
      <c r="JRX88" s="947"/>
      <c r="JRY88" s="947"/>
      <c r="JRZ88" s="947"/>
      <c r="JSA88" s="947"/>
      <c r="JSB88" s="947"/>
      <c r="JSC88" s="947"/>
      <c r="JSD88" s="947"/>
      <c r="JSE88" s="947"/>
      <c r="JSF88" s="947"/>
      <c r="JSG88" s="947"/>
      <c r="JSH88" s="947"/>
      <c r="JSI88" s="947"/>
      <c r="JSJ88" s="947"/>
      <c r="JSK88" s="947"/>
      <c r="JSL88" s="947"/>
      <c r="JSM88" s="947"/>
      <c r="JSN88" s="947"/>
      <c r="JSO88" s="947"/>
      <c r="JSP88" s="947"/>
      <c r="JSQ88" s="947"/>
      <c r="JSR88" s="947"/>
      <c r="JSS88" s="947"/>
      <c r="JST88" s="947"/>
      <c r="JSU88" s="947"/>
      <c r="JSV88" s="947"/>
      <c r="JSW88" s="947"/>
      <c r="JSX88" s="947"/>
      <c r="JSY88" s="947"/>
      <c r="JSZ88" s="947"/>
      <c r="JTA88" s="947"/>
      <c r="JTB88" s="947"/>
      <c r="JTC88" s="947"/>
      <c r="JTD88" s="947"/>
      <c r="JTE88" s="947"/>
      <c r="JTF88" s="947"/>
      <c r="JTG88" s="947"/>
      <c r="JTH88" s="947"/>
      <c r="JTI88" s="947"/>
      <c r="JTJ88" s="947"/>
      <c r="JTK88" s="947"/>
      <c r="JTL88" s="947"/>
      <c r="JTM88" s="947"/>
      <c r="JTN88" s="947"/>
      <c r="JTO88" s="947"/>
      <c r="JTP88" s="947"/>
      <c r="JTQ88" s="947"/>
      <c r="JTR88" s="947"/>
      <c r="JTS88" s="947"/>
      <c r="JTT88" s="947"/>
      <c r="JTU88" s="947"/>
      <c r="JTV88" s="947"/>
      <c r="JTW88" s="947"/>
      <c r="JTX88" s="947"/>
      <c r="JTY88" s="947"/>
      <c r="JTZ88" s="947"/>
      <c r="JUA88" s="947"/>
      <c r="JUB88" s="947"/>
      <c r="JUC88" s="947"/>
      <c r="JUD88" s="947"/>
      <c r="JUE88" s="947"/>
      <c r="JUF88" s="947"/>
      <c r="JUG88" s="947"/>
      <c r="JUH88" s="947"/>
      <c r="JUI88" s="947"/>
      <c r="JUJ88" s="947"/>
      <c r="JUK88" s="947"/>
      <c r="JUL88" s="947"/>
      <c r="JUM88" s="947"/>
      <c r="JUN88" s="947"/>
      <c r="JUO88" s="947"/>
      <c r="JUP88" s="947"/>
      <c r="JUQ88" s="947"/>
      <c r="JUR88" s="947"/>
      <c r="JUS88" s="947"/>
      <c r="JUT88" s="947"/>
      <c r="JUU88" s="947"/>
      <c r="JUV88" s="947"/>
      <c r="JUW88" s="947"/>
      <c r="JUX88" s="947"/>
      <c r="JUY88" s="947"/>
      <c r="JUZ88" s="947"/>
      <c r="JVA88" s="947"/>
      <c r="JVB88" s="947"/>
      <c r="JVC88" s="947"/>
      <c r="JVD88" s="947"/>
      <c r="JVE88" s="947"/>
      <c r="JVF88" s="947"/>
      <c r="JVG88" s="947"/>
      <c r="JVH88" s="947"/>
      <c r="JVI88" s="947"/>
      <c r="JVJ88" s="947"/>
      <c r="JVK88" s="947"/>
      <c r="JVL88" s="947"/>
      <c r="JVM88" s="947"/>
      <c r="JVN88" s="947"/>
      <c r="JVO88" s="947"/>
      <c r="JVP88" s="947"/>
      <c r="JVQ88" s="947"/>
      <c r="JVR88" s="947"/>
      <c r="JVS88" s="947"/>
      <c r="JVT88" s="947"/>
      <c r="JVU88" s="947"/>
      <c r="JVV88" s="947"/>
      <c r="JVW88" s="947"/>
      <c r="JVX88" s="947"/>
      <c r="JVY88" s="947"/>
      <c r="JVZ88" s="947"/>
      <c r="JWA88" s="947"/>
      <c r="JWB88" s="947"/>
      <c r="JWC88" s="947"/>
      <c r="JWD88" s="947"/>
      <c r="JWE88" s="947"/>
      <c r="JWF88" s="947"/>
      <c r="JWG88" s="947"/>
      <c r="JWH88" s="947"/>
      <c r="JWI88" s="947"/>
      <c r="JWJ88" s="947"/>
      <c r="JWK88" s="947"/>
      <c r="JWL88" s="947"/>
      <c r="JWM88" s="947"/>
      <c r="JWN88" s="947"/>
      <c r="JWO88" s="947"/>
      <c r="JWP88" s="947"/>
      <c r="JWQ88" s="947"/>
      <c r="JWR88" s="947"/>
      <c r="JWS88" s="947"/>
      <c r="JWT88" s="947"/>
      <c r="JWU88" s="947"/>
      <c r="JWV88" s="947"/>
      <c r="JWW88" s="947"/>
      <c r="JWX88" s="947"/>
      <c r="JWY88" s="947"/>
      <c r="JWZ88" s="947"/>
      <c r="JXA88" s="947"/>
      <c r="JXB88" s="947"/>
      <c r="JXC88" s="947"/>
      <c r="JXD88" s="947"/>
      <c r="JXE88" s="947"/>
      <c r="JXF88" s="947"/>
      <c r="JXG88" s="947"/>
      <c r="JXH88" s="947"/>
      <c r="JXI88" s="947"/>
      <c r="JXJ88" s="947"/>
      <c r="JXK88" s="947"/>
      <c r="JXL88" s="947"/>
      <c r="JXM88" s="947"/>
      <c r="JXN88" s="947"/>
      <c r="JXO88" s="947"/>
      <c r="JXP88" s="947"/>
      <c r="JXQ88" s="947"/>
      <c r="JXR88" s="947"/>
      <c r="JXS88" s="947"/>
      <c r="JXT88" s="947"/>
      <c r="JXU88" s="947"/>
      <c r="JXV88" s="947"/>
      <c r="JXW88" s="947"/>
      <c r="JXX88" s="947"/>
      <c r="JXY88" s="947"/>
      <c r="JXZ88" s="947"/>
      <c r="JYA88" s="947"/>
      <c r="JYB88" s="947"/>
      <c r="JYC88" s="947"/>
      <c r="JYD88" s="947"/>
      <c r="JYE88" s="947"/>
      <c r="JYF88" s="947"/>
      <c r="JYG88" s="947"/>
      <c r="JYH88" s="947"/>
      <c r="JYI88" s="947"/>
      <c r="JYJ88" s="947"/>
      <c r="JYK88" s="947"/>
      <c r="JYL88" s="947"/>
      <c r="JYM88" s="947"/>
      <c r="JYN88" s="947"/>
      <c r="JYO88" s="947"/>
      <c r="JYP88" s="947"/>
      <c r="JYQ88" s="947"/>
      <c r="JYR88" s="947"/>
      <c r="JYS88" s="947"/>
      <c r="JYT88" s="947"/>
      <c r="JYU88" s="947"/>
      <c r="JYV88" s="947"/>
      <c r="JYW88" s="947"/>
      <c r="JYX88" s="947"/>
      <c r="JYY88" s="947"/>
      <c r="JYZ88" s="947"/>
      <c r="JZA88" s="947"/>
      <c r="JZB88" s="947"/>
      <c r="JZC88" s="947"/>
      <c r="JZD88" s="947"/>
      <c r="JZE88" s="947"/>
      <c r="JZF88" s="947"/>
      <c r="JZG88" s="947"/>
      <c r="JZH88" s="947"/>
      <c r="JZI88" s="947"/>
      <c r="JZJ88" s="947"/>
      <c r="JZK88" s="947"/>
      <c r="JZL88" s="947"/>
      <c r="JZM88" s="947"/>
      <c r="JZN88" s="947"/>
      <c r="JZO88" s="947"/>
      <c r="JZP88" s="947"/>
      <c r="JZQ88" s="947"/>
      <c r="JZR88" s="947"/>
      <c r="JZS88" s="947"/>
      <c r="JZT88" s="947"/>
      <c r="JZU88" s="947"/>
      <c r="JZV88" s="947"/>
      <c r="JZW88" s="947"/>
      <c r="JZX88" s="947"/>
      <c r="JZY88" s="947"/>
      <c r="JZZ88" s="947"/>
      <c r="KAA88" s="947"/>
      <c r="KAB88" s="947"/>
      <c r="KAC88" s="947"/>
      <c r="KAD88" s="947"/>
      <c r="KAE88" s="947"/>
      <c r="KAF88" s="947"/>
      <c r="KAG88" s="947"/>
      <c r="KAH88" s="947"/>
      <c r="KAI88" s="947"/>
      <c r="KAJ88" s="947"/>
      <c r="KAK88" s="947"/>
      <c r="KAL88" s="947"/>
      <c r="KAM88" s="947"/>
      <c r="KAN88" s="947"/>
      <c r="KAO88" s="947"/>
      <c r="KAP88" s="947"/>
      <c r="KAQ88" s="947"/>
      <c r="KAR88" s="947"/>
      <c r="KAS88" s="947"/>
      <c r="KAT88" s="947"/>
      <c r="KAU88" s="947"/>
      <c r="KAV88" s="947"/>
      <c r="KAW88" s="947"/>
      <c r="KAX88" s="947"/>
      <c r="KAY88" s="947"/>
      <c r="KAZ88" s="947"/>
      <c r="KBA88" s="947"/>
      <c r="KBB88" s="947"/>
      <c r="KBC88" s="947"/>
      <c r="KBD88" s="947"/>
      <c r="KBE88" s="947"/>
      <c r="KBF88" s="947"/>
      <c r="KBG88" s="947"/>
      <c r="KBH88" s="947"/>
      <c r="KBI88" s="947"/>
      <c r="KBJ88" s="947"/>
      <c r="KBK88" s="947"/>
      <c r="KBL88" s="947"/>
      <c r="KBM88" s="947"/>
      <c r="KBN88" s="947"/>
      <c r="KBO88" s="947"/>
      <c r="KBP88" s="947"/>
      <c r="KBQ88" s="947"/>
      <c r="KBR88" s="947"/>
      <c r="KBS88" s="947"/>
      <c r="KBT88" s="947"/>
      <c r="KBU88" s="947"/>
      <c r="KBV88" s="947"/>
      <c r="KBW88" s="947"/>
      <c r="KBX88" s="947"/>
      <c r="KBY88" s="947"/>
      <c r="KBZ88" s="947"/>
      <c r="KCA88" s="947"/>
      <c r="KCB88" s="947"/>
      <c r="KCC88" s="947"/>
      <c r="KCD88" s="947"/>
      <c r="KCE88" s="947"/>
      <c r="KCF88" s="947"/>
      <c r="KCG88" s="947"/>
      <c r="KCH88" s="947"/>
      <c r="KCI88" s="947"/>
      <c r="KCJ88" s="947"/>
      <c r="KCK88" s="947"/>
      <c r="KCL88" s="947"/>
      <c r="KCM88" s="947"/>
      <c r="KCN88" s="947"/>
      <c r="KCO88" s="947"/>
      <c r="KCP88" s="947"/>
      <c r="KCQ88" s="947"/>
      <c r="KCR88" s="947"/>
      <c r="KCS88" s="947"/>
      <c r="KCT88" s="947"/>
      <c r="KCU88" s="947"/>
      <c r="KCV88" s="947"/>
      <c r="KCW88" s="947"/>
      <c r="KCX88" s="947"/>
      <c r="KCY88" s="947"/>
      <c r="KCZ88" s="947"/>
      <c r="KDA88" s="947"/>
      <c r="KDB88" s="947"/>
      <c r="KDC88" s="947"/>
      <c r="KDD88" s="947"/>
      <c r="KDE88" s="947"/>
      <c r="KDF88" s="947"/>
      <c r="KDG88" s="947"/>
      <c r="KDH88" s="947"/>
      <c r="KDI88" s="947"/>
      <c r="KDJ88" s="947"/>
      <c r="KDK88" s="947"/>
      <c r="KDL88" s="947"/>
      <c r="KDM88" s="947"/>
      <c r="KDN88" s="947"/>
      <c r="KDO88" s="947"/>
      <c r="KDP88" s="947"/>
      <c r="KDQ88" s="947"/>
      <c r="KDR88" s="947"/>
      <c r="KDS88" s="947"/>
      <c r="KDT88" s="947"/>
      <c r="KDU88" s="947"/>
      <c r="KDV88" s="947"/>
      <c r="KDW88" s="947"/>
      <c r="KDX88" s="947"/>
      <c r="KDY88" s="947"/>
      <c r="KDZ88" s="947"/>
      <c r="KEA88" s="947"/>
      <c r="KEB88" s="947"/>
      <c r="KEC88" s="947"/>
      <c r="KED88" s="947"/>
      <c r="KEE88" s="947"/>
      <c r="KEF88" s="947"/>
      <c r="KEG88" s="947"/>
      <c r="KEH88" s="947"/>
      <c r="KEI88" s="947"/>
      <c r="KEJ88" s="947"/>
      <c r="KEK88" s="947"/>
      <c r="KEL88" s="947"/>
      <c r="KEM88" s="947"/>
      <c r="KEN88" s="947"/>
      <c r="KEO88" s="947"/>
      <c r="KEP88" s="947"/>
      <c r="KEQ88" s="947"/>
      <c r="KER88" s="947"/>
      <c r="KES88" s="947"/>
      <c r="KET88" s="947"/>
      <c r="KEU88" s="947"/>
      <c r="KEV88" s="947"/>
      <c r="KEW88" s="947"/>
      <c r="KEX88" s="947"/>
      <c r="KEY88" s="947"/>
      <c r="KEZ88" s="947"/>
      <c r="KFA88" s="947"/>
      <c r="KFB88" s="947"/>
      <c r="KFC88" s="947"/>
      <c r="KFD88" s="947"/>
      <c r="KFE88" s="947"/>
      <c r="KFF88" s="947"/>
      <c r="KFG88" s="947"/>
      <c r="KFH88" s="947"/>
      <c r="KFI88" s="947"/>
      <c r="KFJ88" s="947"/>
      <c r="KFK88" s="947"/>
      <c r="KFL88" s="947"/>
      <c r="KFM88" s="947"/>
      <c r="KFN88" s="947"/>
      <c r="KFO88" s="947"/>
      <c r="KFP88" s="947"/>
      <c r="KFQ88" s="947"/>
      <c r="KFR88" s="947"/>
      <c r="KFS88" s="947"/>
      <c r="KFT88" s="947"/>
      <c r="KFU88" s="947"/>
      <c r="KFV88" s="947"/>
      <c r="KFW88" s="947"/>
      <c r="KFX88" s="947"/>
      <c r="KFY88" s="947"/>
      <c r="KFZ88" s="947"/>
      <c r="KGA88" s="947"/>
      <c r="KGB88" s="947"/>
      <c r="KGC88" s="947"/>
      <c r="KGD88" s="947"/>
      <c r="KGE88" s="947"/>
      <c r="KGF88" s="947"/>
      <c r="KGG88" s="947"/>
      <c r="KGH88" s="947"/>
      <c r="KGI88" s="947"/>
      <c r="KGJ88" s="947"/>
      <c r="KGK88" s="947"/>
      <c r="KGL88" s="947"/>
      <c r="KGM88" s="947"/>
      <c r="KGN88" s="947"/>
      <c r="KGO88" s="947"/>
      <c r="KGP88" s="947"/>
      <c r="KGQ88" s="947"/>
      <c r="KGR88" s="947"/>
      <c r="KGS88" s="947"/>
      <c r="KGT88" s="947"/>
      <c r="KGU88" s="947"/>
      <c r="KGV88" s="947"/>
      <c r="KGW88" s="947"/>
      <c r="KGX88" s="947"/>
      <c r="KGY88" s="947"/>
      <c r="KGZ88" s="947"/>
      <c r="KHA88" s="947"/>
      <c r="KHB88" s="947"/>
      <c r="KHC88" s="947"/>
      <c r="KHD88" s="947"/>
      <c r="KHE88" s="947"/>
      <c r="KHF88" s="947"/>
      <c r="KHG88" s="947"/>
      <c r="KHH88" s="947"/>
      <c r="KHI88" s="947"/>
      <c r="KHJ88" s="947"/>
      <c r="KHK88" s="947"/>
      <c r="KHL88" s="947"/>
      <c r="KHM88" s="947"/>
      <c r="KHN88" s="947"/>
      <c r="KHO88" s="947"/>
      <c r="KHP88" s="947"/>
      <c r="KHQ88" s="947"/>
      <c r="KHR88" s="947"/>
      <c r="KHS88" s="947"/>
      <c r="KHT88" s="947"/>
      <c r="KHU88" s="947"/>
      <c r="KHV88" s="947"/>
      <c r="KHW88" s="947"/>
      <c r="KHX88" s="947"/>
      <c r="KHY88" s="947"/>
      <c r="KHZ88" s="947"/>
      <c r="KIA88" s="947"/>
      <c r="KIB88" s="947"/>
      <c r="KIC88" s="947"/>
      <c r="KID88" s="947"/>
      <c r="KIE88" s="947"/>
      <c r="KIF88" s="947"/>
      <c r="KIG88" s="947"/>
      <c r="KIH88" s="947"/>
      <c r="KII88" s="947"/>
      <c r="KIJ88" s="947"/>
      <c r="KIK88" s="947"/>
      <c r="KIL88" s="947"/>
      <c r="KIM88" s="947"/>
      <c r="KIN88" s="947"/>
      <c r="KIO88" s="947"/>
      <c r="KIP88" s="947"/>
      <c r="KIQ88" s="947"/>
      <c r="KIR88" s="947"/>
      <c r="KIS88" s="947"/>
      <c r="KIT88" s="947"/>
      <c r="KIU88" s="947"/>
      <c r="KIV88" s="947"/>
      <c r="KIW88" s="947"/>
      <c r="KIX88" s="947"/>
      <c r="KIY88" s="947"/>
      <c r="KIZ88" s="947"/>
      <c r="KJA88" s="947"/>
      <c r="KJB88" s="947"/>
      <c r="KJC88" s="947"/>
      <c r="KJD88" s="947"/>
      <c r="KJE88" s="947"/>
      <c r="KJF88" s="947"/>
      <c r="KJG88" s="947"/>
      <c r="KJH88" s="947"/>
      <c r="KJI88" s="947"/>
      <c r="KJJ88" s="947"/>
      <c r="KJK88" s="947"/>
      <c r="KJL88" s="947"/>
      <c r="KJM88" s="947"/>
      <c r="KJN88" s="947"/>
      <c r="KJO88" s="947"/>
      <c r="KJP88" s="947"/>
      <c r="KJQ88" s="947"/>
      <c r="KJR88" s="947"/>
      <c r="KJS88" s="947"/>
      <c r="KJT88" s="947"/>
      <c r="KJU88" s="947"/>
      <c r="KJV88" s="947"/>
      <c r="KJW88" s="947"/>
      <c r="KJX88" s="947"/>
      <c r="KJY88" s="947"/>
      <c r="KJZ88" s="947"/>
      <c r="KKA88" s="947"/>
      <c r="KKB88" s="947"/>
      <c r="KKC88" s="947"/>
      <c r="KKD88" s="947"/>
      <c r="KKE88" s="947"/>
      <c r="KKF88" s="947"/>
      <c r="KKG88" s="947"/>
      <c r="KKH88" s="947"/>
      <c r="KKI88" s="947"/>
      <c r="KKJ88" s="947"/>
      <c r="KKK88" s="947"/>
      <c r="KKL88" s="947"/>
      <c r="KKM88" s="947"/>
      <c r="KKN88" s="947"/>
      <c r="KKO88" s="947"/>
      <c r="KKP88" s="947"/>
      <c r="KKQ88" s="947"/>
      <c r="KKR88" s="947"/>
      <c r="KKS88" s="947"/>
      <c r="KKT88" s="947"/>
      <c r="KKU88" s="947"/>
      <c r="KKV88" s="947"/>
      <c r="KKW88" s="947"/>
      <c r="KKX88" s="947"/>
      <c r="KKY88" s="947"/>
      <c r="KKZ88" s="947"/>
      <c r="KLA88" s="947"/>
      <c r="KLB88" s="947"/>
      <c r="KLC88" s="947"/>
      <c r="KLD88" s="947"/>
      <c r="KLE88" s="947"/>
      <c r="KLF88" s="947"/>
      <c r="KLG88" s="947"/>
      <c r="KLH88" s="947"/>
      <c r="KLI88" s="947"/>
      <c r="KLJ88" s="947"/>
      <c r="KLK88" s="947"/>
      <c r="KLL88" s="947"/>
      <c r="KLM88" s="947"/>
      <c r="KLN88" s="947"/>
      <c r="KLO88" s="947"/>
      <c r="KLP88" s="947"/>
      <c r="KLQ88" s="947"/>
      <c r="KLR88" s="947"/>
      <c r="KLS88" s="947"/>
      <c r="KLT88" s="947"/>
      <c r="KLU88" s="947"/>
      <c r="KLV88" s="947"/>
      <c r="KLW88" s="947"/>
      <c r="KLX88" s="947"/>
      <c r="KLY88" s="947"/>
      <c r="KLZ88" s="947"/>
      <c r="KMA88" s="947"/>
      <c r="KMB88" s="947"/>
      <c r="KMC88" s="947"/>
      <c r="KMD88" s="947"/>
      <c r="KME88" s="947"/>
      <c r="KMF88" s="947"/>
      <c r="KMG88" s="947"/>
      <c r="KMH88" s="947"/>
      <c r="KMI88" s="947"/>
      <c r="KMJ88" s="947"/>
      <c r="KMK88" s="947"/>
      <c r="KML88" s="947"/>
      <c r="KMM88" s="947"/>
      <c r="KMN88" s="947"/>
      <c r="KMO88" s="947"/>
      <c r="KMP88" s="947"/>
      <c r="KMQ88" s="947"/>
      <c r="KMR88" s="947"/>
      <c r="KMS88" s="947"/>
      <c r="KMT88" s="947"/>
      <c r="KMU88" s="947"/>
      <c r="KMV88" s="947"/>
      <c r="KMW88" s="947"/>
      <c r="KMX88" s="947"/>
      <c r="KMY88" s="947"/>
      <c r="KMZ88" s="947"/>
      <c r="KNA88" s="947"/>
      <c r="KNB88" s="947"/>
      <c r="KNC88" s="947"/>
      <c r="KND88" s="947"/>
      <c r="KNE88" s="947"/>
      <c r="KNF88" s="947"/>
      <c r="KNG88" s="947"/>
      <c r="KNH88" s="947"/>
      <c r="KNI88" s="947"/>
      <c r="KNJ88" s="947"/>
      <c r="KNK88" s="947"/>
      <c r="KNL88" s="947"/>
      <c r="KNM88" s="947"/>
      <c r="KNN88" s="947"/>
      <c r="KNO88" s="947"/>
      <c r="KNP88" s="947"/>
      <c r="KNQ88" s="947"/>
      <c r="KNR88" s="947"/>
      <c r="KNS88" s="947"/>
      <c r="KNT88" s="947"/>
      <c r="KNU88" s="947"/>
      <c r="KNV88" s="947"/>
      <c r="KNW88" s="947"/>
      <c r="KNX88" s="947"/>
      <c r="KNY88" s="947"/>
      <c r="KNZ88" s="947"/>
      <c r="KOA88" s="947"/>
      <c r="KOB88" s="947"/>
      <c r="KOC88" s="947"/>
      <c r="KOD88" s="947"/>
      <c r="KOE88" s="947"/>
      <c r="KOF88" s="947"/>
      <c r="KOG88" s="947"/>
      <c r="KOH88" s="947"/>
      <c r="KOI88" s="947"/>
      <c r="KOJ88" s="947"/>
      <c r="KOK88" s="947"/>
      <c r="KOL88" s="947"/>
      <c r="KOM88" s="947"/>
      <c r="KON88" s="947"/>
      <c r="KOO88" s="947"/>
      <c r="KOP88" s="947"/>
      <c r="KOQ88" s="947"/>
      <c r="KOR88" s="947"/>
      <c r="KOS88" s="947"/>
      <c r="KOT88" s="947"/>
      <c r="KOU88" s="947"/>
      <c r="KOV88" s="947"/>
      <c r="KOW88" s="947"/>
      <c r="KOX88" s="947"/>
      <c r="KOY88" s="947"/>
      <c r="KOZ88" s="947"/>
      <c r="KPA88" s="947"/>
      <c r="KPB88" s="947"/>
      <c r="KPC88" s="947"/>
      <c r="KPD88" s="947"/>
      <c r="KPE88" s="947"/>
      <c r="KPF88" s="947"/>
      <c r="KPG88" s="947"/>
      <c r="KPH88" s="947"/>
      <c r="KPI88" s="947"/>
      <c r="KPJ88" s="947"/>
      <c r="KPK88" s="947"/>
      <c r="KPL88" s="947"/>
      <c r="KPM88" s="947"/>
      <c r="KPN88" s="947"/>
      <c r="KPO88" s="947"/>
      <c r="KPP88" s="947"/>
      <c r="KPQ88" s="947"/>
      <c r="KPR88" s="947"/>
      <c r="KPS88" s="947"/>
      <c r="KPT88" s="947"/>
      <c r="KPU88" s="947"/>
      <c r="KPV88" s="947"/>
      <c r="KPW88" s="947"/>
      <c r="KPX88" s="947"/>
      <c r="KPY88" s="947"/>
      <c r="KPZ88" s="947"/>
      <c r="KQA88" s="947"/>
      <c r="KQB88" s="947"/>
      <c r="KQC88" s="947"/>
      <c r="KQD88" s="947"/>
      <c r="KQE88" s="947"/>
      <c r="KQF88" s="947"/>
      <c r="KQG88" s="947"/>
      <c r="KQH88" s="947"/>
      <c r="KQI88" s="947"/>
      <c r="KQJ88" s="947"/>
      <c r="KQK88" s="947"/>
      <c r="KQL88" s="947"/>
      <c r="KQM88" s="947"/>
      <c r="KQN88" s="947"/>
      <c r="KQO88" s="947"/>
      <c r="KQP88" s="947"/>
      <c r="KQQ88" s="947"/>
      <c r="KQR88" s="947"/>
      <c r="KQS88" s="947"/>
      <c r="KQT88" s="947"/>
      <c r="KQU88" s="947"/>
      <c r="KQV88" s="947"/>
      <c r="KQW88" s="947"/>
      <c r="KQX88" s="947"/>
      <c r="KQY88" s="947"/>
      <c r="KQZ88" s="947"/>
      <c r="KRA88" s="947"/>
      <c r="KRB88" s="947"/>
      <c r="KRC88" s="947"/>
      <c r="KRD88" s="947"/>
      <c r="KRE88" s="947"/>
      <c r="KRF88" s="947"/>
      <c r="KRG88" s="947"/>
      <c r="KRH88" s="947"/>
      <c r="KRI88" s="947"/>
      <c r="KRJ88" s="947"/>
      <c r="KRK88" s="947"/>
      <c r="KRL88" s="947"/>
      <c r="KRM88" s="947"/>
      <c r="KRN88" s="947"/>
      <c r="KRO88" s="947"/>
      <c r="KRP88" s="947"/>
      <c r="KRQ88" s="947"/>
      <c r="KRR88" s="947"/>
      <c r="KRS88" s="947"/>
      <c r="KRT88" s="947"/>
      <c r="KRU88" s="947"/>
      <c r="KRV88" s="947"/>
      <c r="KRW88" s="947"/>
      <c r="KRX88" s="947"/>
      <c r="KRY88" s="947"/>
      <c r="KRZ88" s="947"/>
      <c r="KSA88" s="947"/>
      <c r="KSB88" s="947"/>
      <c r="KSC88" s="947"/>
      <c r="KSD88" s="947"/>
      <c r="KSE88" s="947"/>
      <c r="KSF88" s="947"/>
      <c r="KSG88" s="947"/>
      <c r="KSH88" s="947"/>
      <c r="KSI88" s="947"/>
      <c r="KSJ88" s="947"/>
      <c r="KSK88" s="947"/>
      <c r="KSL88" s="947"/>
      <c r="KSM88" s="947"/>
      <c r="KSN88" s="947"/>
      <c r="KSO88" s="947"/>
      <c r="KSP88" s="947"/>
      <c r="KSQ88" s="947"/>
      <c r="KSR88" s="947"/>
      <c r="KSS88" s="947"/>
      <c r="KST88" s="947"/>
      <c r="KSU88" s="947"/>
      <c r="KSV88" s="947"/>
      <c r="KSW88" s="947"/>
      <c r="KSX88" s="947"/>
      <c r="KSY88" s="947"/>
      <c r="KSZ88" s="947"/>
      <c r="KTA88" s="947"/>
      <c r="KTB88" s="947"/>
      <c r="KTC88" s="947"/>
      <c r="KTD88" s="947"/>
      <c r="KTE88" s="947"/>
      <c r="KTF88" s="947"/>
      <c r="KTG88" s="947"/>
      <c r="KTH88" s="947"/>
      <c r="KTI88" s="947"/>
      <c r="KTJ88" s="947"/>
      <c r="KTK88" s="947"/>
      <c r="KTL88" s="947"/>
      <c r="KTM88" s="947"/>
      <c r="KTN88" s="947"/>
      <c r="KTO88" s="947"/>
      <c r="KTP88" s="947"/>
      <c r="KTQ88" s="947"/>
      <c r="KTR88" s="947"/>
      <c r="KTS88" s="947"/>
      <c r="KTT88" s="947"/>
      <c r="KTU88" s="947"/>
      <c r="KTV88" s="947"/>
      <c r="KTW88" s="947"/>
      <c r="KTX88" s="947"/>
      <c r="KTY88" s="947"/>
      <c r="KTZ88" s="947"/>
      <c r="KUA88" s="947"/>
      <c r="KUB88" s="947"/>
      <c r="KUC88" s="947"/>
      <c r="KUD88" s="947"/>
      <c r="KUE88" s="947"/>
      <c r="KUF88" s="947"/>
      <c r="KUG88" s="947"/>
      <c r="KUH88" s="947"/>
      <c r="KUI88" s="947"/>
      <c r="KUJ88" s="947"/>
      <c r="KUK88" s="947"/>
      <c r="KUL88" s="947"/>
      <c r="KUM88" s="947"/>
      <c r="KUN88" s="947"/>
      <c r="KUO88" s="947"/>
      <c r="KUP88" s="947"/>
      <c r="KUQ88" s="947"/>
      <c r="KUR88" s="947"/>
      <c r="KUS88" s="947"/>
      <c r="KUT88" s="947"/>
      <c r="KUU88" s="947"/>
      <c r="KUV88" s="947"/>
      <c r="KUW88" s="947"/>
      <c r="KUX88" s="947"/>
      <c r="KUY88" s="947"/>
      <c r="KUZ88" s="947"/>
      <c r="KVA88" s="947"/>
      <c r="KVB88" s="947"/>
      <c r="KVC88" s="947"/>
      <c r="KVD88" s="947"/>
      <c r="KVE88" s="947"/>
      <c r="KVF88" s="947"/>
      <c r="KVG88" s="947"/>
      <c r="KVH88" s="947"/>
      <c r="KVI88" s="947"/>
      <c r="KVJ88" s="947"/>
      <c r="KVK88" s="947"/>
      <c r="KVL88" s="947"/>
      <c r="KVM88" s="947"/>
      <c r="KVN88" s="947"/>
      <c r="KVO88" s="947"/>
      <c r="KVP88" s="947"/>
      <c r="KVQ88" s="947"/>
      <c r="KVR88" s="947"/>
      <c r="KVS88" s="947"/>
      <c r="KVT88" s="947"/>
      <c r="KVU88" s="947"/>
      <c r="KVV88" s="947"/>
      <c r="KVW88" s="947"/>
      <c r="KVX88" s="947"/>
      <c r="KVY88" s="947"/>
      <c r="KVZ88" s="947"/>
      <c r="KWA88" s="947"/>
      <c r="KWB88" s="947"/>
      <c r="KWC88" s="947"/>
      <c r="KWD88" s="947"/>
      <c r="KWE88" s="947"/>
      <c r="KWF88" s="947"/>
      <c r="KWG88" s="947"/>
      <c r="KWH88" s="947"/>
      <c r="KWI88" s="947"/>
      <c r="KWJ88" s="947"/>
      <c r="KWK88" s="947"/>
      <c r="KWL88" s="947"/>
      <c r="KWM88" s="947"/>
      <c r="KWN88" s="947"/>
      <c r="KWO88" s="947"/>
      <c r="KWP88" s="947"/>
      <c r="KWQ88" s="947"/>
      <c r="KWR88" s="947"/>
      <c r="KWS88" s="947"/>
      <c r="KWT88" s="947"/>
      <c r="KWU88" s="947"/>
      <c r="KWV88" s="947"/>
      <c r="KWW88" s="947"/>
      <c r="KWX88" s="947"/>
      <c r="KWY88" s="947"/>
      <c r="KWZ88" s="947"/>
      <c r="KXA88" s="947"/>
      <c r="KXB88" s="947"/>
      <c r="KXC88" s="947"/>
      <c r="KXD88" s="947"/>
      <c r="KXE88" s="947"/>
      <c r="KXF88" s="947"/>
      <c r="KXG88" s="947"/>
      <c r="KXH88" s="947"/>
      <c r="KXI88" s="947"/>
      <c r="KXJ88" s="947"/>
      <c r="KXK88" s="947"/>
      <c r="KXL88" s="947"/>
      <c r="KXM88" s="947"/>
      <c r="KXN88" s="947"/>
      <c r="KXO88" s="947"/>
      <c r="KXP88" s="947"/>
      <c r="KXQ88" s="947"/>
      <c r="KXR88" s="947"/>
      <c r="KXS88" s="947"/>
      <c r="KXT88" s="947"/>
      <c r="KXU88" s="947"/>
      <c r="KXV88" s="947"/>
      <c r="KXW88" s="947"/>
      <c r="KXX88" s="947"/>
      <c r="KXY88" s="947"/>
      <c r="KXZ88" s="947"/>
      <c r="KYA88" s="947"/>
      <c r="KYB88" s="947"/>
      <c r="KYC88" s="947"/>
      <c r="KYD88" s="947"/>
      <c r="KYE88" s="947"/>
      <c r="KYF88" s="947"/>
      <c r="KYG88" s="947"/>
      <c r="KYH88" s="947"/>
      <c r="KYI88" s="947"/>
      <c r="KYJ88" s="947"/>
      <c r="KYK88" s="947"/>
      <c r="KYL88" s="947"/>
      <c r="KYM88" s="947"/>
      <c r="KYN88" s="947"/>
      <c r="KYO88" s="947"/>
      <c r="KYP88" s="947"/>
      <c r="KYQ88" s="947"/>
      <c r="KYR88" s="947"/>
      <c r="KYS88" s="947"/>
      <c r="KYT88" s="947"/>
      <c r="KYU88" s="947"/>
      <c r="KYV88" s="947"/>
      <c r="KYW88" s="947"/>
      <c r="KYX88" s="947"/>
      <c r="KYY88" s="947"/>
      <c r="KYZ88" s="947"/>
      <c r="KZA88" s="947"/>
      <c r="KZB88" s="947"/>
      <c r="KZC88" s="947"/>
      <c r="KZD88" s="947"/>
      <c r="KZE88" s="947"/>
      <c r="KZF88" s="947"/>
      <c r="KZG88" s="947"/>
      <c r="KZH88" s="947"/>
      <c r="KZI88" s="947"/>
      <c r="KZJ88" s="947"/>
      <c r="KZK88" s="947"/>
      <c r="KZL88" s="947"/>
      <c r="KZM88" s="947"/>
      <c r="KZN88" s="947"/>
      <c r="KZO88" s="947"/>
      <c r="KZP88" s="947"/>
      <c r="KZQ88" s="947"/>
      <c r="KZR88" s="947"/>
      <c r="KZS88" s="947"/>
      <c r="KZT88" s="947"/>
      <c r="KZU88" s="947"/>
      <c r="KZV88" s="947"/>
      <c r="KZW88" s="947"/>
      <c r="KZX88" s="947"/>
      <c r="KZY88" s="947"/>
      <c r="KZZ88" s="947"/>
      <c r="LAA88" s="947"/>
      <c r="LAB88" s="947"/>
      <c r="LAC88" s="947"/>
      <c r="LAD88" s="947"/>
      <c r="LAE88" s="947"/>
      <c r="LAF88" s="947"/>
      <c r="LAG88" s="947"/>
      <c r="LAH88" s="947"/>
      <c r="LAI88" s="947"/>
      <c r="LAJ88" s="947"/>
      <c r="LAK88" s="947"/>
      <c r="LAL88" s="947"/>
      <c r="LAM88" s="947"/>
      <c r="LAN88" s="947"/>
      <c r="LAO88" s="947"/>
      <c r="LAP88" s="947"/>
      <c r="LAQ88" s="947"/>
      <c r="LAR88" s="947"/>
      <c r="LAS88" s="947"/>
      <c r="LAT88" s="947"/>
      <c r="LAU88" s="947"/>
      <c r="LAV88" s="947"/>
      <c r="LAW88" s="947"/>
      <c r="LAX88" s="947"/>
      <c r="LAY88" s="947"/>
      <c r="LAZ88" s="947"/>
      <c r="LBA88" s="947"/>
      <c r="LBB88" s="947"/>
      <c r="LBC88" s="947"/>
      <c r="LBD88" s="947"/>
      <c r="LBE88" s="947"/>
      <c r="LBF88" s="947"/>
      <c r="LBG88" s="947"/>
      <c r="LBH88" s="947"/>
      <c r="LBI88" s="947"/>
      <c r="LBJ88" s="947"/>
      <c r="LBK88" s="947"/>
      <c r="LBL88" s="947"/>
      <c r="LBM88" s="947"/>
      <c r="LBN88" s="947"/>
      <c r="LBO88" s="947"/>
      <c r="LBP88" s="947"/>
      <c r="LBQ88" s="947"/>
      <c r="LBR88" s="947"/>
      <c r="LBS88" s="947"/>
      <c r="LBT88" s="947"/>
      <c r="LBU88" s="947"/>
      <c r="LBV88" s="947"/>
      <c r="LBW88" s="947"/>
      <c r="LBX88" s="947"/>
      <c r="LBY88" s="947"/>
      <c r="LBZ88" s="947"/>
      <c r="LCA88" s="947"/>
      <c r="LCB88" s="947"/>
      <c r="LCC88" s="947"/>
      <c r="LCD88" s="947"/>
      <c r="LCE88" s="947"/>
      <c r="LCF88" s="947"/>
      <c r="LCG88" s="947"/>
      <c r="LCH88" s="947"/>
      <c r="LCI88" s="947"/>
      <c r="LCJ88" s="947"/>
      <c r="LCK88" s="947"/>
      <c r="LCL88" s="947"/>
      <c r="LCM88" s="947"/>
      <c r="LCN88" s="947"/>
      <c r="LCO88" s="947"/>
      <c r="LCP88" s="947"/>
      <c r="LCQ88" s="947"/>
      <c r="LCR88" s="947"/>
      <c r="LCS88" s="947"/>
      <c r="LCT88" s="947"/>
      <c r="LCU88" s="947"/>
      <c r="LCV88" s="947"/>
      <c r="LCW88" s="947"/>
      <c r="LCX88" s="947"/>
      <c r="LCY88" s="947"/>
      <c r="LCZ88" s="947"/>
      <c r="LDA88" s="947"/>
      <c r="LDB88" s="947"/>
      <c r="LDC88" s="947"/>
      <c r="LDD88" s="947"/>
      <c r="LDE88" s="947"/>
      <c r="LDF88" s="947"/>
      <c r="LDG88" s="947"/>
      <c r="LDH88" s="947"/>
      <c r="LDI88" s="947"/>
      <c r="LDJ88" s="947"/>
      <c r="LDK88" s="947"/>
      <c r="LDL88" s="947"/>
      <c r="LDM88" s="947"/>
      <c r="LDN88" s="947"/>
      <c r="LDO88" s="947"/>
      <c r="LDP88" s="947"/>
      <c r="LDQ88" s="947"/>
      <c r="LDR88" s="947"/>
      <c r="LDS88" s="947"/>
      <c r="LDT88" s="947"/>
      <c r="LDU88" s="947"/>
      <c r="LDV88" s="947"/>
      <c r="LDW88" s="947"/>
      <c r="LDX88" s="947"/>
      <c r="LDY88" s="947"/>
      <c r="LDZ88" s="947"/>
      <c r="LEA88" s="947"/>
      <c r="LEB88" s="947"/>
      <c r="LEC88" s="947"/>
      <c r="LED88" s="947"/>
      <c r="LEE88" s="947"/>
      <c r="LEF88" s="947"/>
      <c r="LEG88" s="947"/>
      <c r="LEH88" s="947"/>
      <c r="LEI88" s="947"/>
      <c r="LEJ88" s="947"/>
      <c r="LEK88" s="947"/>
      <c r="LEL88" s="947"/>
      <c r="LEM88" s="947"/>
      <c r="LEN88" s="947"/>
      <c r="LEO88" s="947"/>
      <c r="LEP88" s="947"/>
      <c r="LEQ88" s="947"/>
      <c r="LER88" s="947"/>
      <c r="LES88" s="947"/>
      <c r="LET88" s="947"/>
      <c r="LEU88" s="947"/>
      <c r="LEV88" s="947"/>
      <c r="LEW88" s="947"/>
      <c r="LEX88" s="947"/>
      <c r="LEY88" s="947"/>
      <c r="LEZ88" s="947"/>
      <c r="LFA88" s="947"/>
      <c r="LFB88" s="947"/>
      <c r="LFC88" s="947"/>
      <c r="LFD88" s="947"/>
      <c r="LFE88" s="947"/>
      <c r="LFF88" s="947"/>
      <c r="LFG88" s="947"/>
      <c r="LFH88" s="947"/>
      <c r="LFI88" s="947"/>
      <c r="LFJ88" s="947"/>
      <c r="LFK88" s="947"/>
      <c r="LFL88" s="947"/>
      <c r="LFM88" s="947"/>
      <c r="LFN88" s="947"/>
      <c r="LFO88" s="947"/>
      <c r="LFP88" s="947"/>
      <c r="LFQ88" s="947"/>
      <c r="LFR88" s="947"/>
      <c r="LFS88" s="947"/>
      <c r="LFT88" s="947"/>
      <c r="LFU88" s="947"/>
      <c r="LFV88" s="947"/>
      <c r="LFW88" s="947"/>
      <c r="LFX88" s="947"/>
      <c r="LFY88" s="947"/>
      <c r="LFZ88" s="947"/>
      <c r="LGA88" s="947"/>
      <c r="LGB88" s="947"/>
      <c r="LGC88" s="947"/>
      <c r="LGD88" s="947"/>
      <c r="LGE88" s="947"/>
      <c r="LGF88" s="947"/>
      <c r="LGG88" s="947"/>
      <c r="LGH88" s="947"/>
      <c r="LGI88" s="947"/>
      <c r="LGJ88" s="947"/>
      <c r="LGK88" s="947"/>
      <c r="LGL88" s="947"/>
      <c r="LGM88" s="947"/>
      <c r="LGN88" s="947"/>
      <c r="LGO88" s="947"/>
      <c r="LGP88" s="947"/>
      <c r="LGQ88" s="947"/>
      <c r="LGR88" s="947"/>
      <c r="LGS88" s="947"/>
      <c r="LGT88" s="947"/>
      <c r="LGU88" s="947"/>
      <c r="LGV88" s="947"/>
      <c r="LGW88" s="947"/>
      <c r="LGX88" s="947"/>
      <c r="LGY88" s="947"/>
      <c r="LGZ88" s="947"/>
      <c r="LHA88" s="947"/>
      <c r="LHB88" s="947"/>
      <c r="LHC88" s="947"/>
      <c r="LHD88" s="947"/>
      <c r="LHE88" s="947"/>
      <c r="LHF88" s="947"/>
      <c r="LHG88" s="947"/>
      <c r="LHH88" s="947"/>
      <c r="LHI88" s="947"/>
      <c r="LHJ88" s="947"/>
      <c r="LHK88" s="947"/>
      <c r="LHL88" s="947"/>
      <c r="LHM88" s="947"/>
      <c r="LHN88" s="947"/>
      <c r="LHO88" s="947"/>
      <c r="LHP88" s="947"/>
      <c r="LHQ88" s="947"/>
      <c r="LHR88" s="947"/>
      <c r="LHS88" s="947"/>
      <c r="LHT88" s="947"/>
      <c r="LHU88" s="947"/>
      <c r="LHV88" s="947"/>
      <c r="LHW88" s="947"/>
      <c r="LHX88" s="947"/>
      <c r="LHY88" s="947"/>
      <c r="LHZ88" s="947"/>
      <c r="LIA88" s="947"/>
      <c r="LIB88" s="947"/>
      <c r="LIC88" s="947"/>
      <c r="LID88" s="947"/>
      <c r="LIE88" s="947"/>
      <c r="LIF88" s="947"/>
      <c r="LIG88" s="947"/>
      <c r="LIH88" s="947"/>
      <c r="LII88" s="947"/>
      <c r="LIJ88" s="947"/>
      <c r="LIK88" s="947"/>
      <c r="LIL88" s="947"/>
      <c r="LIM88" s="947"/>
      <c r="LIN88" s="947"/>
      <c r="LIO88" s="947"/>
      <c r="LIP88" s="947"/>
      <c r="LIQ88" s="947"/>
      <c r="LIR88" s="947"/>
      <c r="LIS88" s="947"/>
      <c r="LIT88" s="947"/>
      <c r="LIU88" s="947"/>
      <c r="LIV88" s="947"/>
      <c r="LIW88" s="947"/>
      <c r="LIX88" s="947"/>
      <c r="LIY88" s="947"/>
      <c r="LIZ88" s="947"/>
      <c r="LJA88" s="947"/>
      <c r="LJB88" s="947"/>
      <c r="LJC88" s="947"/>
      <c r="LJD88" s="947"/>
      <c r="LJE88" s="947"/>
      <c r="LJF88" s="947"/>
      <c r="LJG88" s="947"/>
      <c r="LJH88" s="947"/>
      <c r="LJI88" s="947"/>
      <c r="LJJ88" s="947"/>
      <c r="LJK88" s="947"/>
      <c r="LJL88" s="947"/>
      <c r="LJM88" s="947"/>
      <c r="LJN88" s="947"/>
      <c r="LJO88" s="947"/>
      <c r="LJP88" s="947"/>
      <c r="LJQ88" s="947"/>
      <c r="LJR88" s="947"/>
      <c r="LJS88" s="947"/>
      <c r="LJT88" s="947"/>
      <c r="LJU88" s="947"/>
      <c r="LJV88" s="947"/>
      <c r="LJW88" s="947"/>
      <c r="LJX88" s="947"/>
      <c r="LJY88" s="947"/>
      <c r="LJZ88" s="947"/>
      <c r="LKA88" s="947"/>
      <c r="LKB88" s="947"/>
      <c r="LKC88" s="947"/>
      <c r="LKD88" s="947"/>
      <c r="LKE88" s="947"/>
      <c r="LKF88" s="947"/>
      <c r="LKG88" s="947"/>
      <c r="LKH88" s="947"/>
      <c r="LKI88" s="947"/>
      <c r="LKJ88" s="947"/>
      <c r="LKK88" s="947"/>
      <c r="LKL88" s="947"/>
      <c r="LKM88" s="947"/>
      <c r="LKN88" s="947"/>
      <c r="LKO88" s="947"/>
      <c r="LKP88" s="947"/>
      <c r="LKQ88" s="947"/>
      <c r="LKR88" s="947"/>
      <c r="LKS88" s="947"/>
      <c r="LKT88" s="947"/>
      <c r="LKU88" s="947"/>
      <c r="LKV88" s="947"/>
      <c r="LKW88" s="947"/>
      <c r="LKX88" s="947"/>
      <c r="LKY88" s="947"/>
      <c r="LKZ88" s="947"/>
      <c r="LLA88" s="947"/>
      <c r="LLB88" s="947"/>
      <c r="LLC88" s="947"/>
      <c r="LLD88" s="947"/>
      <c r="LLE88" s="947"/>
      <c r="LLF88" s="947"/>
      <c r="LLG88" s="947"/>
      <c r="LLH88" s="947"/>
      <c r="LLI88" s="947"/>
      <c r="LLJ88" s="947"/>
      <c r="LLK88" s="947"/>
      <c r="LLL88" s="947"/>
      <c r="LLM88" s="947"/>
      <c r="LLN88" s="947"/>
      <c r="LLO88" s="947"/>
      <c r="LLP88" s="947"/>
      <c r="LLQ88" s="947"/>
      <c r="LLR88" s="947"/>
      <c r="LLS88" s="947"/>
      <c r="LLT88" s="947"/>
      <c r="LLU88" s="947"/>
      <c r="LLV88" s="947"/>
      <c r="LLW88" s="947"/>
      <c r="LLX88" s="947"/>
      <c r="LLY88" s="947"/>
      <c r="LLZ88" s="947"/>
      <c r="LMA88" s="947"/>
      <c r="LMB88" s="947"/>
      <c r="LMC88" s="947"/>
      <c r="LMD88" s="947"/>
      <c r="LME88" s="947"/>
      <c r="LMF88" s="947"/>
      <c r="LMG88" s="947"/>
      <c r="LMH88" s="947"/>
      <c r="LMI88" s="947"/>
      <c r="LMJ88" s="947"/>
      <c r="LMK88" s="947"/>
      <c r="LML88" s="947"/>
      <c r="LMM88" s="947"/>
      <c r="LMN88" s="947"/>
      <c r="LMO88" s="947"/>
      <c r="LMP88" s="947"/>
      <c r="LMQ88" s="947"/>
      <c r="LMR88" s="947"/>
      <c r="LMS88" s="947"/>
      <c r="LMT88" s="947"/>
      <c r="LMU88" s="947"/>
      <c r="LMV88" s="947"/>
      <c r="LMW88" s="947"/>
      <c r="LMX88" s="947"/>
      <c r="LMY88" s="947"/>
      <c r="LMZ88" s="947"/>
      <c r="LNA88" s="947"/>
      <c r="LNB88" s="947"/>
      <c r="LNC88" s="947"/>
      <c r="LND88" s="947"/>
      <c r="LNE88" s="947"/>
      <c r="LNF88" s="947"/>
      <c r="LNG88" s="947"/>
      <c r="LNH88" s="947"/>
      <c r="LNI88" s="947"/>
      <c r="LNJ88" s="947"/>
      <c r="LNK88" s="947"/>
      <c r="LNL88" s="947"/>
      <c r="LNM88" s="947"/>
      <c r="LNN88" s="947"/>
      <c r="LNO88" s="947"/>
      <c r="LNP88" s="947"/>
      <c r="LNQ88" s="947"/>
      <c r="LNR88" s="947"/>
      <c r="LNS88" s="947"/>
      <c r="LNT88" s="947"/>
      <c r="LNU88" s="947"/>
      <c r="LNV88" s="947"/>
      <c r="LNW88" s="947"/>
      <c r="LNX88" s="947"/>
      <c r="LNY88" s="947"/>
      <c r="LNZ88" s="947"/>
      <c r="LOA88" s="947"/>
      <c r="LOB88" s="947"/>
      <c r="LOC88" s="947"/>
      <c r="LOD88" s="947"/>
      <c r="LOE88" s="947"/>
      <c r="LOF88" s="947"/>
      <c r="LOG88" s="947"/>
      <c r="LOH88" s="947"/>
      <c r="LOI88" s="947"/>
      <c r="LOJ88" s="947"/>
      <c r="LOK88" s="947"/>
      <c r="LOL88" s="947"/>
      <c r="LOM88" s="947"/>
      <c r="LON88" s="947"/>
      <c r="LOO88" s="947"/>
      <c r="LOP88" s="947"/>
      <c r="LOQ88" s="947"/>
      <c r="LOR88" s="947"/>
      <c r="LOS88" s="947"/>
      <c r="LOT88" s="947"/>
      <c r="LOU88" s="947"/>
      <c r="LOV88" s="947"/>
      <c r="LOW88" s="947"/>
      <c r="LOX88" s="947"/>
      <c r="LOY88" s="947"/>
      <c r="LOZ88" s="947"/>
      <c r="LPA88" s="947"/>
      <c r="LPB88" s="947"/>
      <c r="LPC88" s="947"/>
      <c r="LPD88" s="947"/>
      <c r="LPE88" s="947"/>
      <c r="LPF88" s="947"/>
      <c r="LPG88" s="947"/>
      <c r="LPH88" s="947"/>
      <c r="LPI88" s="947"/>
      <c r="LPJ88" s="947"/>
      <c r="LPK88" s="947"/>
      <c r="LPL88" s="947"/>
      <c r="LPM88" s="947"/>
      <c r="LPN88" s="947"/>
      <c r="LPO88" s="947"/>
      <c r="LPP88" s="947"/>
      <c r="LPQ88" s="947"/>
      <c r="LPR88" s="947"/>
      <c r="LPS88" s="947"/>
      <c r="LPT88" s="947"/>
      <c r="LPU88" s="947"/>
      <c r="LPV88" s="947"/>
      <c r="LPW88" s="947"/>
      <c r="LPX88" s="947"/>
      <c r="LPY88" s="947"/>
      <c r="LPZ88" s="947"/>
      <c r="LQA88" s="947"/>
      <c r="LQB88" s="947"/>
      <c r="LQC88" s="947"/>
      <c r="LQD88" s="947"/>
      <c r="LQE88" s="947"/>
      <c r="LQF88" s="947"/>
      <c r="LQG88" s="947"/>
      <c r="LQH88" s="947"/>
      <c r="LQI88" s="947"/>
      <c r="LQJ88" s="947"/>
      <c r="LQK88" s="947"/>
      <c r="LQL88" s="947"/>
      <c r="LQM88" s="947"/>
      <c r="LQN88" s="947"/>
      <c r="LQO88" s="947"/>
      <c r="LQP88" s="947"/>
      <c r="LQQ88" s="947"/>
      <c r="LQR88" s="947"/>
      <c r="LQS88" s="947"/>
      <c r="LQT88" s="947"/>
      <c r="LQU88" s="947"/>
      <c r="LQV88" s="947"/>
      <c r="LQW88" s="947"/>
      <c r="LQX88" s="947"/>
      <c r="LQY88" s="947"/>
      <c r="LQZ88" s="947"/>
      <c r="LRA88" s="947"/>
      <c r="LRB88" s="947"/>
      <c r="LRC88" s="947"/>
      <c r="LRD88" s="947"/>
      <c r="LRE88" s="947"/>
      <c r="LRF88" s="947"/>
      <c r="LRG88" s="947"/>
      <c r="LRH88" s="947"/>
      <c r="LRI88" s="947"/>
      <c r="LRJ88" s="947"/>
      <c r="LRK88" s="947"/>
      <c r="LRL88" s="947"/>
      <c r="LRM88" s="947"/>
      <c r="LRN88" s="947"/>
      <c r="LRO88" s="947"/>
      <c r="LRP88" s="947"/>
      <c r="LRQ88" s="947"/>
      <c r="LRR88" s="947"/>
      <c r="LRS88" s="947"/>
      <c r="LRT88" s="947"/>
      <c r="LRU88" s="947"/>
      <c r="LRV88" s="947"/>
      <c r="LRW88" s="947"/>
      <c r="LRX88" s="947"/>
      <c r="LRY88" s="947"/>
      <c r="LRZ88" s="947"/>
      <c r="LSA88" s="947"/>
      <c r="LSB88" s="947"/>
      <c r="LSC88" s="947"/>
      <c r="LSD88" s="947"/>
      <c r="LSE88" s="947"/>
      <c r="LSF88" s="947"/>
      <c r="LSG88" s="947"/>
      <c r="LSH88" s="947"/>
      <c r="LSI88" s="947"/>
      <c r="LSJ88" s="947"/>
      <c r="LSK88" s="947"/>
      <c r="LSL88" s="947"/>
      <c r="LSM88" s="947"/>
      <c r="LSN88" s="947"/>
      <c r="LSO88" s="947"/>
      <c r="LSP88" s="947"/>
      <c r="LSQ88" s="947"/>
      <c r="LSR88" s="947"/>
      <c r="LSS88" s="947"/>
      <c r="LST88" s="947"/>
      <c r="LSU88" s="947"/>
      <c r="LSV88" s="947"/>
      <c r="LSW88" s="947"/>
      <c r="LSX88" s="947"/>
      <c r="LSY88" s="947"/>
      <c r="LSZ88" s="947"/>
      <c r="LTA88" s="947"/>
      <c r="LTB88" s="947"/>
      <c r="LTC88" s="947"/>
      <c r="LTD88" s="947"/>
      <c r="LTE88" s="947"/>
      <c r="LTF88" s="947"/>
      <c r="LTG88" s="947"/>
      <c r="LTH88" s="947"/>
      <c r="LTI88" s="947"/>
      <c r="LTJ88" s="947"/>
      <c r="LTK88" s="947"/>
      <c r="LTL88" s="947"/>
      <c r="LTM88" s="947"/>
      <c r="LTN88" s="947"/>
      <c r="LTO88" s="947"/>
      <c r="LTP88" s="947"/>
      <c r="LTQ88" s="947"/>
      <c r="LTR88" s="947"/>
      <c r="LTS88" s="947"/>
      <c r="LTT88" s="947"/>
      <c r="LTU88" s="947"/>
      <c r="LTV88" s="947"/>
      <c r="LTW88" s="947"/>
      <c r="LTX88" s="947"/>
      <c r="LTY88" s="947"/>
      <c r="LTZ88" s="947"/>
      <c r="LUA88" s="947"/>
      <c r="LUB88" s="947"/>
      <c r="LUC88" s="947"/>
      <c r="LUD88" s="947"/>
      <c r="LUE88" s="947"/>
      <c r="LUF88" s="947"/>
      <c r="LUG88" s="947"/>
      <c r="LUH88" s="947"/>
      <c r="LUI88" s="947"/>
      <c r="LUJ88" s="947"/>
      <c r="LUK88" s="947"/>
      <c r="LUL88" s="947"/>
      <c r="LUM88" s="947"/>
      <c r="LUN88" s="947"/>
      <c r="LUO88" s="947"/>
      <c r="LUP88" s="947"/>
      <c r="LUQ88" s="947"/>
      <c r="LUR88" s="947"/>
      <c r="LUS88" s="947"/>
      <c r="LUT88" s="947"/>
      <c r="LUU88" s="947"/>
      <c r="LUV88" s="947"/>
      <c r="LUW88" s="947"/>
      <c r="LUX88" s="947"/>
      <c r="LUY88" s="947"/>
      <c r="LUZ88" s="947"/>
      <c r="LVA88" s="947"/>
      <c r="LVB88" s="947"/>
      <c r="LVC88" s="947"/>
      <c r="LVD88" s="947"/>
      <c r="LVE88" s="947"/>
      <c r="LVF88" s="947"/>
      <c r="LVG88" s="947"/>
      <c r="LVH88" s="947"/>
      <c r="LVI88" s="947"/>
      <c r="LVJ88" s="947"/>
      <c r="LVK88" s="947"/>
      <c r="LVL88" s="947"/>
      <c r="LVM88" s="947"/>
      <c r="LVN88" s="947"/>
      <c r="LVO88" s="947"/>
      <c r="LVP88" s="947"/>
      <c r="LVQ88" s="947"/>
      <c r="LVR88" s="947"/>
      <c r="LVS88" s="947"/>
      <c r="LVT88" s="947"/>
      <c r="LVU88" s="947"/>
      <c r="LVV88" s="947"/>
      <c r="LVW88" s="947"/>
      <c r="LVX88" s="947"/>
      <c r="LVY88" s="947"/>
      <c r="LVZ88" s="947"/>
      <c r="LWA88" s="947"/>
      <c r="LWB88" s="947"/>
      <c r="LWC88" s="947"/>
      <c r="LWD88" s="947"/>
      <c r="LWE88" s="947"/>
      <c r="LWF88" s="947"/>
      <c r="LWG88" s="947"/>
      <c r="LWH88" s="947"/>
      <c r="LWI88" s="947"/>
      <c r="LWJ88" s="947"/>
      <c r="LWK88" s="947"/>
      <c r="LWL88" s="947"/>
      <c r="LWM88" s="947"/>
      <c r="LWN88" s="947"/>
      <c r="LWO88" s="947"/>
      <c r="LWP88" s="947"/>
      <c r="LWQ88" s="947"/>
      <c r="LWR88" s="947"/>
      <c r="LWS88" s="947"/>
      <c r="LWT88" s="947"/>
      <c r="LWU88" s="947"/>
      <c r="LWV88" s="947"/>
      <c r="LWW88" s="947"/>
      <c r="LWX88" s="947"/>
      <c r="LWY88" s="947"/>
      <c r="LWZ88" s="947"/>
      <c r="LXA88" s="947"/>
      <c r="LXB88" s="947"/>
      <c r="LXC88" s="947"/>
      <c r="LXD88" s="947"/>
      <c r="LXE88" s="947"/>
      <c r="LXF88" s="947"/>
      <c r="LXG88" s="947"/>
      <c r="LXH88" s="947"/>
      <c r="LXI88" s="947"/>
      <c r="LXJ88" s="947"/>
      <c r="LXK88" s="947"/>
      <c r="LXL88" s="947"/>
      <c r="LXM88" s="947"/>
      <c r="LXN88" s="947"/>
      <c r="LXO88" s="947"/>
      <c r="LXP88" s="947"/>
      <c r="LXQ88" s="947"/>
      <c r="LXR88" s="947"/>
      <c r="LXS88" s="947"/>
      <c r="LXT88" s="947"/>
      <c r="LXU88" s="947"/>
      <c r="LXV88" s="947"/>
      <c r="LXW88" s="947"/>
      <c r="LXX88" s="947"/>
      <c r="LXY88" s="947"/>
      <c r="LXZ88" s="947"/>
      <c r="LYA88" s="947"/>
      <c r="LYB88" s="947"/>
      <c r="LYC88" s="947"/>
      <c r="LYD88" s="947"/>
      <c r="LYE88" s="947"/>
      <c r="LYF88" s="947"/>
      <c r="LYG88" s="947"/>
      <c r="LYH88" s="947"/>
      <c r="LYI88" s="947"/>
      <c r="LYJ88" s="947"/>
      <c r="LYK88" s="947"/>
      <c r="LYL88" s="947"/>
      <c r="LYM88" s="947"/>
      <c r="LYN88" s="947"/>
      <c r="LYO88" s="947"/>
      <c r="LYP88" s="947"/>
      <c r="LYQ88" s="947"/>
      <c r="LYR88" s="947"/>
      <c r="LYS88" s="947"/>
      <c r="LYT88" s="947"/>
      <c r="LYU88" s="947"/>
      <c r="LYV88" s="947"/>
      <c r="LYW88" s="947"/>
      <c r="LYX88" s="947"/>
      <c r="LYY88" s="947"/>
      <c r="LYZ88" s="947"/>
      <c r="LZA88" s="947"/>
      <c r="LZB88" s="947"/>
      <c r="LZC88" s="947"/>
      <c r="LZD88" s="947"/>
      <c r="LZE88" s="947"/>
      <c r="LZF88" s="947"/>
      <c r="LZG88" s="947"/>
      <c r="LZH88" s="947"/>
      <c r="LZI88" s="947"/>
      <c r="LZJ88" s="947"/>
      <c r="LZK88" s="947"/>
      <c r="LZL88" s="947"/>
      <c r="LZM88" s="947"/>
      <c r="LZN88" s="947"/>
      <c r="LZO88" s="947"/>
      <c r="LZP88" s="947"/>
      <c r="LZQ88" s="947"/>
      <c r="LZR88" s="947"/>
      <c r="LZS88" s="947"/>
      <c r="LZT88" s="947"/>
      <c r="LZU88" s="947"/>
      <c r="LZV88" s="947"/>
      <c r="LZW88" s="947"/>
      <c r="LZX88" s="947"/>
      <c r="LZY88" s="947"/>
      <c r="LZZ88" s="947"/>
      <c r="MAA88" s="947"/>
      <c r="MAB88" s="947"/>
      <c r="MAC88" s="947"/>
      <c r="MAD88" s="947"/>
      <c r="MAE88" s="947"/>
      <c r="MAF88" s="947"/>
      <c r="MAG88" s="947"/>
      <c r="MAH88" s="947"/>
      <c r="MAI88" s="947"/>
      <c r="MAJ88" s="947"/>
      <c r="MAK88" s="947"/>
      <c r="MAL88" s="947"/>
      <c r="MAM88" s="947"/>
      <c r="MAN88" s="947"/>
      <c r="MAO88" s="947"/>
      <c r="MAP88" s="947"/>
      <c r="MAQ88" s="947"/>
      <c r="MAR88" s="947"/>
      <c r="MAS88" s="947"/>
      <c r="MAT88" s="947"/>
      <c r="MAU88" s="947"/>
      <c r="MAV88" s="947"/>
      <c r="MAW88" s="947"/>
      <c r="MAX88" s="947"/>
      <c r="MAY88" s="947"/>
      <c r="MAZ88" s="947"/>
      <c r="MBA88" s="947"/>
      <c r="MBB88" s="947"/>
      <c r="MBC88" s="947"/>
      <c r="MBD88" s="947"/>
      <c r="MBE88" s="947"/>
      <c r="MBF88" s="947"/>
      <c r="MBG88" s="947"/>
      <c r="MBH88" s="947"/>
      <c r="MBI88" s="947"/>
      <c r="MBJ88" s="947"/>
      <c r="MBK88" s="947"/>
      <c r="MBL88" s="947"/>
      <c r="MBM88" s="947"/>
      <c r="MBN88" s="947"/>
      <c r="MBO88" s="947"/>
      <c r="MBP88" s="947"/>
      <c r="MBQ88" s="947"/>
      <c r="MBR88" s="947"/>
      <c r="MBS88" s="947"/>
      <c r="MBT88" s="947"/>
      <c r="MBU88" s="947"/>
      <c r="MBV88" s="947"/>
      <c r="MBW88" s="947"/>
      <c r="MBX88" s="947"/>
      <c r="MBY88" s="947"/>
      <c r="MBZ88" s="947"/>
      <c r="MCA88" s="947"/>
      <c r="MCB88" s="947"/>
      <c r="MCC88" s="947"/>
      <c r="MCD88" s="947"/>
      <c r="MCE88" s="947"/>
      <c r="MCF88" s="947"/>
      <c r="MCG88" s="947"/>
      <c r="MCH88" s="947"/>
      <c r="MCI88" s="947"/>
      <c r="MCJ88" s="947"/>
      <c r="MCK88" s="947"/>
      <c r="MCL88" s="947"/>
      <c r="MCM88" s="947"/>
      <c r="MCN88" s="947"/>
      <c r="MCO88" s="947"/>
      <c r="MCP88" s="947"/>
      <c r="MCQ88" s="947"/>
      <c r="MCR88" s="947"/>
      <c r="MCS88" s="947"/>
      <c r="MCT88" s="947"/>
      <c r="MCU88" s="947"/>
      <c r="MCV88" s="947"/>
      <c r="MCW88" s="947"/>
      <c r="MCX88" s="947"/>
      <c r="MCY88" s="947"/>
      <c r="MCZ88" s="947"/>
      <c r="MDA88" s="947"/>
      <c r="MDB88" s="947"/>
      <c r="MDC88" s="947"/>
      <c r="MDD88" s="947"/>
      <c r="MDE88" s="947"/>
      <c r="MDF88" s="947"/>
      <c r="MDG88" s="947"/>
      <c r="MDH88" s="947"/>
      <c r="MDI88" s="947"/>
      <c r="MDJ88" s="947"/>
      <c r="MDK88" s="947"/>
      <c r="MDL88" s="947"/>
      <c r="MDM88" s="947"/>
      <c r="MDN88" s="947"/>
      <c r="MDO88" s="947"/>
      <c r="MDP88" s="947"/>
      <c r="MDQ88" s="947"/>
      <c r="MDR88" s="947"/>
      <c r="MDS88" s="947"/>
      <c r="MDT88" s="947"/>
      <c r="MDU88" s="947"/>
      <c r="MDV88" s="947"/>
      <c r="MDW88" s="947"/>
      <c r="MDX88" s="947"/>
      <c r="MDY88" s="947"/>
      <c r="MDZ88" s="947"/>
      <c r="MEA88" s="947"/>
      <c r="MEB88" s="947"/>
      <c r="MEC88" s="947"/>
      <c r="MED88" s="947"/>
      <c r="MEE88" s="947"/>
      <c r="MEF88" s="947"/>
      <c r="MEG88" s="947"/>
      <c r="MEH88" s="947"/>
      <c r="MEI88" s="947"/>
      <c r="MEJ88" s="947"/>
      <c r="MEK88" s="947"/>
      <c r="MEL88" s="947"/>
      <c r="MEM88" s="947"/>
      <c r="MEN88" s="947"/>
      <c r="MEO88" s="947"/>
      <c r="MEP88" s="947"/>
      <c r="MEQ88" s="947"/>
      <c r="MER88" s="947"/>
      <c r="MES88" s="947"/>
      <c r="MET88" s="947"/>
      <c r="MEU88" s="947"/>
      <c r="MEV88" s="947"/>
      <c r="MEW88" s="947"/>
      <c r="MEX88" s="947"/>
      <c r="MEY88" s="947"/>
      <c r="MEZ88" s="947"/>
      <c r="MFA88" s="947"/>
      <c r="MFB88" s="947"/>
      <c r="MFC88" s="947"/>
      <c r="MFD88" s="947"/>
      <c r="MFE88" s="947"/>
      <c r="MFF88" s="947"/>
      <c r="MFG88" s="947"/>
      <c r="MFH88" s="947"/>
      <c r="MFI88" s="947"/>
      <c r="MFJ88" s="947"/>
      <c r="MFK88" s="947"/>
      <c r="MFL88" s="947"/>
      <c r="MFM88" s="947"/>
      <c r="MFN88" s="947"/>
      <c r="MFO88" s="947"/>
      <c r="MFP88" s="947"/>
      <c r="MFQ88" s="947"/>
      <c r="MFR88" s="947"/>
      <c r="MFS88" s="947"/>
      <c r="MFT88" s="947"/>
      <c r="MFU88" s="947"/>
      <c r="MFV88" s="947"/>
      <c r="MFW88" s="947"/>
      <c r="MFX88" s="947"/>
      <c r="MFY88" s="947"/>
      <c r="MFZ88" s="947"/>
      <c r="MGA88" s="947"/>
      <c r="MGB88" s="947"/>
      <c r="MGC88" s="947"/>
      <c r="MGD88" s="947"/>
      <c r="MGE88" s="947"/>
      <c r="MGF88" s="947"/>
      <c r="MGG88" s="947"/>
      <c r="MGH88" s="947"/>
      <c r="MGI88" s="947"/>
      <c r="MGJ88" s="947"/>
      <c r="MGK88" s="947"/>
      <c r="MGL88" s="947"/>
      <c r="MGM88" s="947"/>
      <c r="MGN88" s="947"/>
      <c r="MGO88" s="947"/>
      <c r="MGP88" s="947"/>
      <c r="MGQ88" s="947"/>
      <c r="MGR88" s="947"/>
      <c r="MGS88" s="947"/>
      <c r="MGT88" s="947"/>
      <c r="MGU88" s="947"/>
      <c r="MGV88" s="947"/>
      <c r="MGW88" s="947"/>
      <c r="MGX88" s="947"/>
      <c r="MGY88" s="947"/>
      <c r="MGZ88" s="947"/>
      <c r="MHA88" s="947"/>
      <c r="MHB88" s="947"/>
      <c r="MHC88" s="947"/>
      <c r="MHD88" s="947"/>
      <c r="MHE88" s="947"/>
      <c r="MHF88" s="947"/>
      <c r="MHG88" s="947"/>
      <c r="MHH88" s="947"/>
      <c r="MHI88" s="947"/>
      <c r="MHJ88" s="947"/>
      <c r="MHK88" s="947"/>
      <c r="MHL88" s="947"/>
      <c r="MHM88" s="947"/>
      <c r="MHN88" s="947"/>
      <c r="MHO88" s="947"/>
      <c r="MHP88" s="947"/>
      <c r="MHQ88" s="947"/>
      <c r="MHR88" s="947"/>
      <c r="MHS88" s="947"/>
      <c r="MHT88" s="947"/>
      <c r="MHU88" s="947"/>
      <c r="MHV88" s="947"/>
      <c r="MHW88" s="947"/>
      <c r="MHX88" s="947"/>
      <c r="MHY88" s="947"/>
      <c r="MHZ88" s="947"/>
      <c r="MIA88" s="947"/>
      <c r="MIB88" s="947"/>
      <c r="MIC88" s="947"/>
      <c r="MID88" s="947"/>
      <c r="MIE88" s="947"/>
      <c r="MIF88" s="947"/>
      <c r="MIG88" s="947"/>
      <c r="MIH88" s="947"/>
      <c r="MII88" s="947"/>
      <c r="MIJ88" s="947"/>
      <c r="MIK88" s="947"/>
      <c r="MIL88" s="947"/>
      <c r="MIM88" s="947"/>
      <c r="MIN88" s="947"/>
      <c r="MIO88" s="947"/>
      <c r="MIP88" s="947"/>
      <c r="MIQ88" s="947"/>
      <c r="MIR88" s="947"/>
      <c r="MIS88" s="947"/>
      <c r="MIT88" s="947"/>
      <c r="MIU88" s="947"/>
      <c r="MIV88" s="947"/>
      <c r="MIW88" s="947"/>
      <c r="MIX88" s="947"/>
      <c r="MIY88" s="947"/>
      <c r="MIZ88" s="947"/>
      <c r="MJA88" s="947"/>
      <c r="MJB88" s="947"/>
      <c r="MJC88" s="947"/>
      <c r="MJD88" s="947"/>
      <c r="MJE88" s="947"/>
      <c r="MJF88" s="947"/>
      <c r="MJG88" s="947"/>
      <c r="MJH88" s="947"/>
      <c r="MJI88" s="947"/>
      <c r="MJJ88" s="947"/>
      <c r="MJK88" s="947"/>
      <c r="MJL88" s="947"/>
      <c r="MJM88" s="947"/>
      <c r="MJN88" s="947"/>
      <c r="MJO88" s="947"/>
      <c r="MJP88" s="947"/>
      <c r="MJQ88" s="947"/>
      <c r="MJR88" s="947"/>
      <c r="MJS88" s="947"/>
      <c r="MJT88" s="947"/>
      <c r="MJU88" s="947"/>
      <c r="MJV88" s="947"/>
      <c r="MJW88" s="947"/>
      <c r="MJX88" s="947"/>
      <c r="MJY88" s="947"/>
      <c r="MJZ88" s="947"/>
      <c r="MKA88" s="947"/>
      <c r="MKB88" s="947"/>
      <c r="MKC88" s="947"/>
      <c r="MKD88" s="947"/>
      <c r="MKE88" s="947"/>
      <c r="MKF88" s="947"/>
      <c r="MKG88" s="947"/>
      <c r="MKH88" s="947"/>
      <c r="MKI88" s="947"/>
      <c r="MKJ88" s="947"/>
      <c r="MKK88" s="947"/>
      <c r="MKL88" s="947"/>
      <c r="MKM88" s="947"/>
      <c r="MKN88" s="947"/>
      <c r="MKO88" s="947"/>
      <c r="MKP88" s="947"/>
      <c r="MKQ88" s="947"/>
      <c r="MKR88" s="947"/>
      <c r="MKS88" s="947"/>
      <c r="MKT88" s="947"/>
      <c r="MKU88" s="947"/>
      <c r="MKV88" s="947"/>
      <c r="MKW88" s="947"/>
      <c r="MKX88" s="947"/>
      <c r="MKY88" s="947"/>
      <c r="MKZ88" s="947"/>
      <c r="MLA88" s="947"/>
      <c r="MLB88" s="947"/>
      <c r="MLC88" s="947"/>
      <c r="MLD88" s="947"/>
      <c r="MLE88" s="947"/>
      <c r="MLF88" s="947"/>
      <c r="MLG88" s="947"/>
      <c r="MLH88" s="947"/>
      <c r="MLI88" s="947"/>
      <c r="MLJ88" s="947"/>
      <c r="MLK88" s="947"/>
      <c r="MLL88" s="947"/>
      <c r="MLM88" s="947"/>
      <c r="MLN88" s="947"/>
      <c r="MLO88" s="947"/>
      <c r="MLP88" s="947"/>
      <c r="MLQ88" s="947"/>
      <c r="MLR88" s="947"/>
      <c r="MLS88" s="947"/>
      <c r="MLT88" s="947"/>
      <c r="MLU88" s="947"/>
      <c r="MLV88" s="947"/>
      <c r="MLW88" s="947"/>
      <c r="MLX88" s="947"/>
      <c r="MLY88" s="947"/>
      <c r="MLZ88" s="947"/>
      <c r="MMA88" s="947"/>
      <c r="MMB88" s="947"/>
      <c r="MMC88" s="947"/>
      <c r="MMD88" s="947"/>
      <c r="MME88" s="947"/>
      <c r="MMF88" s="947"/>
      <c r="MMG88" s="947"/>
      <c r="MMH88" s="947"/>
      <c r="MMI88" s="947"/>
      <c r="MMJ88" s="947"/>
      <c r="MMK88" s="947"/>
      <c r="MML88" s="947"/>
      <c r="MMM88" s="947"/>
      <c r="MMN88" s="947"/>
      <c r="MMO88" s="947"/>
      <c r="MMP88" s="947"/>
      <c r="MMQ88" s="947"/>
      <c r="MMR88" s="947"/>
      <c r="MMS88" s="947"/>
      <c r="MMT88" s="947"/>
      <c r="MMU88" s="947"/>
      <c r="MMV88" s="947"/>
      <c r="MMW88" s="947"/>
      <c r="MMX88" s="947"/>
      <c r="MMY88" s="947"/>
      <c r="MMZ88" s="947"/>
      <c r="MNA88" s="947"/>
      <c r="MNB88" s="947"/>
      <c r="MNC88" s="947"/>
      <c r="MND88" s="947"/>
      <c r="MNE88" s="947"/>
      <c r="MNF88" s="947"/>
      <c r="MNG88" s="947"/>
      <c r="MNH88" s="947"/>
      <c r="MNI88" s="947"/>
      <c r="MNJ88" s="947"/>
      <c r="MNK88" s="947"/>
      <c r="MNL88" s="947"/>
      <c r="MNM88" s="947"/>
      <c r="MNN88" s="947"/>
      <c r="MNO88" s="947"/>
      <c r="MNP88" s="947"/>
      <c r="MNQ88" s="947"/>
      <c r="MNR88" s="947"/>
      <c r="MNS88" s="947"/>
      <c r="MNT88" s="947"/>
      <c r="MNU88" s="947"/>
      <c r="MNV88" s="947"/>
      <c r="MNW88" s="947"/>
      <c r="MNX88" s="947"/>
      <c r="MNY88" s="947"/>
      <c r="MNZ88" s="947"/>
      <c r="MOA88" s="947"/>
      <c r="MOB88" s="947"/>
      <c r="MOC88" s="947"/>
      <c r="MOD88" s="947"/>
      <c r="MOE88" s="947"/>
      <c r="MOF88" s="947"/>
      <c r="MOG88" s="947"/>
      <c r="MOH88" s="947"/>
      <c r="MOI88" s="947"/>
      <c r="MOJ88" s="947"/>
      <c r="MOK88" s="947"/>
      <c r="MOL88" s="947"/>
      <c r="MOM88" s="947"/>
      <c r="MON88" s="947"/>
      <c r="MOO88" s="947"/>
      <c r="MOP88" s="947"/>
      <c r="MOQ88" s="947"/>
      <c r="MOR88" s="947"/>
      <c r="MOS88" s="947"/>
      <c r="MOT88" s="947"/>
      <c r="MOU88" s="947"/>
      <c r="MOV88" s="947"/>
      <c r="MOW88" s="947"/>
      <c r="MOX88" s="947"/>
      <c r="MOY88" s="947"/>
      <c r="MOZ88" s="947"/>
      <c r="MPA88" s="947"/>
      <c r="MPB88" s="947"/>
      <c r="MPC88" s="947"/>
      <c r="MPD88" s="947"/>
      <c r="MPE88" s="947"/>
      <c r="MPF88" s="947"/>
      <c r="MPG88" s="947"/>
      <c r="MPH88" s="947"/>
      <c r="MPI88" s="947"/>
      <c r="MPJ88" s="947"/>
      <c r="MPK88" s="947"/>
      <c r="MPL88" s="947"/>
      <c r="MPM88" s="947"/>
      <c r="MPN88" s="947"/>
      <c r="MPO88" s="947"/>
      <c r="MPP88" s="947"/>
      <c r="MPQ88" s="947"/>
      <c r="MPR88" s="947"/>
      <c r="MPS88" s="947"/>
      <c r="MPT88" s="947"/>
      <c r="MPU88" s="947"/>
      <c r="MPV88" s="947"/>
      <c r="MPW88" s="947"/>
      <c r="MPX88" s="947"/>
      <c r="MPY88" s="947"/>
      <c r="MPZ88" s="947"/>
      <c r="MQA88" s="947"/>
      <c r="MQB88" s="947"/>
      <c r="MQC88" s="947"/>
      <c r="MQD88" s="947"/>
      <c r="MQE88" s="947"/>
      <c r="MQF88" s="947"/>
      <c r="MQG88" s="947"/>
      <c r="MQH88" s="947"/>
      <c r="MQI88" s="947"/>
      <c r="MQJ88" s="947"/>
      <c r="MQK88" s="947"/>
      <c r="MQL88" s="947"/>
      <c r="MQM88" s="947"/>
      <c r="MQN88" s="947"/>
      <c r="MQO88" s="947"/>
      <c r="MQP88" s="947"/>
      <c r="MQQ88" s="947"/>
      <c r="MQR88" s="947"/>
      <c r="MQS88" s="947"/>
      <c r="MQT88" s="947"/>
      <c r="MQU88" s="947"/>
      <c r="MQV88" s="947"/>
      <c r="MQW88" s="947"/>
      <c r="MQX88" s="947"/>
      <c r="MQY88" s="947"/>
      <c r="MQZ88" s="947"/>
      <c r="MRA88" s="947"/>
      <c r="MRB88" s="947"/>
      <c r="MRC88" s="947"/>
      <c r="MRD88" s="947"/>
      <c r="MRE88" s="947"/>
      <c r="MRF88" s="947"/>
      <c r="MRG88" s="947"/>
      <c r="MRH88" s="947"/>
      <c r="MRI88" s="947"/>
      <c r="MRJ88" s="947"/>
      <c r="MRK88" s="947"/>
      <c r="MRL88" s="947"/>
      <c r="MRM88" s="947"/>
      <c r="MRN88" s="947"/>
      <c r="MRO88" s="947"/>
      <c r="MRP88" s="947"/>
      <c r="MRQ88" s="947"/>
      <c r="MRR88" s="947"/>
      <c r="MRS88" s="947"/>
      <c r="MRT88" s="947"/>
      <c r="MRU88" s="947"/>
      <c r="MRV88" s="947"/>
      <c r="MRW88" s="947"/>
      <c r="MRX88" s="947"/>
      <c r="MRY88" s="947"/>
      <c r="MRZ88" s="947"/>
      <c r="MSA88" s="947"/>
      <c r="MSB88" s="947"/>
      <c r="MSC88" s="947"/>
      <c r="MSD88" s="947"/>
      <c r="MSE88" s="947"/>
      <c r="MSF88" s="947"/>
      <c r="MSG88" s="947"/>
      <c r="MSH88" s="947"/>
      <c r="MSI88" s="947"/>
      <c r="MSJ88" s="947"/>
      <c r="MSK88" s="947"/>
      <c r="MSL88" s="947"/>
      <c r="MSM88" s="947"/>
      <c r="MSN88" s="947"/>
      <c r="MSO88" s="947"/>
      <c r="MSP88" s="947"/>
      <c r="MSQ88" s="947"/>
      <c r="MSR88" s="947"/>
      <c r="MSS88" s="947"/>
      <c r="MST88" s="947"/>
      <c r="MSU88" s="947"/>
      <c r="MSV88" s="947"/>
      <c r="MSW88" s="947"/>
      <c r="MSX88" s="947"/>
      <c r="MSY88" s="947"/>
      <c r="MSZ88" s="947"/>
      <c r="MTA88" s="947"/>
      <c r="MTB88" s="947"/>
      <c r="MTC88" s="947"/>
      <c r="MTD88" s="947"/>
      <c r="MTE88" s="947"/>
      <c r="MTF88" s="947"/>
      <c r="MTG88" s="947"/>
      <c r="MTH88" s="947"/>
      <c r="MTI88" s="947"/>
      <c r="MTJ88" s="947"/>
      <c r="MTK88" s="947"/>
      <c r="MTL88" s="947"/>
      <c r="MTM88" s="947"/>
      <c r="MTN88" s="947"/>
      <c r="MTO88" s="947"/>
      <c r="MTP88" s="947"/>
      <c r="MTQ88" s="947"/>
      <c r="MTR88" s="947"/>
      <c r="MTS88" s="947"/>
      <c r="MTT88" s="947"/>
      <c r="MTU88" s="947"/>
      <c r="MTV88" s="947"/>
      <c r="MTW88" s="947"/>
      <c r="MTX88" s="947"/>
      <c r="MTY88" s="947"/>
      <c r="MTZ88" s="947"/>
      <c r="MUA88" s="947"/>
      <c r="MUB88" s="947"/>
      <c r="MUC88" s="947"/>
      <c r="MUD88" s="947"/>
      <c r="MUE88" s="947"/>
      <c r="MUF88" s="947"/>
      <c r="MUG88" s="947"/>
      <c r="MUH88" s="947"/>
      <c r="MUI88" s="947"/>
      <c r="MUJ88" s="947"/>
      <c r="MUK88" s="947"/>
      <c r="MUL88" s="947"/>
      <c r="MUM88" s="947"/>
      <c r="MUN88" s="947"/>
      <c r="MUO88" s="947"/>
      <c r="MUP88" s="947"/>
      <c r="MUQ88" s="947"/>
      <c r="MUR88" s="947"/>
      <c r="MUS88" s="947"/>
      <c r="MUT88" s="947"/>
      <c r="MUU88" s="947"/>
      <c r="MUV88" s="947"/>
      <c r="MUW88" s="947"/>
      <c r="MUX88" s="947"/>
      <c r="MUY88" s="947"/>
      <c r="MUZ88" s="947"/>
      <c r="MVA88" s="947"/>
      <c r="MVB88" s="947"/>
      <c r="MVC88" s="947"/>
      <c r="MVD88" s="947"/>
      <c r="MVE88" s="947"/>
      <c r="MVF88" s="947"/>
      <c r="MVG88" s="947"/>
      <c r="MVH88" s="947"/>
      <c r="MVI88" s="947"/>
      <c r="MVJ88" s="947"/>
      <c r="MVK88" s="947"/>
      <c r="MVL88" s="947"/>
      <c r="MVM88" s="947"/>
      <c r="MVN88" s="947"/>
      <c r="MVO88" s="947"/>
      <c r="MVP88" s="947"/>
      <c r="MVQ88" s="947"/>
      <c r="MVR88" s="947"/>
      <c r="MVS88" s="947"/>
      <c r="MVT88" s="947"/>
      <c r="MVU88" s="947"/>
      <c r="MVV88" s="947"/>
      <c r="MVW88" s="947"/>
      <c r="MVX88" s="947"/>
      <c r="MVY88" s="947"/>
      <c r="MVZ88" s="947"/>
      <c r="MWA88" s="947"/>
      <c r="MWB88" s="947"/>
      <c r="MWC88" s="947"/>
      <c r="MWD88" s="947"/>
      <c r="MWE88" s="947"/>
      <c r="MWF88" s="947"/>
      <c r="MWG88" s="947"/>
      <c r="MWH88" s="947"/>
      <c r="MWI88" s="947"/>
      <c r="MWJ88" s="947"/>
      <c r="MWK88" s="947"/>
      <c r="MWL88" s="947"/>
      <c r="MWM88" s="947"/>
      <c r="MWN88" s="947"/>
      <c r="MWO88" s="947"/>
      <c r="MWP88" s="947"/>
      <c r="MWQ88" s="947"/>
      <c r="MWR88" s="947"/>
      <c r="MWS88" s="947"/>
      <c r="MWT88" s="947"/>
      <c r="MWU88" s="947"/>
      <c r="MWV88" s="947"/>
      <c r="MWW88" s="947"/>
      <c r="MWX88" s="947"/>
      <c r="MWY88" s="947"/>
      <c r="MWZ88" s="947"/>
      <c r="MXA88" s="947"/>
      <c r="MXB88" s="947"/>
      <c r="MXC88" s="947"/>
      <c r="MXD88" s="947"/>
      <c r="MXE88" s="947"/>
      <c r="MXF88" s="947"/>
      <c r="MXG88" s="947"/>
      <c r="MXH88" s="947"/>
      <c r="MXI88" s="947"/>
      <c r="MXJ88" s="947"/>
      <c r="MXK88" s="947"/>
      <c r="MXL88" s="947"/>
      <c r="MXM88" s="947"/>
      <c r="MXN88" s="947"/>
      <c r="MXO88" s="947"/>
      <c r="MXP88" s="947"/>
      <c r="MXQ88" s="947"/>
      <c r="MXR88" s="947"/>
      <c r="MXS88" s="947"/>
      <c r="MXT88" s="947"/>
      <c r="MXU88" s="947"/>
      <c r="MXV88" s="947"/>
      <c r="MXW88" s="947"/>
      <c r="MXX88" s="947"/>
      <c r="MXY88" s="947"/>
      <c r="MXZ88" s="947"/>
      <c r="MYA88" s="947"/>
      <c r="MYB88" s="947"/>
      <c r="MYC88" s="947"/>
      <c r="MYD88" s="947"/>
      <c r="MYE88" s="947"/>
      <c r="MYF88" s="947"/>
      <c r="MYG88" s="947"/>
      <c r="MYH88" s="947"/>
      <c r="MYI88" s="947"/>
      <c r="MYJ88" s="947"/>
      <c r="MYK88" s="947"/>
      <c r="MYL88" s="947"/>
      <c r="MYM88" s="947"/>
      <c r="MYN88" s="947"/>
      <c r="MYO88" s="947"/>
      <c r="MYP88" s="947"/>
      <c r="MYQ88" s="947"/>
      <c r="MYR88" s="947"/>
      <c r="MYS88" s="947"/>
      <c r="MYT88" s="947"/>
      <c r="MYU88" s="947"/>
      <c r="MYV88" s="947"/>
      <c r="MYW88" s="947"/>
      <c r="MYX88" s="947"/>
      <c r="MYY88" s="947"/>
      <c r="MYZ88" s="947"/>
      <c r="MZA88" s="947"/>
      <c r="MZB88" s="947"/>
      <c r="MZC88" s="947"/>
      <c r="MZD88" s="947"/>
      <c r="MZE88" s="947"/>
      <c r="MZF88" s="947"/>
      <c r="MZG88" s="947"/>
      <c r="MZH88" s="947"/>
      <c r="MZI88" s="947"/>
      <c r="MZJ88" s="947"/>
      <c r="MZK88" s="947"/>
      <c r="MZL88" s="947"/>
      <c r="MZM88" s="947"/>
      <c r="MZN88" s="947"/>
      <c r="MZO88" s="947"/>
      <c r="MZP88" s="947"/>
      <c r="MZQ88" s="947"/>
      <c r="MZR88" s="947"/>
      <c r="MZS88" s="947"/>
      <c r="MZT88" s="947"/>
      <c r="MZU88" s="947"/>
      <c r="MZV88" s="947"/>
      <c r="MZW88" s="947"/>
      <c r="MZX88" s="947"/>
      <c r="MZY88" s="947"/>
      <c r="MZZ88" s="947"/>
      <c r="NAA88" s="947"/>
      <c r="NAB88" s="947"/>
      <c r="NAC88" s="947"/>
      <c r="NAD88" s="947"/>
      <c r="NAE88" s="947"/>
      <c r="NAF88" s="947"/>
      <c r="NAG88" s="947"/>
      <c r="NAH88" s="947"/>
      <c r="NAI88" s="947"/>
      <c r="NAJ88" s="947"/>
      <c r="NAK88" s="947"/>
      <c r="NAL88" s="947"/>
      <c r="NAM88" s="947"/>
      <c r="NAN88" s="947"/>
      <c r="NAO88" s="947"/>
      <c r="NAP88" s="947"/>
      <c r="NAQ88" s="947"/>
      <c r="NAR88" s="947"/>
      <c r="NAS88" s="947"/>
      <c r="NAT88" s="947"/>
      <c r="NAU88" s="947"/>
      <c r="NAV88" s="947"/>
      <c r="NAW88" s="947"/>
      <c r="NAX88" s="947"/>
      <c r="NAY88" s="947"/>
      <c r="NAZ88" s="947"/>
      <c r="NBA88" s="947"/>
      <c r="NBB88" s="947"/>
      <c r="NBC88" s="947"/>
      <c r="NBD88" s="947"/>
      <c r="NBE88" s="947"/>
      <c r="NBF88" s="947"/>
      <c r="NBG88" s="947"/>
      <c r="NBH88" s="947"/>
      <c r="NBI88" s="947"/>
      <c r="NBJ88" s="947"/>
      <c r="NBK88" s="947"/>
      <c r="NBL88" s="947"/>
      <c r="NBM88" s="947"/>
      <c r="NBN88" s="947"/>
      <c r="NBO88" s="947"/>
      <c r="NBP88" s="947"/>
      <c r="NBQ88" s="947"/>
      <c r="NBR88" s="947"/>
      <c r="NBS88" s="947"/>
      <c r="NBT88" s="947"/>
      <c r="NBU88" s="947"/>
      <c r="NBV88" s="947"/>
      <c r="NBW88" s="947"/>
      <c r="NBX88" s="947"/>
      <c r="NBY88" s="947"/>
      <c r="NBZ88" s="947"/>
      <c r="NCA88" s="947"/>
      <c r="NCB88" s="947"/>
      <c r="NCC88" s="947"/>
      <c r="NCD88" s="947"/>
      <c r="NCE88" s="947"/>
      <c r="NCF88" s="947"/>
      <c r="NCG88" s="947"/>
      <c r="NCH88" s="947"/>
      <c r="NCI88" s="947"/>
      <c r="NCJ88" s="947"/>
      <c r="NCK88" s="947"/>
      <c r="NCL88" s="947"/>
      <c r="NCM88" s="947"/>
      <c r="NCN88" s="947"/>
      <c r="NCO88" s="947"/>
      <c r="NCP88" s="947"/>
      <c r="NCQ88" s="947"/>
      <c r="NCR88" s="947"/>
      <c r="NCS88" s="947"/>
      <c r="NCT88" s="947"/>
      <c r="NCU88" s="947"/>
      <c r="NCV88" s="947"/>
      <c r="NCW88" s="947"/>
      <c r="NCX88" s="947"/>
      <c r="NCY88" s="947"/>
      <c r="NCZ88" s="947"/>
      <c r="NDA88" s="947"/>
      <c r="NDB88" s="947"/>
      <c r="NDC88" s="947"/>
      <c r="NDD88" s="947"/>
      <c r="NDE88" s="947"/>
      <c r="NDF88" s="947"/>
      <c r="NDG88" s="947"/>
      <c r="NDH88" s="947"/>
      <c r="NDI88" s="947"/>
      <c r="NDJ88" s="947"/>
      <c r="NDK88" s="947"/>
      <c r="NDL88" s="947"/>
      <c r="NDM88" s="947"/>
      <c r="NDN88" s="947"/>
      <c r="NDO88" s="947"/>
      <c r="NDP88" s="947"/>
      <c r="NDQ88" s="947"/>
      <c r="NDR88" s="947"/>
      <c r="NDS88" s="947"/>
      <c r="NDT88" s="947"/>
      <c r="NDU88" s="947"/>
      <c r="NDV88" s="947"/>
      <c r="NDW88" s="947"/>
      <c r="NDX88" s="947"/>
      <c r="NDY88" s="947"/>
      <c r="NDZ88" s="947"/>
      <c r="NEA88" s="947"/>
      <c r="NEB88" s="947"/>
      <c r="NEC88" s="947"/>
      <c r="NED88" s="947"/>
      <c r="NEE88" s="947"/>
      <c r="NEF88" s="947"/>
      <c r="NEG88" s="947"/>
      <c r="NEH88" s="947"/>
      <c r="NEI88" s="947"/>
      <c r="NEJ88" s="947"/>
      <c r="NEK88" s="947"/>
      <c r="NEL88" s="947"/>
      <c r="NEM88" s="947"/>
      <c r="NEN88" s="947"/>
      <c r="NEO88" s="947"/>
      <c r="NEP88" s="947"/>
      <c r="NEQ88" s="947"/>
      <c r="NER88" s="947"/>
      <c r="NES88" s="947"/>
      <c r="NET88" s="947"/>
      <c r="NEU88" s="947"/>
      <c r="NEV88" s="947"/>
      <c r="NEW88" s="947"/>
      <c r="NEX88" s="947"/>
      <c r="NEY88" s="947"/>
      <c r="NEZ88" s="947"/>
      <c r="NFA88" s="947"/>
      <c r="NFB88" s="947"/>
      <c r="NFC88" s="947"/>
      <c r="NFD88" s="947"/>
      <c r="NFE88" s="947"/>
      <c r="NFF88" s="947"/>
      <c r="NFG88" s="947"/>
      <c r="NFH88" s="947"/>
      <c r="NFI88" s="947"/>
      <c r="NFJ88" s="947"/>
      <c r="NFK88" s="947"/>
      <c r="NFL88" s="947"/>
      <c r="NFM88" s="947"/>
      <c r="NFN88" s="947"/>
      <c r="NFO88" s="947"/>
      <c r="NFP88" s="947"/>
      <c r="NFQ88" s="947"/>
      <c r="NFR88" s="947"/>
      <c r="NFS88" s="947"/>
      <c r="NFT88" s="947"/>
      <c r="NFU88" s="947"/>
      <c r="NFV88" s="947"/>
      <c r="NFW88" s="947"/>
      <c r="NFX88" s="947"/>
      <c r="NFY88" s="947"/>
      <c r="NFZ88" s="947"/>
      <c r="NGA88" s="947"/>
      <c r="NGB88" s="947"/>
      <c r="NGC88" s="947"/>
      <c r="NGD88" s="947"/>
      <c r="NGE88" s="947"/>
      <c r="NGF88" s="947"/>
      <c r="NGG88" s="947"/>
      <c r="NGH88" s="947"/>
      <c r="NGI88" s="947"/>
      <c r="NGJ88" s="947"/>
      <c r="NGK88" s="947"/>
      <c r="NGL88" s="947"/>
      <c r="NGM88" s="947"/>
      <c r="NGN88" s="947"/>
      <c r="NGO88" s="947"/>
      <c r="NGP88" s="947"/>
      <c r="NGQ88" s="947"/>
      <c r="NGR88" s="947"/>
      <c r="NGS88" s="947"/>
      <c r="NGT88" s="947"/>
      <c r="NGU88" s="947"/>
      <c r="NGV88" s="947"/>
      <c r="NGW88" s="947"/>
      <c r="NGX88" s="947"/>
      <c r="NGY88" s="947"/>
      <c r="NGZ88" s="947"/>
      <c r="NHA88" s="947"/>
      <c r="NHB88" s="947"/>
      <c r="NHC88" s="947"/>
      <c r="NHD88" s="947"/>
      <c r="NHE88" s="947"/>
      <c r="NHF88" s="947"/>
      <c r="NHG88" s="947"/>
      <c r="NHH88" s="947"/>
      <c r="NHI88" s="947"/>
      <c r="NHJ88" s="947"/>
      <c r="NHK88" s="947"/>
      <c r="NHL88" s="947"/>
      <c r="NHM88" s="947"/>
      <c r="NHN88" s="947"/>
      <c r="NHO88" s="947"/>
      <c r="NHP88" s="947"/>
      <c r="NHQ88" s="947"/>
      <c r="NHR88" s="947"/>
      <c r="NHS88" s="947"/>
      <c r="NHT88" s="947"/>
      <c r="NHU88" s="947"/>
      <c r="NHV88" s="947"/>
      <c r="NHW88" s="947"/>
      <c r="NHX88" s="947"/>
      <c r="NHY88" s="947"/>
      <c r="NHZ88" s="947"/>
      <c r="NIA88" s="947"/>
      <c r="NIB88" s="947"/>
      <c r="NIC88" s="947"/>
      <c r="NID88" s="947"/>
      <c r="NIE88" s="947"/>
      <c r="NIF88" s="947"/>
      <c r="NIG88" s="947"/>
      <c r="NIH88" s="947"/>
      <c r="NII88" s="947"/>
      <c r="NIJ88" s="947"/>
      <c r="NIK88" s="947"/>
      <c r="NIL88" s="947"/>
      <c r="NIM88" s="947"/>
      <c r="NIN88" s="947"/>
      <c r="NIO88" s="947"/>
      <c r="NIP88" s="947"/>
      <c r="NIQ88" s="947"/>
      <c r="NIR88" s="947"/>
      <c r="NIS88" s="947"/>
      <c r="NIT88" s="947"/>
      <c r="NIU88" s="947"/>
      <c r="NIV88" s="947"/>
      <c r="NIW88" s="947"/>
      <c r="NIX88" s="947"/>
      <c r="NIY88" s="947"/>
      <c r="NIZ88" s="947"/>
      <c r="NJA88" s="947"/>
      <c r="NJB88" s="947"/>
      <c r="NJC88" s="947"/>
      <c r="NJD88" s="947"/>
      <c r="NJE88" s="947"/>
      <c r="NJF88" s="947"/>
      <c r="NJG88" s="947"/>
      <c r="NJH88" s="947"/>
      <c r="NJI88" s="947"/>
      <c r="NJJ88" s="947"/>
      <c r="NJK88" s="947"/>
      <c r="NJL88" s="947"/>
      <c r="NJM88" s="947"/>
      <c r="NJN88" s="947"/>
      <c r="NJO88" s="947"/>
      <c r="NJP88" s="947"/>
      <c r="NJQ88" s="947"/>
      <c r="NJR88" s="947"/>
      <c r="NJS88" s="947"/>
      <c r="NJT88" s="947"/>
      <c r="NJU88" s="947"/>
      <c r="NJV88" s="947"/>
      <c r="NJW88" s="947"/>
      <c r="NJX88" s="947"/>
      <c r="NJY88" s="947"/>
      <c r="NJZ88" s="947"/>
      <c r="NKA88" s="947"/>
      <c r="NKB88" s="947"/>
      <c r="NKC88" s="947"/>
      <c r="NKD88" s="947"/>
      <c r="NKE88" s="947"/>
      <c r="NKF88" s="947"/>
      <c r="NKG88" s="947"/>
      <c r="NKH88" s="947"/>
      <c r="NKI88" s="947"/>
      <c r="NKJ88" s="947"/>
      <c r="NKK88" s="947"/>
      <c r="NKL88" s="947"/>
      <c r="NKM88" s="947"/>
      <c r="NKN88" s="947"/>
      <c r="NKO88" s="947"/>
      <c r="NKP88" s="947"/>
      <c r="NKQ88" s="947"/>
      <c r="NKR88" s="947"/>
      <c r="NKS88" s="947"/>
      <c r="NKT88" s="947"/>
      <c r="NKU88" s="947"/>
      <c r="NKV88" s="947"/>
      <c r="NKW88" s="947"/>
      <c r="NKX88" s="947"/>
      <c r="NKY88" s="947"/>
      <c r="NKZ88" s="947"/>
      <c r="NLA88" s="947"/>
      <c r="NLB88" s="947"/>
      <c r="NLC88" s="947"/>
      <c r="NLD88" s="947"/>
      <c r="NLE88" s="947"/>
      <c r="NLF88" s="947"/>
      <c r="NLG88" s="947"/>
      <c r="NLH88" s="947"/>
      <c r="NLI88" s="947"/>
      <c r="NLJ88" s="947"/>
      <c r="NLK88" s="947"/>
      <c r="NLL88" s="947"/>
      <c r="NLM88" s="947"/>
      <c r="NLN88" s="947"/>
      <c r="NLO88" s="947"/>
      <c r="NLP88" s="947"/>
      <c r="NLQ88" s="947"/>
      <c r="NLR88" s="947"/>
      <c r="NLS88" s="947"/>
      <c r="NLT88" s="947"/>
      <c r="NLU88" s="947"/>
      <c r="NLV88" s="947"/>
      <c r="NLW88" s="947"/>
      <c r="NLX88" s="947"/>
      <c r="NLY88" s="947"/>
      <c r="NLZ88" s="947"/>
      <c r="NMA88" s="947"/>
      <c r="NMB88" s="947"/>
      <c r="NMC88" s="947"/>
      <c r="NMD88" s="947"/>
      <c r="NME88" s="947"/>
      <c r="NMF88" s="947"/>
      <c r="NMG88" s="947"/>
      <c r="NMH88" s="947"/>
      <c r="NMI88" s="947"/>
      <c r="NMJ88" s="947"/>
      <c r="NMK88" s="947"/>
      <c r="NML88" s="947"/>
      <c r="NMM88" s="947"/>
      <c r="NMN88" s="947"/>
      <c r="NMO88" s="947"/>
      <c r="NMP88" s="947"/>
      <c r="NMQ88" s="947"/>
      <c r="NMR88" s="947"/>
      <c r="NMS88" s="947"/>
      <c r="NMT88" s="947"/>
      <c r="NMU88" s="947"/>
      <c r="NMV88" s="947"/>
      <c r="NMW88" s="947"/>
      <c r="NMX88" s="947"/>
      <c r="NMY88" s="947"/>
      <c r="NMZ88" s="947"/>
      <c r="NNA88" s="947"/>
      <c r="NNB88" s="947"/>
      <c r="NNC88" s="947"/>
      <c r="NND88" s="947"/>
      <c r="NNE88" s="947"/>
      <c r="NNF88" s="947"/>
      <c r="NNG88" s="947"/>
      <c r="NNH88" s="947"/>
      <c r="NNI88" s="947"/>
      <c r="NNJ88" s="947"/>
      <c r="NNK88" s="947"/>
      <c r="NNL88" s="947"/>
      <c r="NNM88" s="947"/>
      <c r="NNN88" s="947"/>
      <c r="NNO88" s="947"/>
      <c r="NNP88" s="947"/>
      <c r="NNQ88" s="947"/>
      <c r="NNR88" s="947"/>
      <c r="NNS88" s="947"/>
      <c r="NNT88" s="947"/>
      <c r="NNU88" s="947"/>
      <c r="NNV88" s="947"/>
      <c r="NNW88" s="947"/>
      <c r="NNX88" s="947"/>
      <c r="NNY88" s="947"/>
      <c r="NNZ88" s="947"/>
      <c r="NOA88" s="947"/>
      <c r="NOB88" s="947"/>
      <c r="NOC88" s="947"/>
      <c r="NOD88" s="947"/>
      <c r="NOE88" s="947"/>
      <c r="NOF88" s="947"/>
      <c r="NOG88" s="947"/>
      <c r="NOH88" s="947"/>
      <c r="NOI88" s="947"/>
      <c r="NOJ88" s="947"/>
      <c r="NOK88" s="947"/>
      <c r="NOL88" s="947"/>
      <c r="NOM88" s="947"/>
      <c r="NON88" s="947"/>
      <c r="NOO88" s="947"/>
      <c r="NOP88" s="947"/>
      <c r="NOQ88" s="947"/>
      <c r="NOR88" s="947"/>
      <c r="NOS88" s="947"/>
      <c r="NOT88" s="947"/>
      <c r="NOU88" s="947"/>
      <c r="NOV88" s="947"/>
      <c r="NOW88" s="947"/>
      <c r="NOX88" s="947"/>
      <c r="NOY88" s="947"/>
      <c r="NOZ88" s="947"/>
      <c r="NPA88" s="947"/>
      <c r="NPB88" s="947"/>
      <c r="NPC88" s="947"/>
      <c r="NPD88" s="947"/>
      <c r="NPE88" s="947"/>
      <c r="NPF88" s="947"/>
      <c r="NPG88" s="947"/>
      <c r="NPH88" s="947"/>
      <c r="NPI88" s="947"/>
      <c r="NPJ88" s="947"/>
      <c r="NPK88" s="947"/>
      <c r="NPL88" s="947"/>
      <c r="NPM88" s="947"/>
      <c r="NPN88" s="947"/>
      <c r="NPO88" s="947"/>
      <c r="NPP88" s="947"/>
      <c r="NPQ88" s="947"/>
      <c r="NPR88" s="947"/>
      <c r="NPS88" s="947"/>
      <c r="NPT88" s="947"/>
      <c r="NPU88" s="947"/>
      <c r="NPV88" s="947"/>
      <c r="NPW88" s="947"/>
      <c r="NPX88" s="947"/>
      <c r="NPY88" s="947"/>
      <c r="NPZ88" s="947"/>
      <c r="NQA88" s="947"/>
      <c r="NQB88" s="947"/>
      <c r="NQC88" s="947"/>
      <c r="NQD88" s="947"/>
      <c r="NQE88" s="947"/>
      <c r="NQF88" s="947"/>
      <c r="NQG88" s="947"/>
      <c r="NQH88" s="947"/>
      <c r="NQI88" s="947"/>
      <c r="NQJ88" s="947"/>
      <c r="NQK88" s="947"/>
      <c r="NQL88" s="947"/>
      <c r="NQM88" s="947"/>
      <c r="NQN88" s="947"/>
      <c r="NQO88" s="947"/>
      <c r="NQP88" s="947"/>
      <c r="NQQ88" s="947"/>
      <c r="NQR88" s="947"/>
      <c r="NQS88" s="947"/>
      <c r="NQT88" s="947"/>
      <c r="NQU88" s="947"/>
      <c r="NQV88" s="947"/>
      <c r="NQW88" s="947"/>
      <c r="NQX88" s="947"/>
      <c r="NQY88" s="947"/>
      <c r="NQZ88" s="947"/>
      <c r="NRA88" s="947"/>
      <c r="NRB88" s="947"/>
      <c r="NRC88" s="947"/>
      <c r="NRD88" s="947"/>
      <c r="NRE88" s="947"/>
      <c r="NRF88" s="947"/>
      <c r="NRG88" s="947"/>
      <c r="NRH88" s="947"/>
      <c r="NRI88" s="947"/>
      <c r="NRJ88" s="947"/>
      <c r="NRK88" s="947"/>
      <c r="NRL88" s="947"/>
      <c r="NRM88" s="947"/>
      <c r="NRN88" s="947"/>
      <c r="NRO88" s="947"/>
      <c r="NRP88" s="947"/>
      <c r="NRQ88" s="947"/>
      <c r="NRR88" s="947"/>
      <c r="NRS88" s="947"/>
      <c r="NRT88" s="947"/>
      <c r="NRU88" s="947"/>
      <c r="NRV88" s="947"/>
      <c r="NRW88" s="947"/>
      <c r="NRX88" s="947"/>
      <c r="NRY88" s="947"/>
      <c r="NRZ88" s="947"/>
      <c r="NSA88" s="947"/>
      <c r="NSB88" s="947"/>
      <c r="NSC88" s="947"/>
      <c r="NSD88" s="947"/>
      <c r="NSE88" s="947"/>
      <c r="NSF88" s="947"/>
      <c r="NSG88" s="947"/>
      <c r="NSH88" s="947"/>
      <c r="NSI88" s="947"/>
      <c r="NSJ88" s="947"/>
      <c r="NSK88" s="947"/>
      <c r="NSL88" s="947"/>
      <c r="NSM88" s="947"/>
      <c r="NSN88" s="947"/>
      <c r="NSO88" s="947"/>
      <c r="NSP88" s="947"/>
      <c r="NSQ88" s="947"/>
      <c r="NSR88" s="947"/>
      <c r="NSS88" s="947"/>
      <c r="NST88" s="947"/>
      <c r="NSU88" s="947"/>
      <c r="NSV88" s="947"/>
      <c r="NSW88" s="947"/>
      <c r="NSX88" s="947"/>
      <c r="NSY88" s="947"/>
      <c r="NSZ88" s="947"/>
      <c r="NTA88" s="947"/>
      <c r="NTB88" s="947"/>
      <c r="NTC88" s="947"/>
      <c r="NTD88" s="947"/>
      <c r="NTE88" s="947"/>
      <c r="NTF88" s="947"/>
      <c r="NTG88" s="947"/>
      <c r="NTH88" s="947"/>
      <c r="NTI88" s="947"/>
      <c r="NTJ88" s="947"/>
      <c r="NTK88" s="947"/>
      <c r="NTL88" s="947"/>
      <c r="NTM88" s="947"/>
      <c r="NTN88" s="947"/>
      <c r="NTO88" s="947"/>
      <c r="NTP88" s="947"/>
      <c r="NTQ88" s="947"/>
      <c r="NTR88" s="947"/>
      <c r="NTS88" s="947"/>
      <c r="NTT88" s="947"/>
      <c r="NTU88" s="947"/>
      <c r="NTV88" s="947"/>
      <c r="NTW88" s="947"/>
      <c r="NTX88" s="947"/>
      <c r="NTY88" s="947"/>
      <c r="NTZ88" s="947"/>
      <c r="NUA88" s="947"/>
      <c r="NUB88" s="947"/>
      <c r="NUC88" s="947"/>
      <c r="NUD88" s="947"/>
      <c r="NUE88" s="947"/>
      <c r="NUF88" s="947"/>
      <c r="NUG88" s="947"/>
      <c r="NUH88" s="947"/>
      <c r="NUI88" s="947"/>
      <c r="NUJ88" s="947"/>
      <c r="NUK88" s="947"/>
      <c r="NUL88" s="947"/>
      <c r="NUM88" s="947"/>
      <c r="NUN88" s="947"/>
      <c r="NUO88" s="947"/>
      <c r="NUP88" s="947"/>
      <c r="NUQ88" s="947"/>
      <c r="NUR88" s="947"/>
      <c r="NUS88" s="947"/>
      <c r="NUT88" s="947"/>
      <c r="NUU88" s="947"/>
      <c r="NUV88" s="947"/>
      <c r="NUW88" s="947"/>
      <c r="NUX88" s="947"/>
      <c r="NUY88" s="947"/>
      <c r="NUZ88" s="947"/>
      <c r="NVA88" s="947"/>
      <c r="NVB88" s="947"/>
      <c r="NVC88" s="947"/>
      <c r="NVD88" s="947"/>
      <c r="NVE88" s="947"/>
      <c r="NVF88" s="947"/>
      <c r="NVG88" s="947"/>
      <c r="NVH88" s="947"/>
      <c r="NVI88" s="947"/>
      <c r="NVJ88" s="947"/>
      <c r="NVK88" s="947"/>
      <c r="NVL88" s="947"/>
      <c r="NVM88" s="947"/>
      <c r="NVN88" s="947"/>
      <c r="NVO88" s="947"/>
      <c r="NVP88" s="947"/>
      <c r="NVQ88" s="947"/>
      <c r="NVR88" s="947"/>
      <c r="NVS88" s="947"/>
      <c r="NVT88" s="947"/>
      <c r="NVU88" s="947"/>
      <c r="NVV88" s="947"/>
      <c r="NVW88" s="947"/>
      <c r="NVX88" s="947"/>
      <c r="NVY88" s="947"/>
      <c r="NVZ88" s="947"/>
      <c r="NWA88" s="947"/>
      <c r="NWB88" s="947"/>
      <c r="NWC88" s="947"/>
      <c r="NWD88" s="947"/>
      <c r="NWE88" s="947"/>
      <c r="NWF88" s="947"/>
      <c r="NWG88" s="947"/>
      <c r="NWH88" s="947"/>
      <c r="NWI88" s="947"/>
      <c r="NWJ88" s="947"/>
      <c r="NWK88" s="947"/>
      <c r="NWL88" s="947"/>
      <c r="NWM88" s="947"/>
      <c r="NWN88" s="947"/>
      <c r="NWO88" s="947"/>
      <c r="NWP88" s="947"/>
      <c r="NWQ88" s="947"/>
      <c r="NWR88" s="947"/>
      <c r="NWS88" s="947"/>
      <c r="NWT88" s="947"/>
      <c r="NWU88" s="947"/>
      <c r="NWV88" s="947"/>
      <c r="NWW88" s="947"/>
      <c r="NWX88" s="947"/>
      <c r="NWY88" s="947"/>
      <c r="NWZ88" s="947"/>
      <c r="NXA88" s="947"/>
      <c r="NXB88" s="947"/>
      <c r="NXC88" s="947"/>
      <c r="NXD88" s="947"/>
      <c r="NXE88" s="947"/>
      <c r="NXF88" s="947"/>
      <c r="NXG88" s="947"/>
      <c r="NXH88" s="947"/>
      <c r="NXI88" s="947"/>
      <c r="NXJ88" s="947"/>
      <c r="NXK88" s="947"/>
      <c r="NXL88" s="947"/>
      <c r="NXM88" s="947"/>
      <c r="NXN88" s="947"/>
      <c r="NXO88" s="947"/>
      <c r="NXP88" s="947"/>
      <c r="NXQ88" s="947"/>
      <c r="NXR88" s="947"/>
      <c r="NXS88" s="947"/>
      <c r="NXT88" s="947"/>
      <c r="NXU88" s="947"/>
      <c r="NXV88" s="947"/>
      <c r="NXW88" s="947"/>
      <c r="NXX88" s="947"/>
      <c r="NXY88" s="947"/>
      <c r="NXZ88" s="947"/>
      <c r="NYA88" s="947"/>
      <c r="NYB88" s="947"/>
      <c r="NYC88" s="947"/>
      <c r="NYD88" s="947"/>
      <c r="NYE88" s="947"/>
      <c r="NYF88" s="947"/>
      <c r="NYG88" s="947"/>
      <c r="NYH88" s="947"/>
      <c r="NYI88" s="947"/>
      <c r="NYJ88" s="947"/>
      <c r="NYK88" s="947"/>
      <c r="NYL88" s="947"/>
      <c r="NYM88" s="947"/>
      <c r="NYN88" s="947"/>
      <c r="NYO88" s="947"/>
      <c r="NYP88" s="947"/>
      <c r="NYQ88" s="947"/>
      <c r="NYR88" s="947"/>
      <c r="NYS88" s="947"/>
      <c r="NYT88" s="947"/>
      <c r="NYU88" s="947"/>
      <c r="NYV88" s="947"/>
      <c r="NYW88" s="947"/>
      <c r="NYX88" s="947"/>
      <c r="NYY88" s="947"/>
      <c r="NYZ88" s="947"/>
      <c r="NZA88" s="947"/>
      <c r="NZB88" s="947"/>
      <c r="NZC88" s="947"/>
      <c r="NZD88" s="947"/>
      <c r="NZE88" s="947"/>
      <c r="NZF88" s="947"/>
      <c r="NZG88" s="947"/>
      <c r="NZH88" s="947"/>
      <c r="NZI88" s="947"/>
      <c r="NZJ88" s="947"/>
      <c r="NZK88" s="947"/>
      <c r="NZL88" s="947"/>
      <c r="NZM88" s="947"/>
      <c r="NZN88" s="947"/>
      <c r="NZO88" s="947"/>
      <c r="NZP88" s="947"/>
      <c r="NZQ88" s="947"/>
      <c r="NZR88" s="947"/>
      <c r="NZS88" s="947"/>
      <c r="NZT88" s="947"/>
      <c r="NZU88" s="947"/>
      <c r="NZV88" s="947"/>
      <c r="NZW88" s="947"/>
      <c r="NZX88" s="947"/>
      <c r="NZY88" s="947"/>
      <c r="NZZ88" s="947"/>
      <c r="OAA88" s="947"/>
      <c r="OAB88" s="947"/>
      <c r="OAC88" s="947"/>
      <c r="OAD88" s="947"/>
      <c r="OAE88" s="947"/>
      <c r="OAF88" s="947"/>
      <c r="OAG88" s="947"/>
      <c r="OAH88" s="947"/>
      <c r="OAI88" s="947"/>
      <c r="OAJ88" s="947"/>
      <c r="OAK88" s="947"/>
      <c r="OAL88" s="947"/>
      <c r="OAM88" s="947"/>
      <c r="OAN88" s="947"/>
      <c r="OAO88" s="947"/>
      <c r="OAP88" s="947"/>
      <c r="OAQ88" s="947"/>
      <c r="OAR88" s="947"/>
      <c r="OAS88" s="947"/>
      <c r="OAT88" s="947"/>
      <c r="OAU88" s="947"/>
      <c r="OAV88" s="947"/>
      <c r="OAW88" s="947"/>
      <c r="OAX88" s="947"/>
      <c r="OAY88" s="947"/>
      <c r="OAZ88" s="947"/>
      <c r="OBA88" s="947"/>
      <c r="OBB88" s="947"/>
      <c r="OBC88" s="947"/>
      <c r="OBD88" s="947"/>
      <c r="OBE88" s="947"/>
      <c r="OBF88" s="947"/>
      <c r="OBG88" s="947"/>
      <c r="OBH88" s="947"/>
      <c r="OBI88" s="947"/>
      <c r="OBJ88" s="947"/>
      <c r="OBK88" s="947"/>
      <c r="OBL88" s="947"/>
      <c r="OBM88" s="947"/>
      <c r="OBN88" s="947"/>
      <c r="OBO88" s="947"/>
      <c r="OBP88" s="947"/>
      <c r="OBQ88" s="947"/>
      <c r="OBR88" s="947"/>
      <c r="OBS88" s="947"/>
      <c r="OBT88" s="947"/>
      <c r="OBU88" s="947"/>
      <c r="OBV88" s="947"/>
      <c r="OBW88" s="947"/>
      <c r="OBX88" s="947"/>
      <c r="OBY88" s="947"/>
      <c r="OBZ88" s="947"/>
      <c r="OCA88" s="947"/>
      <c r="OCB88" s="947"/>
      <c r="OCC88" s="947"/>
      <c r="OCD88" s="947"/>
      <c r="OCE88" s="947"/>
      <c r="OCF88" s="947"/>
      <c r="OCG88" s="947"/>
      <c r="OCH88" s="947"/>
      <c r="OCI88" s="947"/>
      <c r="OCJ88" s="947"/>
      <c r="OCK88" s="947"/>
      <c r="OCL88" s="947"/>
      <c r="OCM88" s="947"/>
      <c r="OCN88" s="947"/>
      <c r="OCO88" s="947"/>
      <c r="OCP88" s="947"/>
      <c r="OCQ88" s="947"/>
      <c r="OCR88" s="947"/>
      <c r="OCS88" s="947"/>
      <c r="OCT88" s="947"/>
      <c r="OCU88" s="947"/>
      <c r="OCV88" s="947"/>
      <c r="OCW88" s="947"/>
      <c r="OCX88" s="947"/>
      <c r="OCY88" s="947"/>
      <c r="OCZ88" s="947"/>
      <c r="ODA88" s="947"/>
      <c r="ODB88" s="947"/>
      <c r="ODC88" s="947"/>
      <c r="ODD88" s="947"/>
      <c r="ODE88" s="947"/>
      <c r="ODF88" s="947"/>
      <c r="ODG88" s="947"/>
      <c r="ODH88" s="947"/>
      <c r="ODI88" s="947"/>
      <c r="ODJ88" s="947"/>
      <c r="ODK88" s="947"/>
      <c r="ODL88" s="947"/>
      <c r="ODM88" s="947"/>
      <c r="ODN88" s="947"/>
      <c r="ODO88" s="947"/>
      <c r="ODP88" s="947"/>
      <c r="ODQ88" s="947"/>
      <c r="ODR88" s="947"/>
      <c r="ODS88" s="947"/>
      <c r="ODT88" s="947"/>
      <c r="ODU88" s="947"/>
      <c r="ODV88" s="947"/>
      <c r="ODW88" s="947"/>
      <c r="ODX88" s="947"/>
      <c r="ODY88" s="947"/>
      <c r="ODZ88" s="947"/>
      <c r="OEA88" s="947"/>
      <c r="OEB88" s="947"/>
      <c r="OEC88" s="947"/>
      <c r="OED88" s="947"/>
      <c r="OEE88" s="947"/>
      <c r="OEF88" s="947"/>
      <c r="OEG88" s="947"/>
      <c r="OEH88" s="947"/>
      <c r="OEI88" s="947"/>
      <c r="OEJ88" s="947"/>
      <c r="OEK88" s="947"/>
      <c r="OEL88" s="947"/>
      <c r="OEM88" s="947"/>
      <c r="OEN88" s="947"/>
      <c r="OEO88" s="947"/>
      <c r="OEP88" s="947"/>
      <c r="OEQ88" s="947"/>
      <c r="OER88" s="947"/>
      <c r="OES88" s="947"/>
      <c r="OET88" s="947"/>
      <c r="OEU88" s="947"/>
      <c r="OEV88" s="947"/>
      <c r="OEW88" s="947"/>
      <c r="OEX88" s="947"/>
      <c r="OEY88" s="947"/>
      <c r="OEZ88" s="947"/>
      <c r="OFA88" s="947"/>
      <c r="OFB88" s="947"/>
      <c r="OFC88" s="947"/>
      <c r="OFD88" s="947"/>
      <c r="OFE88" s="947"/>
      <c r="OFF88" s="947"/>
      <c r="OFG88" s="947"/>
      <c r="OFH88" s="947"/>
      <c r="OFI88" s="947"/>
      <c r="OFJ88" s="947"/>
      <c r="OFK88" s="947"/>
      <c r="OFL88" s="947"/>
      <c r="OFM88" s="947"/>
      <c r="OFN88" s="947"/>
      <c r="OFO88" s="947"/>
      <c r="OFP88" s="947"/>
      <c r="OFQ88" s="947"/>
      <c r="OFR88" s="947"/>
      <c r="OFS88" s="947"/>
      <c r="OFT88" s="947"/>
      <c r="OFU88" s="947"/>
      <c r="OFV88" s="947"/>
      <c r="OFW88" s="947"/>
      <c r="OFX88" s="947"/>
      <c r="OFY88" s="947"/>
      <c r="OFZ88" s="947"/>
      <c r="OGA88" s="947"/>
      <c r="OGB88" s="947"/>
      <c r="OGC88" s="947"/>
      <c r="OGD88" s="947"/>
      <c r="OGE88" s="947"/>
      <c r="OGF88" s="947"/>
      <c r="OGG88" s="947"/>
      <c r="OGH88" s="947"/>
      <c r="OGI88" s="947"/>
      <c r="OGJ88" s="947"/>
      <c r="OGK88" s="947"/>
      <c r="OGL88" s="947"/>
      <c r="OGM88" s="947"/>
      <c r="OGN88" s="947"/>
      <c r="OGO88" s="947"/>
      <c r="OGP88" s="947"/>
      <c r="OGQ88" s="947"/>
      <c r="OGR88" s="947"/>
      <c r="OGS88" s="947"/>
      <c r="OGT88" s="947"/>
      <c r="OGU88" s="947"/>
      <c r="OGV88" s="947"/>
      <c r="OGW88" s="947"/>
      <c r="OGX88" s="947"/>
      <c r="OGY88" s="947"/>
      <c r="OGZ88" s="947"/>
      <c r="OHA88" s="947"/>
      <c r="OHB88" s="947"/>
      <c r="OHC88" s="947"/>
      <c r="OHD88" s="947"/>
      <c r="OHE88" s="947"/>
      <c r="OHF88" s="947"/>
      <c r="OHG88" s="947"/>
      <c r="OHH88" s="947"/>
      <c r="OHI88" s="947"/>
      <c r="OHJ88" s="947"/>
      <c r="OHK88" s="947"/>
      <c r="OHL88" s="947"/>
      <c r="OHM88" s="947"/>
      <c r="OHN88" s="947"/>
      <c r="OHO88" s="947"/>
      <c r="OHP88" s="947"/>
      <c r="OHQ88" s="947"/>
      <c r="OHR88" s="947"/>
      <c r="OHS88" s="947"/>
      <c r="OHT88" s="947"/>
      <c r="OHU88" s="947"/>
      <c r="OHV88" s="947"/>
      <c r="OHW88" s="947"/>
      <c r="OHX88" s="947"/>
      <c r="OHY88" s="947"/>
      <c r="OHZ88" s="947"/>
      <c r="OIA88" s="947"/>
      <c r="OIB88" s="947"/>
      <c r="OIC88" s="947"/>
      <c r="OID88" s="947"/>
      <c r="OIE88" s="947"/>
      <c r="OIF88" s="947"/>
      <c r="OIG88" s="947"/>
      <c r="OIH88" s="947"/>
      <c r="OII88" s="947"/>
      <c r="OIJ88" s="947"/>
      <c r="OIK88" s="947"/>
      <c r="OIL88" s="947"/>
      <c r="OIM88" s="947"/>
      <c r="OIN88" s="947"/>
      <c r="OIO88" s="947"/>
      <c r="OIP88" s="947"/>
      <c r="OIQ88" s="947"/>
      <c r="OIR88" s="947"/>
      <c r="OIS88" s="947"/>
      <c r="OIT88" s="947"/>
      <c r="OIU88" s="947"/>
      <c r="OIV88" s="947"/>
      <c r="OIW88" s="947"/>
      <c r="OIX88" s="947"/>
      <c r="OIY88" s="947"/>
      <c r="OIZ88" s="947"/>
      <c r="OJA88" s="947"/>
      <c r="OJB88" s="947"/>
      <c r="OJC88" s="947"/>
      <c r="OJD88" s="947"/>
      <c r="OJE88" s="947"/>
      <c r="OJF88" s="947"/>
      <c r="OJG88" s="947"/>
      <c r="OJH88" s="947"/>
      <c r="OJI88" s="947"/>
      <c r="OJJ88" s="947"/>
      <c r="OJK88" s="947"/>
      <c r="OJL88" s="947"/>
      <c r="OJM88" s="947"/>
      <c r="OJN88" s="947"/>
      <c r="OJO88" s="947"/>
      <c r="OJP88" s="947"/>
      <c r="OJQ88" s="947"/>
      <c r="OJR88" s="947"/>
      <c r="OJS88" s="947"/>
      <c r="OJT88" s="947"/>
      <c r="OJU88" s="947"/>
      <c r="OJV88" s="947"/>
      <c r="OJW88" s="947"/>
      <c r="OJX88" s="947"/>
      <c r="OJY88" s="947"/>
      <c r="OJZ88" s="947"/>
      <c r="OKA88" s="947"/>
      <c r="OKB88" s="947"/>
      <c r="OKC88" s="947"/>
      <c r="OKD88" s="947"/>
      <c r="OKE88" s="947"/>
      <c r="OKF88" s="947"/>
      <c r="OKG88" s="947"/>
      <c r="OKH88" s="947"/>
      <c r="OKI88" s="947"/>
      <c r="OKJ88" s="947"/>
      <c r="OKK88" s="947"/>
      <c r="OKL88" s="947"/>
      <c r="OKM88" s="947"/>
      <c r="OKN88" s="947"/>
      <c r="OKO88" s="947"/>
      <c r="OKP88" s="947"/>
      <c r="OKQ88" s="947"/>
      <c r="OKR88" s="947"/>
      <c r="OKS88" s="947"/>
      <c r="OKT88" s="947"/>
      <c r="OKU88" s="947"/>
      <c r="OKV88" s="947"/>
      <c r="OKW88" s="947"/>
      <c r="OKX88" s="947"/>
      <c r="OKY88" s="947"/>
      <c r="OKZ88" s="947"/>
      <c r="OLA88" s="947"/>
      <c r="OLB88" s="947"/>
      <c r="OLC88" s="947"/>
      <c r="OLD88" s="947"/>
      <c r="OLE88" s="947"/>
      <c r="OLF88" s="947"/>
      <c r="OLG88" s="947"/>
      <c r="OLH88" s="947"/>
      <c r="OLI88" s="947"/>
      <c r="OLJ88" s="947"/>
      <c r="OLK88" s="947"/>
      <c r="OLL88" s="947"/>
      <c r="OLM88" s="947"/>
      <c r="OLN88" s="947"/>
      <c r="OLO88" s="947"/>
      <c r="OLP88" s="947"/>
      <c r="OLQ88" s="947"/>
      <c r="OLR88" s="947"/>
      <c r="OLS88" s="947"/>
      <c r="OLT88" s="947"/>
      <c r="OLU88" s="947"/>
      <c r="OLV88" s="947"/>
      <c r="OLW88" s="947"/>
      <c r="OLX88" s="947"/>
      <c r="OLY88" s="947"/>
      <c r="OLZ88" s="947"/>
      <c r="OMA88" s="947"/>
      <c r="OMB88" s="947"/>
      <c r="OMC88" s="947"/>
      <c r="OMD88" s="947"/>
      <c r="OME88" s="947"/>
      <c r="OMF88" s="947"/>
      <c r="OMG88" s="947"/>
      <c r="OMH88" s="947"/>
      <c r="OMI88" s="947"/>
      <c r="OMJ88" s="947"/>
      <c r="OMK88" s="947"/>
      <c r="OML88" s="947"/>
      <c r="OMM88" s="947"/>
      <c r="OMN88" s="947"/>
      <c r="OMO88" s="947"/>
      <c r="OMP88" s="947"/>
      <c r="OMQ88" s="947"/>
      <c r="OMR88" s="947"/>
      <c r="OMS88" s="947"/>
      <c r="OMT88" s="947"/>
      <c r="OMU88" s="947"/>
      <c r="OMV88" s="947"/>
      <c r="OMW88" s="947"/>
      <c r="OMX88" s="947"/>
      <c r="OMY88" s="947"/>
      <c r="OMZ88" s="947"/>
      <c r="ONA88" s="947"/>
      <c r="ONB88" s="947"/>
      <c r="ONC88" s="947"/>
      <c r="OND88" s="947"/>
      <c r="ONE88" s="947"/>
      <c r="ONF88" s="947"/>
      <c r="ONG88" s="947"/>
      <c r="ONH88" s="947"/>
      <c r="ONI88" s="947"/>
      <c r="ONJ88" s="947"/>
      <c r="ONK88" s="947"/>
      <c r="ONL88" s="947"/>
      <c r="ONM88" s="947"/>
      <c r="ONN88" s="947"/>
      <c r="ONO88" s="947"/>
      <c r="ONP88" s="947"/>
      <c r="ONQ88" s="947"/>
      <c r="ONR88" s="947"/>
      <c r="ONS88" s="947"/>
      <c r="ONT88" s="947"/>
      <c r="ONU88" s="947"/>
      <c r="ONV88" s="947"/>
      <c r="ONW88" s="947"/>
      <c r="ONX88" s="947"/>
      <c r="ONY88" s="947"/>
      <c r="ONZ88" s="947"/>
      <c r="OOA88" s="947"/>
      <c r="OOB88" s="947"/>
      <c r="OOC88" s="947"/>
      <c r="OOD88" s="947"/>
      <c r="OOE88" s="947"/>
      <c r="OOF88" s="947"/>
      <c r="OOG88" s="947"/>
      <c r="OOH88" s="947"/>
      <c r="OOI88" s="947"/>
      <c r="OOJ88" s="947"/>
      <c r="OOK88" s="947"/>
      <c r="OOL88" s="947"/>
      <c r="OOM88" s="947"/>
      <c r="OON88" s="947"/>
      <c r="OOO88" s="947"/>
      <c r="OOP88" s="947"/>
      <c r="OOQ88" s="947"/>
      <c r="OOR88" s="947"/>
      <c r="OOS88" s="947"/>
      <c r="OOT88" s="947"/>
      <c r="OOU88" s="947"/>
      <c r="OOV88" s="947"/>
      <c r="OOW88" s="947"/>
      <c r="OOX88" s="947"/>
      <c r="OOY88" s="947"/>
      <c r="OOZ88" s="947"/>
      <c r="OPA88" s="947"/>
      <c r="OPB88" s="947"/>
      <c r="OPC88" s="947"/>
      <c r="OPD88" s="947"/>
      <c r="OPE88" s="947"/>
      <c r="OPF88" s="947"/>
      <c r="OPG88" s="947"/>
      <c r="OPH88" s="947"/>
      <c r="OPI88" s="947"/>
      <c r="OPJ88" s="947"/>
      <c r="OPK88" s="947"/>
      <c r="OPL88" s="947"/>
      <c r="OPM88" s="947"/>
      <c r="OPN88" s="947"/>
      <c r="OPO88" s="947"/>
      <c r="OPP88" s="947"/>
      <c r="OPQ88" s="947"/>
      <c r="OPR88" s="947"/>
      <c r="OPS88" s="947"/>
      <c r="OPT88" s="947"/>
      <c r="OPU88" s="947"/>
      <c r="OPV88" s="947"/>
      <c r="OPW88" s="947"/>
      <c r="OPX88" s="947"/>
      <c r="OPY88" s="947"/>
      <c r="OPZ88" s="947"/>
      <c r="OQA88" s="947"/>
      <c r="OQB88" s="947"/>
      <c r="OQC88" s="947"/>
      <c r="OQD88" s="947"/>
      <c r="OQE88" s="947"/>
      <c r="OQF88" s="947"/>
      <c r="OQG88" s="947"/>
      <c r="OQH88" s="947"/>
      <c r="OQI88" s="947"/>
      <c r="OQJ88" s="947"/>
      <c r="OQK88" s="947"/>
      <c r="OQL88" s="947"/>
      <c r="OQM88" s="947"/>
      <c r="OQN88" s="947"/>
      <c r="OQO88" s="947"/>
      <c r="OQP88" s="947"/>
      <c r="OQQ88" s="947"/>
      <c r="OQR88" s="947"/>
      <c r="OQS88" s="947"/>
      <c r="OQT88" s="947"/>
      <c r="OQU88" s="947"/>
      <c r="OQV88" s="947"/>
      <c r="OQW88" s="947"/>
      <c r="OQX88" s="947"/>
      <c r="OQY88" s="947"/>
      <c r="OQZ88" s="947"/>
      <c r="ORA88" s="947"/>
      <c r="ORB88" s="947"/>
      <c r="ORC88" s="947"/>
      <c r="ORD88" s="947"/>
      <c r="ORE88" s="947"/>
      <c r="ORF88" s="947"/>
      <c r="ORG88" s="947"/>
      <c r="ORH88" s="947"/>
      <c r="ORI88" s="947"/>
      <c r="ORJ88" s="947"/>
      <c r="ORK88" s="947"/>
      <c r="ORL88" s="947"/>
      <c r="ORM88" s="947"/>
      <c r="ORN88" s="947"/>
      <c r="ORO88" s="947"/>
      <c r="ORP88" s="947"/>
      <c r="ORQ88" s="947"/>
      <c r="ORR88" s="947"/>
      <c r="ORS88" s="947"/>
      <c r="ORT88" s="947"/>
      <c r="ORU88" s="947"/>
      <c r="ORV88" s="947"/>
      <c r="ORW88" s="947"/>
      <c r="ORX88" s="947"/>
      <c r="ORY88" s="947"/>
      <c r="ORZ88" s="947"/>
      <c r="OSA88" s="947"/>
      <c r="OSB88" s="947"/>
      <c r="OSC88" s="947"/>
      <c r="OSD88" s="947"/>
      <c r="OSE88" s="947"/>
      <c r="OSF88" s="947"/>
      <c r="OSG88" s="947"/>
      <c r="OSH88" s="947"/>
      <c r="OSI88" s="947"/>
      <c r="OSJ88" s="947"/>
      <c r="OSK88" s="947"/>
      <c r="OSL88" s="947"/>
      <c r="OSM88" s="947"/>
      <c r="OSN88" s="947"/>
      <c r="OSO88" s="947"/>
      <c r="OSP88" s="947"/>
      <c r="OSQ88" s="947"/>
      <c r="OSR88" s="947"/>
      <c r="OSS88" s="947"/>
      <c r="OST88" s="947"/>
      <c r="OSU88" s="947"/>
      <c r="OSV88" s="947"/>
      <c r="OSW88" s="947"/>
      <c r="OSX88" s="947"/>
      <c r="OSY88" s="947"/>
      <c r="OSZ88" s="947"/>
      <c r="OTA88" s="947"/>
      <c r="OTB88" s="947"/>
      <c r="OTC88" s="947"/>
      <c r="OTD88" s="947"/>
      <c r="OTE88" s="947"/>
      <c r="OTF88" s="947"/>
      <c r="OTG88" s="947"/>
      <c r="OTH88" s="947"/>
      <c r="OTI88" s="947"/>
      <c r="OTJ88" s="947"/>
      <c r="OTK88" s="947"/>
      <c r="OTL88" s="947"/>
      <c r="OTM88" s="947"/>
      <c r="OTN88" s="947"/>
      <c r="OTO88" s="947"/>
      <c r="OTP88" s="947"/>
      <c r="OTQ88" s="947"/>
      <c r="OTR88" s="947"/>
      <c r="OTS88" s="947"/>
      <c r="OTT88" s="947"/>
      <c r="OTU88" s="947"/>
      <c r="OTV88" s="947"/>
      <c r="OTW88" s="947"/>
      <c r="OTX88" s="947"/>
      <c r="OTY88" s="947"/>
      <c r="OTZ88" s="947"/>
      <c r="OUA88" s="947"/>
      <c r="OUB88" s="947"/>
      <c r="OUC88" s="947"/>
      <c r="OUD88" s="947"/>
      <c r="OUE88" s="947"/>
      <c r="OUF88" s="947"/>
      <c r="OUG88" s="947"/>
      <c r="OUH88" s="947"/>
      <c r="OUI88" s="947"/>
      <c r="OUJ88" s="947"/>
      <c r="OUK88" s="947"/>
      <c r="OUL88" s="947"/>
      <c r="OUM88" s="947"/>
      <c r="OUN88" s="947"/>
      <c r="OUO88" s="947"/>
      <c r="OUP88" s="947"/>
      <c r="OUQ88" s="947"/>
      <c r="OUR88" s="947"/>
      <c r="OUS88" s="947"/>
      <c r="OUT88" s="947"/>
      <c r="OUU88" s="947"/>
      <c r="OUV88" s="947"/>
      <c r="OUW88" s="947"/>
      <c r="OUX88" s="947"/>
      <c r="OUY88" s="947"/>
      <c r="OUZ88" s="947"/>
      <c r="OVA88" s="947"/>
      <c r="OVB88" s="947"/>
      <c r="OVC88" s="947"/>
      <c r="OVD88" s="947"/>
      <c r="OVE88" s="947"/>
      <c r="OVF88" s="947"/>
      <c r="OVG88" s="947"/>
      <c r="OVH88" s="947"/>
      <c r="OVI88" s="947"/>
      <c r="OVJ88" s="947"/>
      <c r="OVK88" s="947"/>
      <c r="OVL88" s="947"/>
      <c r="OVM88" s="947"/>
      <c r="OVN88" s="947"/>
      <c r="OVO88" s="947"/>
      <c r="OVP88" s="947"/>
      <c r="OVQ88" s="947"/>
      <c r="OVR88" s="947"/>
      <c r="OVS88" s="947"/>
      <c r="OVT88" s="947"/>
      <c r="OVU88" s="947"/>
      <c r="OVV88" s="947"/>
      <c r="OVW88" s="947"/>
      <c r="OVX88" s="947"/>
      <c r="OVY88" s="947"/>
      <c r="OVZ88" s="947"/>
      <c r="OWA88" s="947"/>
      <c r="OWB88" s="947"/>
      <c r="OWC88" s="947"/>
      <c r="OWD88" s="947"/>
      <c r="OWE88" s="947"/>
      <c r="OWF88" s="947"/>
      <c r="OWG88" s="947"/>
      <c r="OWH88" s="947"/>
      <c r="OWI88" s="947"/>
      <c r="OWJ88" s="947"/>
      <c r="OWK88" s="947"/>
      <c r="OWL88" s="947"/>
      <c r="OWM88" s="947"/>
      <c r="OWN88" s="947"/>
      <c r="OWO88" s="947"/>
      <c r="OWP88" s="947"/>
      <c r="OWQ88" s="947"/>
      <c r="OWR88" s="947"/>
      <c r="OWS88" s="947"/>
      <c r="OWT88" s="947"/>
      <c r="OWU88" s="947"/>
      <c r="OWV88" s="947"/>
      <c r="OWW88" s="947"/>
      <c r="OWX88" s="947"/>
      <c r="OWY88" s="947"/>
      <c r="OWZ88" s="947"/>
      <c r="OXA88" s="947"/>
      <c r="OXB88" s="947"/>
      <c r="OXC88" s="947"/>
      <c r="OXD88" s="947"/>
      <c r="OXE88" s="947"/>
      <c r="OXF88" s="947"/>
      <c r="OXG88" s="947"/>
      <c r="OXH88" s="947"/>
      <c r="OXI88" s="947"/>
      <c r="OXJ88" s="947"/>
      <c r="OXK88" s="947"/>
      <c r="OXL88" s="947"/>
      <c r="OXM88" s="947"/>
      <c r="OXN88" s="947"/>
      <c r="OXO88" s="947"/>
      <c r="OXP88" s="947"/>
      <c r="OXQ88" s="947"/>
      <c r="OXR88" s="947"/>
      <c r="OXS88" s="947"/>
      <c r="OXT88" s="947"/>
      <c r="OXU88" s="947"/>
      <c r="OXV88" s="947"/>
      <c r="OXW88" s="947"/>
      <c r="OXX88" s="947"/>
      <c r="OXY88" s="947"/>
      <c r="OXZ88" s="947"/>
      <c r="OYA88" s="947"/>
      <c r="OYB88" s="947"/>
      <c r="OYC88" s="947"/>
      <c r="OYD88" s="947"/>
      <c r="OYE88" s="947"/>
      <c r="OYF88" s="947"/>
      <c r="OYG88" s="947"/>
      <c r="OYH88" s="947"/>
      <c r="OYI88" s="947"/>
      <c r="OYJ88" s="947"/>
      <c r="OYK88" s="947"/>
      <c r="OYL88" s="947"/>
      <c r="OYM88" s="947"/>
      <c r="OYN88" s="947"/>
      <c r="OYO88" s="947"/>
      <c r="OYP88" s="947"/>
      <c r="OYQ88" s="947"/>
      <c r="OYR88" s="947"/>
      <c r="OYS88" s="947"/>
      <c r="OYT88" s="947"/>
      <c r="OYU88" s="947"/>
      <c r="OYV88" s="947"/>
      <c r="OYW88" s="947"/>
      <c r="OYX88" s="947"/>
      <c r="OYY88" s="947"/>
      <c r="OYZ88" s="947"/>
      <c r="OZA88" s="947"/>
      <c r="OZB88" s="947"/>
      <c r="OZC88" s="947"/>
      <c r="OZD88" s="947"/>
      <c r="OZE88" s="947"/>
      <c r="OZF88" s="947"/>
      <c r="OZG88" s="947"/>
      <c r="OZH88" s="947"/>
      <c r="OZI88" s="947"/>
      <c r="OZJ88" s="947"/>
      <c r="OZK88" s="947"/>
      <c r="OZL88" s="947"/>
      <c r="OZM88" s="947"/>
      <c r="OZN88" s="947"/>
      <c r="OZO88" s="947"/>
      <c r="OZP88" s="947"/>
      <c r="OZQ88" s="947"/>
      <c r="OZR88" s="947"/>
      <c r="OZS88" s="947"/>
      <c r="OZT88" s="947"/>
      <c r="OZU88" s="947"/>
      <c r="OZV88" s="947"/>
      <c r="OZW88" s="947"/>
      <c r="OZX88" s="947"/>
      <c r="OZY88" s="947"/>
      <c r="OZZ88" s="947"/>
      <c r="PAA88" s="947"/>
      <c r="PAB88" s="947"/>
      <c r="PAC88" s="947"/>
      <c r="PAD88" s="947"/>
      <c r="PAE88" s="947"/>
      <c r="PAF88" s="947"/>
      <c r="PAG88" s="947"/>
      <c r="PAH88" s="947"/>
      <c r="PAI88" s="947"/>
      <c r="PAJ88" s="947"/>
      <c r="PAK88" s="947"/>
      <c r="PAL88" s="947"/>
      <c r="PAM88" s="947"/>
      <c r="PAN88" s="947"/>
      <c r="PAO88" s="947"/>
      <c r="PAP88" s="947"/>
      <c r="PAQ88" s="947"/>
      <c r="PAR88" s="947"/>
      <c r="PAS88" s="947"/>
      <c r="PAT88" s="947"/>
      <c r="PAU88" s="947"/>
      <c r="PAV88" s="947"/>
      <c r="PAW88" s="947"/>
      <c r="PAX88" s="947"/>
      <c r="PAY88" s="947"/>
      <c r="PAZ88" s="947"/>
      <c r="PBA88" s="947"/>
      <c r="PBB88" s="947"/>
      <c r="PBC88" s="947"/>
      <c r="PBD88" s="947"/>
      <c r="PBE88" s="947"/>
      <c r="PBF88" s="947"/>
      <c r="PBG88" s="947"/>
      <c r="PBH88" s="947"/>
      <c r="PBI88" s="947"/>
      <c r="PBJ88" s="947"/>
      <c r="PBK88" s="947"/>
      <c r="PBL88" s="947"/>
      <c r="PBM88" s="947"/>
      <c r="PBN88" s="947"/>
      <c r="PBO88" s="947"/>
      <c r="PBP88" s="947"/>
      <c r="PBQ88" s="947"/>
      <c r="PBR88" s="947"/>
      <c r="PBS88" s="947"/>
      <c r="PBT88" s="947"/>
      <c r="PBU88" s="947"/>
      <c r="PBV88" s="947"/>
      <c r="PBW88" s="947"/>
      <c r="PBX88" s="947"/>
      <c r="PBY88" s="947"/>
      <c r="PBZ88" s="947"/>
      <c r="PCA88" s="947"/>
      <c r="PCB88" s="947"/>
      <c r="PCC88" s="947"/>
      <c r="PCD88" s="947"/>
      <c r="PCE88" s="947"/>
      <c r="PCF88" s="947"/>
      <c r="PCG88" s="947"/>
      <c r="PCH88" s="947"/>
      <c r="PCI88" s="947"/>
      <c r="PCJ88" s="947"/>
      <c r="PCK88" s="947"/>
      <c r="PCL88" s="947"/>
      <c r="PCM88" s="947"/>
      <c r="PCN88" s="947"/>
      <c r="PCO88" s="947"/>
      <c r="PCP88" s="947"/>
      <c r="PCQ88" s="947"/>
      <c r="PCR88" s="947"/>
      <c r="PCS88" s="947"/>
      <c r="PCT88" s="947"/>
      <c r="PCU88" s="947"/>
      <c r="PCV88" s="947"/>
      <c r="PCW88" s="947"/>
      <c r="PCX88" s="947"/>
      <c r="PCY88" s="947"/>
      <c r="PCZ88" s="947"/>
      <c r="PDA88" s="947"/>
      <c r="PDB88" s="947"/>
      <c r="PDC88" s="947"/>
      <c r="PDD88" s="947"/>
      <c r="PDE88" s="947"/>
      <c r="PDF88" s="947"/>
      <c r="PDG88" s="947"/>
      <c r="PDH88" s="947"/>
      <c r="PDI88" s="947"/>
      <c r="PDJ88" s="947"/>
      <c r="PDK88" s="947"/>
      <c r="PDL88" s="947"/>
      <c r="PDM88" s="947"/>
      <c r="PDN88" s="947"/>
      <c r="PDO88" s="947"/>
      <c r="PDP88" s="947"/>
      <c r="PDQ88" s="947"/>
      <c r="PDR88" s="947"/>
      <c r="PDS88" s="947"/>
      <c r="PDT88" s="947"/>
      <c r="PDU88" s="947"/>
      <c r="PDV88" s="947"/>
      <c r="PDW88" s="947"/>
      <c r="PDX88" s="947"/>
      <c r="PDY88" s="947"/>
      <c r="PDZ88" s="947"/>
      <c r="PEA88" s="947"/>
      <c r="PEB88" s="947"/>
      <c r="PEC88" s="947"/>
      <c r="PED88" s="947"/>
      <c r="PEE88" s="947"/>
      <c r="PEF88" s="947"/>
      <c r="PEG88" s="947"/>
      <c r="PEH88" s="947"/>
      <c r="PEI88" s="947"/>
      <c r="PEJ88" s="947"/>
      <c r="PEK88" s="947"/>
      <c r="PEL88" s="947"/>
      <c r="PEM88" s="947"/>
      <c r="PEN88" s="947"/>
      <c r="PEO88" s="947"/>
      <c r="PEP88" s="947"/>
      <c r="PEQ88" s="947"/>
      <c r="PER88" s="947"/>
      <c r="PES88" s="947"/>
      <c r="PET88" s="947"/>
      <c r="PEU88" s="947"/>
      <c r="PEV88" s="947"/>
      <c r="PEW88" s="947"/>
      <c r="PEX88" s="947"/>
      <c r="PEY88" s="947"/>
      <c r="PEZ88" s="947"/>
      <c r="PFA88" s="947"/>
      <c r="PFB88" s="947"/>
      <c r="PFC88" s="947"/>
      <c r="PFD88" s="947"/>
      <c r="PFE88" s="947"/>
      <c r="PFF88" s="947"/>
      <c r="PFG88" s="947"/>
      <c r="PFH88" s="947"/>
      <c r="PFI88" s="947"/>
      <c r="PFJ88" s="947"/>
      <c r="PFK88" s="947"/>
      <c r="PFL88" s="947"/>
      <c r="PFM88" s="947"/>
      <c r="PFN88" s="947"/>
      <c r="PFO88" s="947"/>
      <c r="PFP88" s="947"/>
      <c r="PFQ88" s="947"/>
      <c r="PFR88" s="947"/>
      <c r="PFS88" s="947"/>
      <c r="PFT88" s="947"/>
      <c r="PFU88" s="947"/>
      <c r="PFV88" s="947"/>
      <c r="PFW88" s="947"/>
      <c r="PFX88" s="947"/>
      <c r="PFY88" s="947"/>
      <c r="PFZ88" s="947"/>
      <c r="PGA88" s="947"/>
      <c r="PGB88" s="947"/>
      <c r="PGC88" s="947"/>
      <c r="PGD88" s="947"/>
      <c r="PGE88" s="947"/>
      <c r="PGF88" s="947"/>
      <c r="PGG88" s="947"/>
      <c r="PGH88" s="947"/>
      <c r="PGI88" s="947"/>
      <c r="PGJ88" s="947"/>
      <c r="PGK88" s="947"/>
      <c r="PGL88" s="947"/>
      <c r="PGM88" s="947"/>
      <c r="PGN88" s="947"/>
      <c r="PGO88" s="947"/>
      <c r="PGP88" s="947"/>
      <c r="PGQ88" s="947"/>
      <c r="PGR88" s="947"/>
      <c r="PGS88" s="947"/>
      <c r="PGT88" s="947"/>
      <c r="PGU88" s="947"/>
      <c r="PGV88" s="947"/>
      <c r="PGW88" s="947"/>
      <c r="PGX88" s="947"/>
      <c r="PGY88" s="947"/>
      <c r="PGZ88" s="947"/>
      <c r="PHA88" s="947"/>
      <c r="PHB88" s="947"/>
      <c r="PHC88" s="947"/>
      <c r="PHD88" s="947"/>
      <c r="PHE88" s="947"/>
      <c r="PHF88" s="947"/>
      <c r="PHG88" s="947"/>
      <c r="PHH88" s="947"/>
      <c r="PHI88" s="947"/>
      <c r="PHJ88" s="947"/>
      <c r="PHK88" s="947"/>
      <c r="PHL88" s="947"/>
      <c r="PHM88" s="947"/>
      <c r="PHN88" s="947"/>
      <c r="PHO88" s="947"/>
      <c r="PHP88" s="947"/>
      <c r="PHQ88" s="947"/>
      <c r="PHR88" s="947"/>
      <c r="PHS88" s="947"/>
      <c r="PHT88" s="947"/>
      <c r="PHU88" s="947"/>
      <c r="PHV88" s="947"/>
      <c r="PHW88" s="947"/>
      <c r="PHX88" s="947"/>
      <c r="PHY88" s="947"/>
      <c r="PHZ88" s="947"/>
      <c r="PIA88" s="947"/>
      <c r="PIB88" s="947"/>
      <c r="PIC88" s="947"/>
      <c r="PID88" s="947"/>
      <c r="PIE88" s="947"/>
      <c r="PIF88" s="947"/>
      <c r="PIG88" s="947"/>
      <c r="PIH88" s="947"/>
      <c r="PII88" s="947"/>
      <c r="PIJ88" s="947"/>
      <c r="PIK88" s="947"/>
      <c r="PIL88" s="947"/>
      <c r="PIM88" s="947"/>
      <c r="PIN88" s="947"/>
      <c r="PIO88" s="947"/>
      <c r="PIP88" s="947"/>
      <c r="PIQ88" s="947"/>
      <c r="PIR88" s="947"/>
      <c r="PIS88" s="947"/>
      <c r="PIT88" s="947"/>
      <c r="PIU88" s="947"/>
      <c r="PIV88" s="947"/>
      <c r="PIW88" s="947"/>
      <c r="PIX88" s="947"/>
      <c r="PIY88" s="947"/>
      <c r="PIZ88" s="947"/>
      <c r="PJA88" s="947"/>
      <c r="PJB88" s="947"/>
      <c r="PJC88" s="947"/>
      <c r="PJD88" s="947"/>
      <c r="PJE88" s="947"/>
      <c r="PJF88" s="947"/>
      <c r="PJG88" s="947"/>
      <c r="PJH88" s="947"/>
      <c r="PJI88" s="947"/>
      <c r="PJJ88" s="947"/>
      <c r="PJK88" s="947"/>
      <c r="PJL88" s="947"/>
      <c r="PJM88" s="947"/>
      <c r="PJN88" s="947"/>
      <c r="PJO88" s="947"/>
      <c r="PJP88" s="947"/>
      <c r="PJQ88" s="947"/>
      <c r="PJR88" s="947"/>
      <c r="PJS88" s="947"/>
      <c r="PJT88" s="947"/>
      <c r="PJU88" s="947"/>
      <c r="PJV88" s="947"/>
      <c r="PJW88" s="947"/>
      <c r="PJX88" s="947"/>
      <c r="PJY88" s="947"/>
      <c r="PJZ88" s="947"/>
      <c r="PKA88" s="947"/>
      <c r="PKB88" s="947"/>
      <c r="PKC88" s="947"/>
      <c r="PKD88" s="947"/>
      <c r="PKE88" s="947"/>
      <c r="PKF88" s="947"/>
      <c r="PKG88" s="947"/>
      <c r="PKH88" s="947"/>
      <c r="PKI88" s="947"/>
      <c r="PKJ88" s="947"/>
      <c r="PKK88" s="947"/>
      <c r="PKL88" s="947"/>
      <c r="PKM88" s="947"/>
      <c r="PKN88" s="947"/>
      <c r="PKO88" s="947"/>
      <c r="PKP88" s="947"/>
      <c r="PKQ88" s="947"/>
      <c r="PKR88" s="947"/>
      <c r="PKS88" s="947"/>
      <c r="PKT88" s="947"/>
      <c r="PKU88" s="947"/>
      <c r="PKV88" s="947"/>
      <c r="PKW88" s="947"/>
      <c r="PKX88" s="947"/>
      <c r="PKY88" s="947"/>
      <c r="PKZ88" s="947"/>
      <c r="PLA88" s="947"/>
      <c r="PLB88" s="947"/>
      <c r="PLC88" s="947"/>
      <c r="PLD88" s="947"/>
      <c r="PLE88" s="947"/>
      <c r="PLF88" s="947"/>
      <c r="PLG88" s="947"/>
      <c r="PLH88" s="947"/>
      <c r="PLI88" s="947"/>
      <c r="PLJ88" s="947"/>
      <c r="PLK88" s="947"/>
      <c r="PLL88" s="947"/>
      <c r="PLM88" s="947"/>
      <c r="PLN88" s="947"/>
      <c r="PLO88" s="947"/>
      <c r="PLP88" s="947"/>
      <c r="PLQ88" s="947"/>
      <c r="PLR88" s="947"/>
      <c r="PLS88" s="947"/>
      <c r="PLT88" s="947"/>
      <c r="PLU88" s="947"/>
      <c r="PLV88" s="947"/>
      <c r="PLW88" s="947"/>
      <c r="PLX88" s="947"/>
      <c r="PLY88" s="947"/>
      <c r="PLZ88" s="947"/>
      <c r="PMA88" s="947"/>
      <c r="PMB88" s="947"/>
      <c r="PMC88" s="947"/>
      <c r="PMD88" s="947"/>
      <c r="PME88" s="947"/>
      <c r="PMF88" s="947"/>
      <c r="PMG88" s="947"/>
      <c r="PMH88" s="947"/>
      <c r="PMI88" s="947"/>
      <c r="PMJ88" s="947"/>
      <c r="PMK88" s="947"/>
      <c r="PML88" s="947"/>
      <c r="PMM88" s="947"/>
      <c r="PMN88" s="947"/>
      <c r="PMO88" s="947"/>
      <c r="PMP88" s="947"/>
      <c r="PMQ88" s="947"/>
      <c r="PMR88" s="947"/>
      <c r="PMS88" s="947"/>
      <c r="PMT88" s="947"/>
      <c r="PMU88" s="947"/>
      <c r="PMV88" s="947"/>
      <c r="PMW88" s="947"/>
      <c r="PMX88" s="947"/>
      <c r="PMY88" s="947"/>
      <c r="PMZ88" s="947"/>
      <c r="PNA88" s="947"/>
      <c r="PNB88" s="947"/>
      <c r="PNC88" s="947"/>
      <c r="PND88" s="947"/>
      <c r="PNE88" s="947"/>
      <c r="PNF88" s="947"/>
      <c r="PNG88" s="947"/>
      <c r="PNH88" s="947"/>
      <c r="PNI88" s="947"/>
      <c r="PNJ88" s="947"/>
      <c r="PNK88" s="947"/>
      <c r="PNL88" s="947"/>
      <c r="PNM88" s="947"/>
      <c r="PNN88" s="947"/>
      <c r="PNO88" s="947"/>
      <c r="PNP88" s="947"/>
      <c r="PNQ88" s="947"/>
      <c r="PNR88" s="947"/>
      <c r="PNS88" s="947"/>
      <c r="PNT88" s="947"/>
      <c r="PNU88" s="947"/>
      <c r="PNV88" s="947"/>
      <c r="PNW88" s="947"/>
      <c r="PNX88" s="947"/>
      <c r="PNY88" s="947"/>
      <c r="PNZ88" s="947"/>
      <c r="POA88" s="947"/>
      <c r="POB88" s="947"/>
      <c r="POC88" s="947"/>
      <c r="POD88" s="947"/>
      <c r="POE88" s="947"/>
      <c r="POF88" s="947"/>
      <c r="POG88" s="947"/>
      <c r="POH88" s="947"/>
      <c r="POI88" s="947"/>
      <c r="POJ88" s="947"/>
      <c r="POK88" s="947"/>
      <c r="POL88" s="947"/>
      <c r="POM88" s="947"/>
      <c r="PON88" s="947"/>
      <c r="POO88" s="947"/>
      <c r="POP88" s="947"/>
      <c r="POQ88" s="947"/>
      <c r="POR88" s="947"/>
      <c r="POS88" s="947"/>
      <c r="POT88" s="947"/>
      <c r="POU88" s="947"/>
      <c r="POV88" s="947"/>
      <c r="POW88" s="947"/>
      <c r="POX88" s="947"/>
      <c r="POY88" s="947"/>
      <c r="POZ88" s="947"/>
      <c r="PPA88" s="947"/>
      <c r="PPB88" s="947"/>
      <c r="PPC88" s="947"/>
      <c r="PPD88" s="947"/>
      <c r="PPE88" s="947"/>
      <c r="PPF88" s="947"/>
      <c r="PPG88" s="947"/>
      <c r="PPH88" s="947"/>
      <c r="PPI88" s="947"/>
      <c r="PPJ88" s="947"/>
      <c r="PPK88" s="947"/>
      <c r="PPL88" s="947"/>
      <c r="PPM88" s="947"/>
      <c r="PPN88" s="947"/>
      <c r="PPO88" s="947"/>
      <c r="PPP88" s="947"/>
      <c r="PPQ88" s="947"/>
      <c r="PPR88" s="947"/>
      <c r="PPS88" s="947"/>
      <c r="PPT88" s="947"/>
      <c r="PPU88" s="947"/>
      <c r="PPV88" s="947"/>
      <c r="PPW88" s="947"/>
      <c r="PPX88" s="947"/>
      <c r="PPY88" s="947"/>
      <c r="PPZ88" s="947"/>
      <c r="PQA88" s="947"/>
      <c r="PQB88" s="947"/>
      <c r="PQC88" s="947"/>
      <c r="PQD88" s="947"/>
      <c r="PQE88" s="947"/>
      <c r="PQF88" s="947"/>
      <c r="PQG88" s="947"/>
      <c r="PQH88" s="947"/>
      <c r="PQI88" s="947"/>
      <c r="PQJ88" s="947"/>
      <c r="PQK88" s="947"/>
      <c r="PQL88" s="947"/>
      <c r="PQM88" s="947"/>
      <c r="PQN88" s="947"/>
      <c r="PQO88" s="947"/>
      <c r="PQP88" s="947"/>
      <c r="PQQ88" s="947"/>
      <c r="PQR88" s="947"/>
      <c r="PQS88" s="947"/>
      <c r="PQT88" s="947"/>
      <c r="PQU88" s="947"/>
      <c r="PQV88" s="947"/>
      <c r="PQW88" s="947"/>
      <c r="PQX88" s="947"/>
      <c r="PQY88" s="947"/>
      <c r="PQZ88" s="947"/>
      <c r="PRA88" s="947"/>
      <c r="PRB88" s="947"/>
      <c r="PRC88" s="947"/>
      <c r="PRD88" s="947"/>
      <c r="PRE88" s="947"/>
      <c r="PRF88" s="947"/>
      <c r="PRG88" s="947"/>
      <c r="PRH88" s="947"/>
      <c r="PRI88" s="947"/>
      <c r="PRJ88" s="947"/>
      <c r="PRK88" s="947"/>
      <c r="PRL88" s="947"/>
      <c r="PRM88" s="947"/>
      <c r="PRN88" s="947"/>
      <c r="PRO88" s="947"/>
      <c r="PRP88" s="947"/>
      <c r="PRQ88" s="947"/>
      <c r="PRR88" s="947"/>
      <c r="PRS88" s="947"/>
      <c r="PRT88" s="947"/>
      <c r="PRU88" s="947"/>
      <c r="PRV88" s="947"/>
      <c r="PRW88" s="947"/>
      <c r="PRX88" s="947"/>
      <c r="PRY88" s="947"/>
      <c r="PRZ88" s="947"/>
      <c r="PSA88" s="947"/>
      <c r="PSB88" s="947"/>
      <c r="PSC88" s="947"/>
      <c r="PSD88" s="947"/>
      <c r="PSE88" s="947"/>
      <c r="PSF88" s="947"/>
      <c r="PSG88" s="947"/>
      <c r="PSH88" s="947"/>
      <c r="PSI88" s="947"/>
      <c r="PSJ88" s="947"/>
      <c r="PSK88" s="947"/>
      <c r="PSL88" s="947"/>
      <c r="PSM88" s="947"/>
      <c r="PSN88" s="947"/>
      <c r="PSO88" s="947"/>
      <c r="PSP88" s="947"/>
      <c r="PSQ88" s="947"/>
      <c r="PSR88" s="947"/>
      <c r="PSS88" s="947"/>
      <c r="PST88" s="947"/>
      <c r="PSU88" s="947"/>
      <c r="PSV88" s="947"/>
      <c r="PSW88" s="947"/>
      <c r="PSX88" s="947"/>
      <c r="PSY88" s="947"/>
      <c r="PSZ88" s="947"/>
      <c r="PTA88" s="947"/>
      <c r="PTB88" s="947"/>
      <c r="PTC88" s="947"/>
      <c r="PTD88" s="947"/>
      <c r="PTE88" s="947"/>
      <c r="PTF88" s="947"/>
      <c r="PTG88" s="947"/>
      <c r="PTH88" s="947"/>
      <c r="PTI88" s="947"/>
      <c r="PTJ88" s="947"/>
      <c r="PTK88" s="947"/>
      <c r="PTL88" s="947"/>
      <c r="PTM88" s="947"/>
      <c r="PTN88" s="947"/>
      <c r="PTO88" s="947"/>
      <c r="PTP88" s="947"/>
      <c r="PTQ88" s="947"/>
      <c r="PTR88" s="947"/>
      <c r="PTS88" s="947"/>
      <c r="PTT88" s="947"/>
      <c r="PTU88" s="947"/>
      <c r="PTV88" s="947"/>
      <c r="PTW88" s="947"/>
      <c r="PTX88" s="947"/>
      <c r="PTY88" s="947"/>
      <c r="PTZ88" s="947"/>
      <c r="PUA88" s="947"/>
      <c r="PUB88" s="947"/>
      <c r="PUC88" s="947"/>
      <c r="PUD88" s="947"/>
      <c r="PUE88" s="947"/>
      <c r="PUF88" s="947"/>
      <c r="PUG88" s="947"/>
      <c r="PUH88" s="947"/>
      <c r="PUI88" s="947"/>
      <c r="PUJ88" s="947"/>
      <c r="PUK88" s="947"/>
      <c r="PUL88" s="947"/>
      <c r="PUM88" s="947"/>
      <c r="PUN88" s="947"/>
      <c r="PUO88" s="947"/>
      <c r="PUP88" s="947"/>
      <c r="PUQ88" s="947"/>
      <c r="PUR88" s="947"/>
      <c r="PUS88" s="947"/>
      <c r="PUT88" s="947"/>
      <c r="PUU88" s="947"/>
      <c r="PUV88" s="947"/>
      <c r="PUW88" s="947"/>
      <c r="PUX88" s="947"/>
      <c r="PUY88" s="947"/>
      <c r="PUZ88" s="947"/>
      <c r="PVA88" s="947"/>
      <c r="PVB88" s="947"/>
      <c r="PVC88" s="947"/>
      <c r="PVD88" s="947"/>
      <c r="PVE88" s="947"/>
      <c r="PVF88" s="947"/>
      <c r="PVG88" s="947"/>
      <c r="PVH88" s="947"/>
      <c r="PVI88" s="947"/>
      <c r="PVJ88" s="947"/>
      <c r="PVK88" s="947"/>
      <c r="PVL88" s="947"/>
      <c r="PVM88" s="947"/>
      <c r="PVN88" s="947"/>
      <c r="PVO88" s="947"/>
      <c r="PVP88" s="947"/>
      <c r="PVQ88" s="947"/>
      <c r="PVR88" s="947"/>
      <c r="PVS88" s="947"/>
      <c r="PVT88" s="947"/>
      <c r="PVU88" s="947"/>
      <c r="PVV88" s="947"/>
      <c r="PVW88" s="947"/>
      <c r="PVX88" s="947"/>
      <c r="PVY88" s="947"/>
      <c r="PVZ88" s="947"/>
      <c r="PWA88" s="947"/>
      <c r="PWB88" s="947"/>
      <c r="PWC88" s="947"/>
      <c r="PWD88" s="947"/>
      <c r="PWE88" s="947"/>
      <c r="PWF88" s="947"/>
      <c r="PWG88" s="947"/>
      <c r="PWH88" s="947"/>
      <c r="PWI88" s="947"/>
      <c r="PWJ88" s="947"/>
      <c r="PWK88" s="947"/>
      <c r="PWL88" s="947"/>
      <c r="PWM88" s="947"/>
      <c r="PWN88" s="947"/>
      <c r="PWO88" s="947"/>
      <c r="PWP88" s="947"/>
      <c r="PWQ88" s="947"/>
      <c r="PWR88" s="947"/>
      <c r="PWS88" s="947"/>
      <c r="PWT88" s="947"/>
      <c r="PWU88" s="947"/>
      <c r="PWV88" s="947"/>
      <c r="PWW88" s="947"/>
      <c r="PWX88" s="947"/>
      <c r="PWY88" s="947"/>
      <c r="PWZ88" s="947"/>
      <c r="PXA88" s="947"/>
      <c r="PXB88" s="947"/>
      <c r="PXC88" s="947"/>
      <c r="PXD88" s="947"/>
      <c r="PXE88" s="947"/>
      <c r="PXF88" s="947"/>
      <c r="PXG88" s="947"/>
      <c r="PXH88" s="947"/>
      <c r="PXI88" s="947"/>
      <c r="PXJ88" s="947"/>
      <c r="PXK88" s="947"/>
      <c r="PXL88" s="947"/>
      <c r="PXM88" s="947"/>
      <c r="PXN88" s="947"/>
      <c r="PXO88" s="947"/>
      <c r="PXP88" s="947"/>
      <c r="PXQ88" s="947"/>
      <c r="PXR88" s="947"/>
      <c r="PXS88" s="947"/>
      <c r="PXT88" s="947"/>
      <c r="PXU88" s="947"/>
      <c r="PXV88" s="947"/>
      <c r="PXW88" s="947"/>
      <c r="PXX88" s="947"/>
      <c r="PXY88" s="947"/>
      <c r="PXZ88" s="947"/>
      <c r="PYA88" s="947"/>
      <c r="PYB88" s="947"/>
      <c r="PYC88" s="947"/>
      <c r="PYD88" s="947"/>
      <c r="PYE88" s="947"/>
      <c r="PYF88" s="947"/>
      <c r="PYG88" s="947"/>
      <c r="PYH88" s="947"/>
      <c r="PYI88" s="947"/>
      <c r="PYJ88" s="947"/>
      <c r="PYK88" s="947"/>
      <c r="PYL88" s="947"/>
      <c r="PYM88" s="947"/>
      <c r="PYN88" s="947"/>
      <c r="PYO88" s="947"/>
      <c r="PYP88" s="947"/>
      <c r="PYQ88" s="947"/>
      <c r="PYR88" s="947"/>
      <c r="PYS88" s="947"/>
      <c r="PYT88" s="947"/>
      <c r="PYU88" s="947"/>
      <c r="PYV88" s="947"/>
      <c r="PYW88" s="947"/>
      <c r="PYX88" s="947"/>
      <c r="PYY88" s="947"/>
      <c r="PYZ88" s="947"/>
      <c r="PZA88" s="947"/>
      <c r="PZB88" s="947"/>
      <c r="PZC88" s="947"/>
      <c r="PZD88" s="947"/>
      <c r="PZE88" s="947"/>
      <c r="PZF88" s="947"/>
      <c r="PZG88" s="947"/>
      <c r="PZH88" s="947"/>
      <c r="PZI88" s="947"/>
      <c r="PZJ88" s="947"/>
      <c r="PZK88" s="947"/>
      <c r="PZL88" s="947"/>
      <c r="PZM88" s="947"/>
      <c r="PZN88" s="947"/>
      <c r="PZO88" s="947"/>
      <c r="PZP88" s="947"/>
      <c r="PZQ88" s="947"/>
      <c r="PZR88" s="947"/>
      <c r="PZS88" s="947"/>
      <c r="PZT88" s="947"/>
      <c r="PZU88" s="947"/>
      <c r="PZV88" s="947"/>
      <c r="PZW88" s="947"/>
      <c r="PZX88" s="947"/>
      <c r="PZY88" s="947"/>
      <c r="PZZ88" s="947"/>
      <c r="QAA88" s="947"/>
      <c r="QAB88" s="947"/>
      <c r="QAC88" s="947"/>
      <c r="QAD88" s="947"/>
      <c r="QAE88" s="947"/>
      <c r="QAF88" s="947"/>
      <c r="QAG88" s="947"/>
      <c r="QAH88" s="947"/>
      <c r="QAI88" s="947"/>
      <c r="QAJ88" s="947"/>
      <c r="QAK88" s="947"/>
      <c r="QAL88" s="947"/>
      <c r="QAM88" s="947"/>
      <c r="QAN88" s="947"/>
      <c r="QAO88" s="947"/>
      <c r="QAP88" s="947"/>
      <c r="QAQ88" s="947"/>
      <c r="QAR88" s="947"/>
      <c r="QAS88" s="947"/>
      <c r="QAT88" s="947"/>
      <c r="QAU88" s="947"/>
      <c r="QAV88" s="947"/>
      <c r="QAW88" s="947"/>
      <c r="QAX88" s="947"/>
      <c r="QAY88" s="947"/>
      <c r="QAZ88" s="947"/>
      <c r="QBA88" s="947"/>
      <c r="QBB88" s="947"/>
      <c r="QBC88" s="947"/>
      <c r="QBD88" s="947"/>
      <c r="QBE88" s="947"/>
      <c r="QBF88" s="947"/>
      <c r="QBG88" s="947"/>
      <c r="QBH88" s="947"/>
      <c r="QBI88" s="947"/>
      <c r="QBJ88" s="947"/>
      <c r="QBK88" s="947"/>
      <c r="QBL88" s="947"/>
      <c r="QBM88" s="947"/>
      <c r="QBN88" s="947"/>
      <c r="QBO88" s="947"/>
      <c r="QBP88" s="947"/>
      <c r="QBQ88" s="947"/>
      <c r="QBR88" s="947"/>
      <c r="QBS88" s="947"/>
      <c r="QBT88" s="947"/>
      <c r="QBU88" s="947"/>
      <c r="QBV88" s="947"/>
      <c r="QBW88" s="947"/>
      <c r="QBX88" s="947"/>
      <c r="QBY88" s="947"/>
      <c r="QBZ88" s="947"/>
      <c r="QCA88" s="947"/>
      <c r="QCB88" s="947"/>
      <c r="QCC88" s="947"/>
      <c r="QCD88" s="947"/>
      <c r="QCE88" s="947"/>
      <c r="QCF88" s="947"/>
      <c r="QCG88" s="947"/>
      <c r="QCH88" s="947"/>
      <c r="QCI88" s="947"/>
      <c r="QCJ88" s="947"/>
      <c r="QCK88" s="947"/>
      <c r="QCL88" s="947"/>
      <c r="QCM88" s="947"/>
      <c r="QCN88" s="947"/>
      <c r="QCO88" s="947"/>
      <c r="QCP88" s="947"/>
      <c r="QCQ88" s="947"/>
      <c r="QCR88" s="947"/>
      <c r="QCS88" s="947"/>
      <c r="QCT88" s="947"/>
      <c r="QCU88" s="947"/>
      <c r="QCV88" s="947"/>
      <c r="QCW88" s="947"/>
      <c r="QCX88" s="947"/>
      <c r="QCY88" s="947"/>
      <c r="QCZ88" s="947"/>
      <c r="QDA88" s="947"/>
      <c r="QDB88" s="947"/>
      <c r="QDC88" s="947"/>
      <c r="QDD88" s="947"/>
      <c r="QDE88" s="947"/>
      <c r="QDF88" s="947"/>
      <c r="QDG88" s="947"/>
      <c r="QDH88" s="947"/>
      <c r="QDI88" s="947"/>
      <c r="QDJ88" s="947"/>
      <c r="QDK88" s="947"/>
      <c r="QDL88" s="947"/>
      <c r="QDM88" s="947"/>
      <c r="QDN88" s="947"/>
      <c r="QDO88" s="947"/>
      <c r="QDP88" s="947"/>
      <c r="QDQ88" s="947"/>
      <c r="QDR88" s="947"/>
      <c r="QDS88" s="947"/>
      <c r="QDT88" s="947"/>
      <c r="QDU88" s="947"/>
      <c r="QDV88" s="947"/>
      <c r="QDW88" s="947"/>
      <c r="QDX88" s="947"/>
      <c r="QDY88" s="947"/>
      <c r="QDZ88" s="947"/>
      <c r="QEA88" s="947"/>
      <c r="QEB88" s="947"/>
      <c r="QEC88" s="947"/>
      <c r="QED88" s="947"/>
      <c r="QEE88" s="947"/>
      <c r="QEF88" s="947"/>
      <c r="QEG88" s="947"/>
      <c r="QEH88" s="947"/>
      <c r="QEI88" s="947"/>
      <c r="QEJ88" s="947"/>
      <c r="QEK88" s="947"/>
      <c r="QEL88" s="947"/>
      <c r="QEM88" s="947"/>
      <c r="QEN88" s="947"/>
      <c r="QEO88" s="947"/>
      <c r="QEP88" s="947"/>
      <c r="QEQ88" s="947"/>
      <c r="QER88" s="947"/>
      <c r="QES88" s="947"/>
      <c r="QET88" s="947"/>
      <c r="QEU88" s="947"/>
      <c r="QEV88" s="947"/>
      <c r="QEW88" s="947"/>
      <c r="QEX88" s="947"/>
      <c r="QEY88" s="947"/>
      <c r="QEZ88" s="947"/>
      <c r="QFA88" s="947"/>
      <c r="QFB88" s="947"/>
      <c r="QFC88" s="947"/>
      <c r="QFD88" s="947"/>
      <c r="QFE88" s="947"/>
      <c r="QFF88" s="947"/>
      <c r="QFG88" s="947"/>
      <c r="QFH88" s="947"/>
      <c r="QFI88" s="947"/>
      <c r="QFJ88" s="947"/>
      <c r="QFK88" s="947"/>
      <c r="QFL88" s="947"/>
      <c r="QFM88" s="947"/>
      <c r="QFN88" s="947"/>
      <c r="QFO88" s="947"/>
      <c r="QFP88" s="947"/>
      <c r="QFQ88" s="947"/>
      <c r="QFR88" s="947"/>
      <c r="QFS88" s="947"/>
      <c r="QFT88" s="947"/>
      <c r="QFU88" s="947"/>
      <c r="QFV88" s="947"/>
      <c r="QFW88" s="947"/>
      <c r="QFX88" s="947"/>
      <c r="QFY88" s="947"/>
      <c r="QFZ88" s="947"/>
      <c r="QGA88" s="947"/>
      <c r="QGB88" s="947"/>
      <c r="QGC88" s="947"/>
      <c r="QGD88" s="947"/>
      <c r="QGE88" s="947"/>
      <c r="QGF88" s="947"/>
      <c r="QGG88" s="947"/>
      <c r="QGH88" s="947"/>
      <c r="QGI88" s="947"/>
      <c r="QGJ88" s="947"/>
      <c r="QGK88" s="947"/>
      <c r="QGL88" s="947"/>
      <c r="QGM88" s="947"/>
      <c r="QGN88" s="947"/>
      <c r="QGO88" s="947"/>
      <c r="QGP88" s="947"/>
      <c r="QGQ88" s="947"/>
      <c r="QGR88" s="947"/>
      <c r="QGS88" s="947"/>
      <c r="QGT88" s="947"/>
      <c r="QGU88" s="947"/>
      <c r="QGV88" s="947"/>
      <c r="QGW88" s="947"/>
      <c r="QGX88" s="947"/>
      <c r="QGY88" s="947"/>
      <c r="QGZ88" s="947"/>
      <c r="QHA88" s="947"/>
      <c r="QHB88" s="947"/>
      <c r="QHC88" s="947"/>
      <c r="QHD88" s="947"/>
      <c r="QHE88" s="947"/>
      <c r="QHF88" s="947"/>
      <c r="QHG88" s="947"/>
      <c r="QHH88" s="947"/>
      <c r="QHI88" s="947"/>
      <c r="QHJ88" s="947"/>
      <c r="QHK88" s="947"/>
      <c r="QHL88" s="947"/>
      <c r="QHM88" s="947"/>
      <c r="QHN88" s="947"/>
      <c r="QHO88" s="947"/>
      <c r="QHP88" s="947"/>
      <c r="QHQ88" s="947"/>
      <c r="QHR88" s="947"/>
      <c r="QHS88" s="947"/>
      <c r="QHT88" s="947"/>
      <c r="QHU88" s="947"/>
      <c r="QHV88" s="947"/>
      <c r="QHW88" s="947"/>
      <c r="QHX88" s="947"/>
      <c r="QHY88" s="947"/>
      <c r="QHZ88" s="947"/>
      <c r="QIA88" s="947"/>
      <c r="QIB88" s="947"/>
      <c r="QIC88" s="947"/>
      <c r="QID88" s="947"/>
      <c r="QIE88" s="947"/>
      <c r="QIF88" s="947"/>
      <c r="QIG88" s="947"/>
      <c r="QIH88" s="947"/>
      <c r="QII88" s="947"/>
      <c r="QIJ88" s="947"/>
      <c r="QIK88" s="947"/>
      <c r="QIL88" s="947"/>
      <c r="QIM88" s="947"/>
      <c r="QIN88" s="947"/>
      <c r="QIO88" s="947"/>
      <c r="QIP88" s="947"/>
      <c r="QIQ88" s="947"/>
      <c r="QIR88" s="947"/>
      <c r="QIS88" s="947"/>
      <c r="QIT88" s="947"/>
      <c r="QIU88" s="947"/>
      <c r="QIV88" s="947"/>
      <c r="QIW88" s="947"/>
      <c r="QIX88" s="947"/>
      <c r="QIY88" s="947"/>
      <c r="QIZ88" s="947"/>
      <c r="QJA88" s="947"/>
      <c r="QJB88" s="947"/>
      <c r="QJC88" s="947"/>
      <c r="QJD88" s="947"/>
      <c r="QJE88" s="947"/>
      <c r="QJF88" s="947"/>
      <c r="QJG88" s="947"/>
      <c r="QJH88" s="947"/>
      <c r="QJI88" s="947"/>
      <c r="QJJ88" s="947"/>
      <c r="QJK88" s="947"/>
      <c r="QJL88" s="947"/>
      <c r="QJM88" s="947"/>
      <c r="QJN88" s="947"/>
      <c r="QJO88" s="947"/>
      <c r="QJP88" s="947"/>
      <c r="QJQ88" s="947"/>
      <c r="QJR88" s="947"/>
      <c r="QJS88" s="947"/>
      <c r="QJT88" s="947"/>
      <c r="QJU88" s="947"/>
      <c r="QJV88" s="947"/>
      <c r="QJW88" s="947"/>
      <c r="QJX88" s="947"/>
      <c r="QJY88" s="947"/>
      <c r="QJZ88" s="947"/>
      <c r="QKA88" s="947"/>
      <c r="QKB88" s="947"/>
      <c r="QKC88" s="947"/>
      <c r="QKD88" s="947"/>
      <c r="QKE88" s="947"/>
      <c r="QKF88" s="947"/>
      <c r="QKG88" s="947"/>
      <c r="QKH88" s="947"/>
      <c r="QKI88" s="947"/>
      <c r="QKJ88" s="947"/>
      <c r="QKK88" s="947"/>
      <c r="QKL88" s="947"/>
      <c r="QKM88" s="947"/>
      <c r="QKN88" s="947"/>
      <c r="QKO88" s="947"/>
      <c r="QKP88" s="947"/>
      <c r="QKQ88" s="947"/>
      <c r="QKR88" s="947"/>
      <c r="QKS88" s="947"/>
      <c r="QKT88" s="947"/>
      <c r="QKU88" s="947"/>
      <c r="QKV88" s="947"/>
      <c r="QKW88" s="947"/>
      <c r="QKX88" s="947"/>
      <c r="QKY88" s="947"/>
      <c r="QKZ88" s="947"/>
      <c r="QLA88" s="947"/>
      <c r="QLB88" s="947"/>
      <c r="QLC88" s="947"/>
      <c r="QLD88" s="947"/>
      <c r="QLE88" s="947"/>
      <c r="QLF88" s="947"/>
      <c r="QLG88" s="947"/>
      <c r="QLH88" s="947"/>
      <c r="QLI88" s="947"/>
      <c r="QLJ88" s="947"/>
      <c r="QLK88" s="947"/>
      <c r="QLL88" s="947"/>
      <c r="QLM88" s="947"/>
      <c r="QLN88" s="947"/>
      <c r="QLO88" s="947"/>
      <c r="QLP88" s="947"/>
      <c r="QLQ88" s="947"/>
      <c r="QLR88" s="947"/>
      <c r="QLS88" s="947"/>
      <c r="QLT88" s="947"/>
      <c r="QLU88" s="947"/>
      <c r="QLV88" s="947"/>
      <c r="QLW88" s="947"/>
      <c r="QLX88" s="947"/>
      <c r="QLY88" s="947"/>
      <c r="QLZ88" s="947"/>
      <c r="QMA88" s="947"/>
      <c r="QMB88" s="947"/>
      <c r="QMC88" s="947"/>
      <c r="QMD88" s="947"/>
      <c r="QME88" s="947"/>
      <c r="QMF88" s="947"/>
      <c r="QMG88" s="947"/>
      <c r="QMH88" s="947"/>
      <c r="QMI88" s="947"/>
      <c r="QMJ88" s="947"/>
      <c r="QMK88" s="947"/>
      <c r="QML88" s="947"/>
      <c r="QMM88" s="947"/>
      <c r="QMN88" s="947"/>
      <c r="QMO88" s="947"/>
      <c r="QMP88" s="947"/>
      <c r="QMQ88" s="947"/>
      <c r="QMR88" s="947"/>
      <c r="QMS88" s="947"/>
      <c r="QMT88" s="947"/>
      <c r="QMU88" s="947"/>
      <c r="QMV88" s="947"/>
      <c r="QMW88" s="947"/>
      <c r="QMX88" s="947"/>
      <c r="QMY88" s="947"/>
      <c r="QMZ88" s="947"/>
      <c r="QNA88" s="947"/>
      <c r="QNB88" s="947"/>
      <c r="QNC88" s="947"/>
      <c r="QND88" s="947"/>
      <c r="QNE88" s="947"/>
      <c r="QNF88" s="947"/>
      <c r="QNG88" s="947"/>
      <c r="QNH88" s="947"/>
      <c r="QNI88" s="947"/>
      <c r="QNJ88" s="947"/>
      <c r="QNK88" s="947"/>
      <c r="QNL88" s="947"/>
      <c r="QNM88" s="947"/>
      <c r="QNN88" s="947"/>
      <c r="QNO88" s="947"/>
      <c r="QNP88" s="947"/>
      <c r="QNQ88" s="947"/>
      <c r="QNR88" s="947"/>
      <c r="QNS88" s="947"/>
      <c r="QNT88" s="947"/>
      <c r="QNU88" s="947"/>
      <c r="QNV88" s="947"/>
      <c r="QNW88" s="947"/>
      <c r="QNX88" s="947"/>
      <c r="QNY88" s="947"/>
      <c r="QNZ88" s="947"/>
      <c r="QOA88" s="947"/>
      <c r="QOB88" s="947"/>
      <c r="QOC88" s="947"/>
      <c r="QOD88" s="947"/>
      <c r="QOE88" s="947"/>
      <c r="QOF88" s="947"/>
      <c r="QOG88" s="947"/>
      <c r="QOH88" s="947"/>
      <c r="QOI88" s="947"/>
      <c r="QOJ88" s="947"/>
      <c r="QOK88" s="947"/>
      <c r="QOL88" s="947"/>
      <c r="QOM88" s="947"/>
      <c r="QON88" s="947"/>
      <c r="QOO88" s="947"/>
      <c r="QOP88" s="947"/>
      <c r="QOQ88" s="947"/>
      <c r="QOR88" s="947"/>
      <c r="QOS88" s="947"/>
      <c r="QOT88" s="947"/>
      <c r="QOU88" s="947"/>
      <c r="QOV88" s="947"/>
      <c r="QOW88" s="947"/>
      <c r="QOX88" s="947"/>
      <c r="QOY88" s="947"/>
      <c r="QOZ88" s="947"/>
      <c r="QPA88" s="947"/>
      <c r="QPB88" s="947"/>
      <c r="QPC88" s="947"/>
      <c r="QPD88" s="947"/>
      <c r="QPE88" s="947"/>
      <c r="QPF88" s="947"/>
      <c r="QPG88" s="947"/>
      <c r="QPH88" s="947"/>
      <c r="QPI88" s="947"/>
      <c r="QPJ88" s="947"/>
      <c r="QPK88" s="947"/>
      <c r="QPL88" s="947"/>
      <c r="QPM88" s="947"/>
      <c r="QPN88" s="947"/>
      <c r="QPO88" s="947"/>
      <c r="QPP88" s="947"/>
      <c r="QPQ88" s="947"/>
      <c r="QPR88" s="947"/>
      <c r="QPS88" s="947"/>
      <c r="QPT88" s="947"/>
      <c r="QPU88" s="947"/>
      <c r="QPV88" s="947"/>
      <c r="QPW88" s="947"/>
      <c r="QPX88" s="947"/>
      <c r="QPY88" s="947"/>
      <c r="QPZ88" s="947"/>
      <c r="QQA88" s="947"/>
      <c r="QQB88" s="947"/>
      <c r="QQC88" s="947"/>
      <c r="QQD88" s="947"/>
      <c r="QQE88" s="947"/>
      <c r="QQF88" s="947"/>
      <c r="QQG88" s="947"/>
      <c r="QQH88" s="947"/>
      <c r="QQI88" s="947"/>
      <c r="QQJ88" s="947"/>
      <c r="QQK88" s="947"/>
      <c r="QQL88" s="947"/>
      <c r="QQM88" s="947"/>
      <c r="QQN88" s="947"/>
      <c r="QQO88" s="947"/>
      <c r="QQP88" s="947"/>
      <c r="QQQ88" s="947"/>
      <c r="QQR88" s="947"/>
      <c r="QQS88" s="947"/>
      <c r="QQT88" s="947"/>
      <c r="QQU88" s="947"/>
      <c r="QQV88" s="947"/>
      <c r="QQW88" s="947"/>
      <c r="QQX88" s="947"/>
      <c r="QQY88" s="947"/>
      <c r="QQZ88" s="947"/>
      <c r="QRA88" s="947"/>
      <c r="QRB88" s="947"/>
      <c r="QRC88" s="947"/>
      <c r="QRD88" s="947"/>
      <c r="QRE88" s="947"/>
      <c r="QRF88" s="947"/>
      <c r="QRG88" s="947"/>
      <c r="QRH88" s="947"/>
      <c r="QRI88" s="947"/>
      <c r="QRJ88" s="947"/>
      <c r="QRK88" s="947"/>
      <c r="QRL88" s="947"/>
      <c r="QRM88" s="947"/>
      <c r="QRN88" s="947"/>
      <c r="QRO88" s="947"/>
      <c r="QRP88" s="947"/>
      <c r="QRQ88" s="947"/>
      <c r="QRR88" s="947"/>
      <c r="QRS88" s="947"/>
      <c r="QRT88" s="947"/>
      <c r="QRU88" s="947"/>
      <c r="QRV88" s="947"/>
      <c r="QRW88" s="947"/>
      <c r="QRX88" s="947"/>
      <c r="QRY88" s="947"/>
      <c r="QRZ88" s="947"/>
      <c r="QSA88" s="947"/>
      <c r="QSB88" s="947"/>
      <c r="QSC88" s="947"/>
      <c r="QSD88" s="947"/>
      <c r="QSE88" s="947"/>
      <c r="QSF88" s="947"/>
      <c r="QSG88" s="947"/>
      <c r="QSH88" s="947"/>
      <c r="QSI88" s="947"/>
      <c r="QSJ88" s="947"/>
      <c r="QSK88" s="947"/>
      <c r="QSL88" s="947"/>
      <c r="QSM88" s="947"/>
      <c r="QSN88" s="947"/>
      <c r="QSO88" s="947"/>
      <c r="QSP88" s="947"/>
      <c r="QSQ88" s="947"/>
      <c r="QSR88" s="947"/>
      <c r="QSS88" s="947"/>
      <c r="QST88" s="947"/>
      <c r="QSU88" s="947"/>
      <c r="QSV88" s="947"/>
      <c r="QSW88" s="947"/>
      <c r="QSX88" s="947"/>
      <c r="QSY88" s="947"/>
      <c r="QSZ88" s="947"/>
      <c r="QTA88" s="947"/>
      <c r="QTB88" s="947"/>
      <c r="QTC88" s="947"/>
      <c r="QTD88" s="947"/>
      <c r="QTE88" s="947"/>
      <c r="QTF88" s="947"/>
      <c r="QTG88" s="947"/>
      <c r="QTH88" s="947"/>
      <c r="QTI88" s="947"/>
      <c r="QTJ88" s="947"/>
      <c r="QTK88" s="947"/>
      <c r="QTL88" s="947"/>
      <c r="QTM88" s="947"/>
      <c r="QTN88" s="947"/>
      <c r="QTO88" s="947"/>
      <c r="QTP88" s="947"/>
      <c r="QTQ88" s="947"/>
      <c r="QTR88" s="947"/>
      <c r="QTS88" s="947"/>
      <c r="QTT88" s="947"/>
      <c r="QTU88" s="947"/>
      <c r="QTV88" s="947"/>
      <c r="QTW88" s="947"/>
      <c r="QTX88" s="947"/>
      <c r="QTY88" s="947"/>
      <c r="QTZ88" s="947"/>
      <c r="QUA88" s="947"/>
      <c r="QUB88" s="947"/>
      <c r="QUC88" s="947"/>
      <c r="QUD88" s="947"/>
      <c r="QUE88" s="947"/>
      <c r="QUF88" s="947"/>
      <c r="QUG88" s="947"/>
      <c r="QUH88" s="947"/>
      <c r="QUI88" s="947"/>
      <c r="QUJ88" s="947"/>
      <c r="QUK88" s="947"/>
      <c r="QUL88" s="947"/>
      <c r="QUM88" s="947"/>
      <c r="QUN88" s="947"/>
      <c r="QUO88" s="947"/>
      <c r="QUP88" s="947"/>
      <c r="QUQ88" s="947"/>
      <c r="QUR88" s="947"/>
      <c r="QUS88" s="947"/>
      <c r="QUT88" s="947"/>
      <c r="QUU88" s="947"/>
      <c r="QUV88" s="947"/>
      <c r="QUW88" s="947"/>
      <c r="QUX88" s="947"/>
      <c r="QUY88" s="947"/>
      <c r="QUZ88" s="947"/>
      <c r="QVA88" s="947"/>
      <c r="QVB88" s="947"/>
      <c r="QVC88" s="947"/>
      <c r="QVD88" s="947"/>
      <c r="QVE88" s="947"/>
      <c r="QVF88" s="947"/>
      <c r="QVG88" s="947"/>
      <c r="QVH88" s="947"/>
      <c r="QVI88" s="947"/>
      <c r="QVJ88" s="947"/>
      <c r="QVK88" s="947"/>
      <c r="QVL88" s="947"/>
      <c r="QVM88" s="947"/>
      <c r="QVN88" s="947"/>
      <c r="QVO88" s="947"/>
      <c r="QVP88" s="947"/>
      <c r="QVQ88" s="947"/>
      <c r="QVR88" s="947"/>
      <c r="QVS88" s="947"/>
      <c r="QVT88" s="947"/>
      <c r="QVU88" s="947"/>
      <c r="QVV88" s="947"/>
      <c r="QVW88" s="947"/>
      <c r="QVX88" s="947"/>
      <c r="QVY88" s="947"/>
      <c r="QVZ88" s="947"/>
      <c r="QWA88" s="947"/>
      <c r="QWB88" s="947"/>
      <c r="QWC88" s="947"/>
      <c r="QWD88" s="947"/>
      <c r="QWE88" s="947"/>
      <c r="QWF88" s="947"/>
      <c r="QWG88" s="947"/>
      <c r="QWH88" s="947"/>
      <c r="QWI88" s="947"/>
      <c r="QWJ88" s="947"/>
      <c r="QWK88" s="947"/>
      <c r="QWL88" s="947"/>
      <c r="QWM88" s="947"/>
      <c r="QWN88" s="947"/>
      <c r="QWO88" s="947"/>
      <c r="QWP88" s="947"/>
      <c r="QWQ88" s="947"/>
      <c r="QWR88" s="947"/>
      <c r="QWS88" s="947"/>
      <c r="QWT88" s="947"/>
      <c r="QWU88" s="947"/>
      <c r="QWV88" s="947"/>
      <c r="QWW88" s="947"/>
      <c r="QWX88" s="947"/>
      <c r="QWY88" s="947"/>
      <c r="QWZ88" s="947"/>
      <c r="QXA88" s="947"/>
      <c r="QXB88" s="947"/>
      <c r="QXC88" s="947"/>
      <c r="QXD88" s="947"/>
      <c r="QXE88" s="947"/>
      <c r="QXF88" s="947"/>
      <c r="QXG88" s="947"/>
      <c r="QXH88" s="947"/>
      <c r="QXI88" s="947"/>
      <c r="QXJ88" s="947"/>
      <c r="QXK88" s="947"/>
      <c r="QXL88" s="947"/>
      <c r="QXM88" s="947"/>
      <c r="QXN88" s="947"/>
      <c r="QXO88" s="947"/>
      <c r="QXP88" s="947"/>
      <c r="QXQ88" s="947"/>
      <c r="QXR88" s="947"/>
      <c r="QXS88" s="947"/>
      <c r="QXT88" s="947"/>
      <c r="QXU88" s="947"/>
      <c r="QXV88" s="947"/>
      <c r="QXW88" s="947"/>
      <c r="QXX88" s="947"/>
      <c r="QXY88" s="947"/>
      <c r="QXZ88" s="947"/>
      <c r="QYA88" s="947"/>
      <c r="QYB88" s="947"/>
      <c r="QYC88" s="947"/>
      <c r="QYD88" s="947"/>
      <c r="QYE88" s="947"/>
      <c r="QYF88" s="947"/>
      <c r="QYG88" s="947"/>
      <c r="QYH88" s="947"/>
      <c r="QYI88" s="947"/>
      <c r="QYJ88" s="947"/>
      <c r="QYK88" s="947"/>
      <c r="QYL88" s="947"/>
      <c r="QYM88" s="947"/>
      <c r="QYN88" s="947"/>
      <c r="QYO88" s="947"/>
      <c r="QYP88" s="947"/>
      <c r="QYQ88" s="947"/>
      <c r="QYR88" s="947"/>
      <c r="QYS88" s="947"/>
      <c r="QYT88" s="947"/>
      <c r="QYU88" s="947"/>
      <c r="QYV88" s="947"/>
      <c r="QYW88" s="947"/>
      <c r="QYX88" s="947"/>
      <c r="QYY88" s="947"/>
      <c r="QYZ88" s="947"/>
      <c r="QZA88" s="947"/>
      <c r="QZB88" s="947"/>
      <c r="QZC88" s="947"/>
      <c r="QZD88" s="947"/>
      <c r="QZE88" s="947"/>
      <c r="QZF88" s="947"/>
      <c r="QZG88" s="947"/>
      <c r="QZH88" s="947"/>
      <c r="QZI88" s="947"/>
      <c r="QZJ88" s="947"/>
      <c r="QZK88" s="947"/>
      <c r="QZL88" s="947"/>
      <c r="QZM88" s="947"/>
      <c r="QZN88" s="947"/>
      <c r="QZO88" s="947"/>
      <c r="QZP88" s="947"/>
      <c r="QZQ88" s="947"/>
      <c r="QZR88" s="947"/>
      <c r="QZS88" s="947"/>
      <c r="QZT88" s="947"/>
      <c r="QZU88" s="947"/>
      <c r="QZV88" s="947"/>
      <c r="QZW88" s="947"/>
      <c r="QZX88" s="947"/>
      <c r="QZY88" s="947"/>
      <c r="QZZ88" s="947"/>
      <c r="RAA88" s="947"/>
      <c r="RAB88" s="947"/>
      <c r="RAC88" s="947"/>
      <c r="RAD88" s="947"/>
      <c r="RAE88" s="947"/>
      <c r="RAF88" s="947"/>
      <c r="RAG88" s="947"/>
      <c r="RAH88" s="947"/>
      <c r="RAI88" s="947"/>
      <c r="RAJ88" s="947"/>
      <c r="RAK88" s="947"/>
      <c r="RAL88" s="947"/>
      <c r="RAM88" s="947"/>
      <c r="RAN88" s="947"/>
      <c r="RAO88" s="947"/>
      <c r="RAP88" s="947"/>
      <c r="RAQ88" s="947"/>
      <c r="RAR88" s="947"/>
      <c r="RAS88" s="947"/>
      <c r="RAT88" s="947"/>
      <c r="RAU88" s="947"/>
      <c r="RAV88" s="947"/>
      <c r="RAW88" s="947"/>
      <c r="RAX88" s="947"/>
      <c r="RAY88" s="947"/>
      <c r="RAZ88" s="947"/>
      <c r="RBA88" s="947"/>
      <c r="RBB88" s="947"/>
      <c r="RBC88" s="947"/>
      <c r="RBD88" s="947"/>
      <c r="RBE88" s="947"/>
      <c r="RBF88" s="947"/>
      <c r="RBG88" s="947"/>
      <c r="RBH88" s="947"/>
      <c r="RBI88" s="947"/>
      <c r="RBJ88" s="947"/>
      <c r="RBK88" s="947"/>
      <c r="RBL88" s="947"/>
      <c r="RBM88" s="947"/>
      <c r="RBN88" s="947"/>
      <c r="RBO88" s="947"/>
      <c r="RBP88" s="947"/>
      <c r="RBQ88" s="947"/>
      <c r="RBR88" s="947"/>
      <c r="RBS88" s="947"/>
      <c r="RBT88" s="947"/>
      <c r="RBU88" s="947"/>
      <c r="RBV88" s="947"/>
      <c r="RBW88" s="947"/>
      <c r="RBX88" s="947"/>
      <c r="RBY88" s="947"/>
      <c r="RBZ88" s="947"/>
      <c r="RCA88" s="947"/>
      <c r="RCB88" s="947"/>
      <c r="RCC88" s="947"/>
      <c r="RCD88" s="947"/>
      <c r="RCE88" s="947"/>
      <c r="RCF88" s="947"/>
      <c r="RCG88" s="947"/>
      <c r="RCH88" s="947"/>
      <c r="RCI88" s="947"/>
      <c r="RCJ88" s="947"/>
      <c r="RCK88" s="947"/>
      <c r="RCL88" s="947"/>
      <c r="RCM88" s="947"/>
      <c r="RCN88" s="947"/>
      <c r="RCO88" s="947"/>
      <c r="RCP88" s="947"/>
      <c r="RCQ88" s="947"/>
      <c r="RCR88" s="947"/>
      <c r="RCS88" s="947"/>
      <c r="RCT88" s="947"/>
      <c r="RCU88" s="947"/>
      <c r="RCV88" s="947"/>
      <c r="RCW88" s="947"/>
      <c r="RCX88" s="947"/>
      <c r="RCY88" s="947"/>
      <c r="RCZ88" s="947"/>
      <c r="RDA88" s="947"/>
      <c r="RDB88" s="947"/>
      <c r="RDC88" s="947"/>
      <c r="RDD88" s="947"/>
      <c r="RDE88" s="947"/>
      <c r="RDF88" s="947"/>
      <c r="RDG88" s="947"/>
      <c r="RDH88" s="947"/>
      <c r="RDI88" s="947"/>
      <c r="RDJ88" s="947"/>
      <c r="RDK88" s="947"/>
      <c r="RDL88" s="947"/>
      <c r="RDM88" s="947"/>
      <c r="RDN88" s="947"/>
      <c r="RDO88" s="947"/>
      <c r="RDP88" s="947"/>
      <c r="RDQ88" s="947"/>
      <c r="RDR88" s="947"/>
      <c r="RDS88" s="947"/>
      <c r="RDT88" s="947"/>
      <c r="RDU88" s="947"/>
      <c r="RDV88" s="947"/>
      <c r="RDW88" s="947"/>
      <c r="RDX88" s="947"/>
      <c r="RDY88" s="947"/>
      <c r="RDZ88" s="947"/>
      <c r="REA88" s="947"/>
      <c r="REB88" s="947"/>
      <c r="REC88" s="947"/>
      <c r="RED88" s="947"/>
      <c r="REE88" s="947"/>
      <c r="REF88" s="947"/>
      <c r="REG88" s="947"/>
      <c r="REH88" s="947"/>
      <c r="REI88" s="947"/>
      <c r="REJ88" s="947"/>
      <c r="REK88" s="947"/>
      <c r="REL88" s="947"/>
      <c r="REM88" s="947"/>
      <c r="REN88" s="947"/>
      <c r="REO88" s="947"/>
      <c r="REP88" s="947"/>
      <c r="REQ88" s="947"/>
      <c r="RER88" s="947"/>
      <c r="RES88" s="947"/>
      <c r="RET88" s="947"/>
      <c r="REU88" s="947"/>
      <c r="REV88" s="947"/>
      <c r="REW88" s="947"/>
      <c r="REX88" s="947"/>
      <c r="REY88" s="947"/>
      <c r="REZ88" s="947"/>
      <c r="RFA88" s="947"/>
      <c r="RFB88" s="947"/>
      <c r="RFC88" s="947"/>
      <c r="RFD88" s="947"/>
      <c r="RFE88" s="947"/>
      <c r="RFF88" s="947"/>
      <c r="RFG88" s="947"/>
      <c r="RFH88" s="947"/>
      <c r="RFI88" s="947"/>
      <c r="RFJ88" s="947"/>
      <c r="RFK88" s="947"/>
      <c r="RFL88" s="947"/>
      <c r="RFM88" s="947"/>
      <c r="RFN88" s="947"/>
      <c r="RFO88" s="947"/>
      <c r="RFP88" s="947"/>
      <c r="RFQ88" s="947"/>
      <c r="RFR88" s="947"/>
      <c r="RFS88" s="947"/>
      <c r="RFT88" s="947"/>
      <c r="RFU88" s="947"/>
      <c r="RFV88" s="947"/>
      <c r="RFW88" s="947"/>
      <c r="RFX88" s="947"/>
      <c r="RFY88" s="947"/>
      <c r="RFZ88" s="947"/>
      <c r="RGA88" s="947"/>
      <c r="RGB88" s="947"/>
      <c r="RGC88" s="947"/>
      <c r="RGD88" s="947"/>
      <c r="RGE88" s="947"/>
      <c r="RGF88" s="947"/>
      <c r="RGG88" s="947"/>
      <c r="RGH88" s="947"/>
      <c r="RGI88" s="947"/>
      <c r="RGJ88" s="947"/>
      <c r="RGK88" s="947"/>
      <c r="RGL88" s="947"/>
      <c r="RGM88" s="947"/>
      <c r="RGN88" s="947"/>
      <c r="RGO88" s="947"/>
      <c r="RGP88" s="947"/>
      <c r="RGQ88" s="947"/>
      <c r="RGR88" s="947"/>
      <c r="RGS88" s="947"/>
      <c r="RGT88" s="947"/>
      <c r="RGU88" s="947"/>
      <c r="RGV88" s="947"/>
      <c r="RGW88" s="947"/>
      <c r="RGX88" s="947"/>
      <c r="RGY88" s="947"/>
      <c r="RGZ88" s="947"/>
      <c r="RHA88" s="947"/>
      <c r="RHB88" s="947"/>
      <c r="RHC88" s="947"/>
      <c r="RHD88" s="947"/>
      <c r="RHE88" s="947"/>
      <c r="RHF88" s="947"/>
      <c r="RHG88" s="947"/>
      <c r="RHH88" s="947"/>
      <c r="RHI88" s="947"/>
      <c r="RHJ88" s="947"/>
      <c r="RHK88" s="947"/>
      <c r="RHL88" s="947"/>
      <c r="RHM88" s="947"/>
      <c r="RHN88" s="947"/>
      <c r="RHO88" s="947"/>
      <c r="RHP88" s="947"/>
      <c r="RHQ88" s="947"/>
      <c r="RHR88" s="947"/>
      <c r="RHS88" s="947"/>
      <c r="RHT88" s="947"/>
      <c r="RHU88" s="947"/>
      <c r="RHV88" s="947"/>
      <c r="RHW88" s="947"/>
      <c r="RHX88" s="947"/>
      <c r="RHY88" s="947"/>
      <c r="RHZ88" s="947"/>
      <c r="RIA88" s="947"/>
      <c r="RIB88" s="947"/>
      <c r="RIC88" s="947"/>
      <c r="RID88" s="947"/>
      <c r="RIE88" s="947"/>
      <c r="RIF88" s="947"/>
      <c r="RIG88" s="947"/>
      <c r="RIH88" s="947"/>
      <c r="RII88" s="947"/>
      <c r="RIJ88" s="947"/>
      <c r="RIK88" s="947"/>
      <c r="RIL88" s="947"/>
      <c r="RIM88" s="947"/>
      <c r="RIN88" s="947"/>
      <c r="RIO88" s="947"/>
      <c r="RIP88" s="947"/>
      <c r="RIQ88" s="947"/>
      <c r="RIR88" s="947"/>
      <c r="RIS88" s="947"/>
      <c r="RIT88" s="947"/>
      <c r="RIU88" s="947"/>
      <c r="RIV88" s="947"/>
      <c r="RIW88" s="947"/>
      <c r="RIX88" s="947"/>
      <c r="RIY88" s="947"/>
      <c r="RIZ88" s="947"/>
      <c r="RJA88" s="947"/>
      <c r="RJB88" s="947"/>
      <c r="RJC88" s="947"/>
      <c r="RJD88" s="947"/>
      <c r="RJE88" s="947"/>
      <c r="RJF88" s="947"/>
      <c r="RJG88" s="947"/>
      <c r="RJH88" s="947"/>
      <c r="RJI88" s="947"/>
      <c r="RJJ88" s="947"/>
      <c r="RJK88" s="947"/>
      <c r="RJL88" s="947"/>
      <c r="RJM88" s="947"/>
      <c r="RJN88" s="947"/>
      <c r="RJO88" s="947"/>
      <c r="RJP88" s="947"/>
      <c r="RJQ88" s="947"/>
      <c r="RJR88" s="947"/>
      <c r="RJS88" s="947"/>
      <c r="RJT88" s="947"/>
      <c r="RJU88" s="947"/>
      <c r="RJV88" s="947"/>
      <c r="RJW88" s="947"/>
      <c r="RJX88" s="947"/>
      <c r="RJY88" s="947"/>
      <c r="RJZ88" s="947"/>
      <c r="RKA88" s="947"/>
      <c r="RKB88" s="947"/>
      <c r="RKC88" s="947"/>
      <c r="RKD88" s="947"/>
      <c r="RKE88" s="947"/>
      <c r="RKF88" s="947"/>
      <c r="RKG88" s="947"/>
      <c r="RKH88" s="947"/>
      <c r="RKI88" s="947"/>
      <c r="RKJ88" s="947"/>
      <c r="RKK88" s="947"/>
      <c r="RKL88" s="947"/>
      <c r="RKM88" s="947"/>
      <c r="RKN88" s="947"/>
      <c r="RKO88" s="947"/>
      <c r="RKP88" s="947"/>
      <c r="RKQ88" s="947"/>
      <c r="RKR88" s="947"/>
      <c r="RKS88" s="947"/>
      <c r="RKT88" s="947"/>
      <c r="RKU88" s="947"/>
      <c r="RKV88" s="947"/>
      <c r="RKW88" s="947"/>
      <c r="RKX88" s="947"/>
      <c r="RKY88" s="947"/>
      <c r="RKZ88" s="947"/>
      <c r="RLA88" s="947"/>
      <c r="RLB88" s="947"/>
      <c r="RLC88" s="947"/>
      <c r="RLD88" s="947"/>
      <c r="RLE88" s="947"/>
      <c r="RLF88" s="947"/>
      <c r="RLG88" s="947"/>
      <c r="RLH88" s="947"/>
      <c r="RLI88" s="947"/>
      <c r="RLJ88" s="947"/>
      <c r="RLK88" s="947"/>
      <c r="RLL88" s="947"/>
      <c r="RLM88" s="947"/>
      <c r="RLN88" s="947"/>
      <c r="RLO88" s="947"/>
      <c r="RLP88" s="947"/>
      <c r="RLQ88" s="947"/>
      <c r="RLR88" s="947"/>
      <c r="RLS88" s="947"/>
      <c r="RLT88" s="947"/>
      <c r="RLU88" s="947"/>
      <c r="RLV88" s="947"/>
      <c r="RLW88" s="947"/>
      <c r="RLX88" s="947"/>
      <c r="RLY88" s="947"/>
      <c r="RLZ88" s="947"/>
      <c r="RMA88" s="947"/>
      <c r="RMB88" s="947"/>
      <c r="RMC88" s="947"/>
      <c r="RMD88" s="947"/>
      <c r="RME88" s="947"/>
      <c r="RMF88" s="947"/>
      <c r="RMG88" s="947"/>
      <c r="RMH88" s="947"/>
      <c r="RMI88" s="947"/>
      <c r="RMJ88" s="947"/>
      <c r="RMK88" s="947"/>
      <c r="RML88" s="947"/>
      <c r="RMM88" s="947"/>
      <c r="RMN88" s="947"/>
      <c r="RMO88" s="947"/>
      <c r="RMP88" s="947"/>
      <c r="RMQ88" s="947"/>
      <c r="RMR88" s="947"/>
      <c r="RMS88" s="947"/>
      <c r="RMT88" s="947"/>
      <c r="RMU88" s="947"/>
      <c r="RMV88" s="947"/>
      <c r="RMW88" s="947"/>
      <c r="RMX88" s="947"/>
      <c r="RMY88" s="947"/>
      <c r="RMZ88" s="947"/>
      <c r="RNA88" s="947"/>
      <c r="RNB88" s="947"/>
      <c r="RNC88" s="947"/>
      <c r="RND88" s="947"/>
      <c r="RNE88" s="947"/>
      <c r="RNF88" s="947"/>
      <c r="RNG88" s="947"/>
      <c r="RNH88" s="947"/>
      <c r="RNI88" s="947"/>
      <c r="RNJ88" s="947"/>
      <c r="RNK88" s="947"/>
      <c r="RNL88" s="947"/>
      <c r="RNM88" s="947"/>
      <c r="RNN88" s="947"/>
      <c r="RNO88" s="947"/>
      <c r="RNP88" s="947"/>
      <c r="RNQ88" s="947"/>
      <c r="RNR88" s="947"/>
      <c r="RNS88" s="947"/>
      <c r="RNT88" s="947"/>
      <c r="RNU88" s="947"/>
      <c r="RNV88" s="947"/>
      <c r="RNW88" s="947"/>
      <c r="RNX88" s="947"/>
      <c r="RNY88" s="947"/>
      <c r="RNZ88" s="947"/>
      <c r="ROA88" s="947"/>
      <c r="ROB88" s="947"/>
      <c r="ROC88" s="947"/>
      <c r="ROD88" s="947"/>
      <c r="ROE88" s="947"/>
      <c r="ROF88" s="947"/>
      <c r="ROG88" s="947"/>
      <c r="ROH88" s="947"/>
      <c r="ROI88" s="947"/>
      <c r="ROJ88" s="947"/>
      <c r="ROK88" s="947"/>
      <c r="ROL88" s="947"/>
      <c r="ROM88" s="947"/>
      <c r="RON88" s="947"/>
      <c r="ROO88" s="947"/>
      <c r="ROP88" s="947"/>
      <c r="ROQ88" s="947"/>
      <c r="ROR88" s="947"/>
      <c r="ROS88" s="947"/>
      <c r="ROT88" s="947"/>
      <c r="ROU88" s="947"/>
      <c r="ROV88" s="947"/>
      <c r="ROW88" s="947"/>
      <c r="ROX88" s="947"/>
      <c r="ROY88" s="947"/>
      <c r="ROZ88" s="947"/>
      <c r="RPA88" s="947"/>
      <c r="RPB88" s="947"/>
      <c r="RPC88" s="947"/>
      <c r="RPD88" s="947"/>
      <c r="RPE88" s="947"/>
      <c r="RPF88" s="947"/>
      <c r="RPG88" s="947"/>
      <c r="RPH88" s="947"/>
      <c r="RPI88" s="947"/>
      <c r="RPJ88" s="947"/>
      <c r="RPK88" s="947"/>
      <c r="RPL88" s="947"/>
      <c r="RPM88" s="947"/>
      <c r="RPN88" s="947"/>
      <c r="RPO88" s="947"/>
      <c r="RPP88" s="947"/>
      <c r="RPQ88" s="947"/>
      <c r="RPR88" s="947"/>
      <c r="RPS88" s="947"/>
      <c r="RPT88" s="947"/>
      <c r="RPU88" s="947"/>
      <c r="RPV88" s="947"/>
      <c r="RPW88" s="947"/>
      <c r="RPX88" s="947"/>
      <c r="RPY88" s="947"/>
      <c r="RPZ88" s="947"/>
      <c r="RQA88" s="947"/>
      <c r="RQB88" s="947"/>
      <c r="RQC88" s="947"/>
      <c r="RQD88" s="947"/>
      <c r="RQE88" s="947"/>
      <c r="RQF88" s="947"/>
      <c r="RQG88" s="947"/>
      <c r="RQH88" s="947"/>
      <c r="RQI88" s="947"/>
      <c r="RQJ88" s="947"/>
      <c r="RQK88" s="947"/>
      <c r="RQL88" s="947"/>
      <c r="RQM88" s="947"/>
      <c r="RQN88" s="947"/>
      <c r="RQO88" s="947"/>
      <c r="RQP88" s="947"/>
      <c r="RQQ88" s="947"/>
      <c r="RQR88" s="947"/>
      <c r="RQS88" s="947"/>
      <c r="RQT88" s="947"/>
      <c r="RQU88" s="947"/>
      <c r="RQV88" s="947"/>
      <c r="RQW88" s="947"/>
      <c r="RQX88" s="947"/>
      <c r="RQY88" s="947"/>
      <c r="RQZ88" s="947"/>
      <c r="RRA88" s="947"/>
      <c r="RRB88" s="947"/>
      <c r="RRC88" s="947"/>
      <c r="RRD88" s="947"/>
      <c r="RRE88" s="947"/>
      <c r="RRF88" s="947"/>
      <c r="RRG88" s="947"/>
      <c r="RRH88" s="947"/>
      <c r="RRI88" s="947"/>
      <c r="RRJ88" s="947"/>
      <c r="RRK88" s="947"/>
      <c r="RRL88" s="947"/>
      <c r="RRM88" s="947"/>
      <c r="RRN88" s="947"/>
      <c r="RRO88" s="947"/>
      <c r="RRP88" s="947"/>
      <c r="RRQ88" s="947"/>
      <c r="RRR88" s="947"/>
      <c r="RRS88" s="947"/>
      <c r="RRT88" s="947"/>
      <c r="RRU88" s="947"/>
      <c r="RRV88" s="947"/>
      <c r="RRW88" s="947"/>
      <c r="RRX88" s="947"/>
      <c r="RRY88" s="947"/>
      <c r="RRZ88" s="947"/>
      <c r="RSA88" s="947"/>
      <c r="RSB88" s="947"/>
      <c r="RSC88" s="947"/>
      <c r="RSD88" s="947"/>
      <c r="RSE88" s="947"/>
      <c r="RSF88" s="947"/>
      <c r="RSG88" s="947"/>
      <c r="RSH88" s="947"/>
      <c r="RSI88" s="947"/>
      <c r="RSJ88" s="947"/>
      <c r="RSK88" s="947"/>
      <c r="RSL88" s="947"/>
      <c r="RSM88" s="947"/>
      <c r="RSN88" s="947"/>
      <c r="RSO88" s="947"/>
      <c r="RSP88" s="947"/>
      <c r="RSQ88" s="947"/>
      <c r="RSR88" s="947"/>
      <c r="RSS88" s="947"/>
      <c r="RST88" s="947"/>
      <c r="RSU88" s="947"/>
      <c r="RSV88" s="947"/>
      <c r="RSW88" s="947"/>
      <c r="RSX88" s="947"/>
      <c r="RSY88" s="947"/>
      <c r="RSZ88" s="947"/>
      <c r="RTA88" s="947"/>
      <c r="RTB88" s="947"/>
      <c r="RTC88" s="947"/>
      <c r="RTD88" s="947"/>
      <c r="RTE88" s="947"/>
      <c r="RTF88" s="947"/>
      <c r="RTG88" s="947"/>
      <c r="RTH88" s="947"/>
      <c r="RTI88" s="947"/>
      <c r="RTJ88" s="947"/>
      <c r="RTK88" s="947"/>
      <c r="RTL88" s="947"/>
      <c r="RTM88" s="947"/>
      <c r="RTN88" s="947"/>
      <c r="RTO88" s="947"/>
      <c r="RTP88" s="947"/>
      <c r="RTQ88" s="947"/>
      <c r="RTR88" s="947"/>
      <c r="RTS88" s="947"/>
      <c r="RTT88" s="947"/>
      <c r="RTU88" s="947"/>
      <c r="RTV88" s="947"/>
      <c r="RTW88" s="947"/>
      <c r="RTX88" s="947"/>
      <c r="RTY88" s="947"/>
      <c r="RTZ88" s="947"/>
      <c r="RUA88" s="947"/>
      <c r="RUB88" s="947"/>
      <c r="RUC88" s="947"/>
      <c r="RUD88" s="947"/>
      <c r="RUE88" s="947"/>
      <c r="RUF88" s="947"/>
      <c r="RUG88" s="947"/>
      <c r="RUH88" s="947"/>
      <c r="RUI88" s="947"/>
      <c r="RUJ88" s="947"/>
      <c r="RUK88" s="947"/>
      <c r="RUL88" s="947"/>
      <c r="RUM88" s="947"/>
      <c r="RUN88" s="947"/>
      <c r="RUO88" s="947"/>
      <c r="RUP88" s="947"/>
      <c r="RUQ88" s="947"/>
      <c r="RUR88" s="947"/>
      <c r="RUS88" s="947"/>
      <c r="RUT88" s="947"/>
      <c r="RUU88" s="947"/>
      <c r="RUV88" s="947"/>
      <c r="RUW88" s="947"/>
      <c r="RUX88" s="947"/>
      <c r="RUY88" s="947"/>
      <c r="RUZ88" s="947"/>
      <c r="RVA88" s="947"/>
      <c r="RVB88" s="947"/>
      <c r="RVC88" s="947"/>
      <c r="RVD88" s="947"/>
      <c r="RVE88" s="947"/>
      <c r="RVF88" s="947"/>
      <c r="RVG88" s="947"/>
      <c r="RVH88" s="947"/>
      <c r="RVI88" s="947"/>
      <c r="RVJ88" s="947"/>
      <c r="RVK88" s="947"/>
      <c r="RVL88" s="947"/>
      <c r="RVM88" s="947"/>
      <c r="RVN88" s="947"/>
      <c r="RVO88" s="947"/>
      <c r="RVP88" s="947"/>
      <c r="RVQ88" s="947"/>
      <c r="RVR88" s="947"/>
      <c r="RVS88" s="947"/>
      <c r="RVT88" s="947"/>
      <c r="RVU88" s="947"/>
      <c r="RVV88" s="947"/>
      <c r="RVW88" s="947"/>
      <c r="RVX88" s="947"/>
      <c r="RVY88" s="947"/>
      <c r="RVZ88" s="947"/>
      <c r="RWA88" s="947"/>
      <c r="RWB88" s="947"/>
      <c r="RWC88" s="947"/>
      <c r="RWD88" s="947"/>
      <c r="RWE88" s="947"/>
      <c r="RWF88" s="947"/>
      <c r="RWG88" s="947"/>
      <c r="RWH88" s="947"/>
      <c r="RWI88" s="947"/>
      <c r="RWJ88" s="947"/>
      <c r="RWK88" s="947"/>
      <c r="RWL88" s="947"/>
      <c r="RWM88" s="947"/>
      <c r="RWN88" s="947"/>
      <c r="RWO88" s="947"/>
      <c r="RWP88" s="947"/>
      <c r="RWQ88" s="947"/>
      <c r="RWR88" s="947"/>
      <c r="RWS88" s="947"/>
      <c r="RWT88" s="947"/>
      <c r="RWU88" s="947"/>
      <c r="RWV88" s="947"/>
      <c r="RWW88" s="947"/>
      <c r="RWX88" s="947"/>
      <c r="RWY88" s="947"/>
      <c r="RWZ88" s="947"/>
      <c r="RXA88" s="947"/>
      <c r="RXB88" s="947"/>
      <c r="RXC88" s="947"/>
      <c r="RXD88" s="947"/>
      <c r="RXE88" s="947"/>
      <c r="RXF88" s="947"/>
      <c r="RXG88" s="947"/>
      <c r="RXH88" s="947"/>
      <c r="RXI88" s="947"/>
      <c r="RXJ88" s="947"/>
      <c r="RXK88" s="947"/>
      <c r="RXL88" s="947"/>
      <c r="RXM88" s="947"/>
      <c r="RXN88" s="947"/>
      <c r="RXO88" s="947"/>
      <c r="RXP88" s="947"/>
      <c r="RXQ88" s="947"/>
      <c r="RXR88" s="947"/>
      <c r="RXS88" s="947"/>
      <c r="RXT88" s="947"/>
      <c r="RXU88" s="947"/>
      <c r="RXV88" s="947"/>
      <c r="RXW88" s="947"/>
      <c r="RXX88" s="947"/>
      <c r="RXY88" s="947"/>
      <c r="RXZ88" s="947"/>
      <c r="RYA88" s="947"/>
      <c r="RYB88" s="947"/>
      <c r="RYC88" s="947"/>
      <c r="RYD88" s="947"/>
      <c r="RYE88" s="947"/>
      <c r="RYF88" s="947"/>
      <c r="RYG88" s="947"/>
      <c r="RYH88" s="947"/>
      <c r="RYI88" s="947"/>
      <c r="RYJ88" s="947"/>
      <c r="RYK88" s="947"/>
      <c r="RYL88" s="947"/>
      <c r="RYM88" s="947"/>
      <c r="RYN88" s="947"/>
      <c r="RYO88" s="947"/>
      <c r="RYP88" s="947"/>
      <c r="RYQ88" s="947"/>
      <c r="RYR88" s="947"/>
      <c r="RYS88" s="947"/>
      <c r="RYT88" s="947"/>
      <c r="RYU88" s="947"/>
      <c r="RYV88" s="947"/>
      <c r="RYW88" s="947"/>
      <c r="RYX88" s="947"/>
      <c r="RYY88" s="947"/>
      <c r="RYZ88" s="947"/>
      <c r="RZA88" s="947"/>
      <c r="RZB88" s="947"/>
      <c r="RZC88" s="947"/>
      <c r="RZD88" s="947"/>
      <c r="RZE88" s="947"/>
      <c r="RZF88" s="947"/>
      <c r="RZG88" s="947"/>
      <c r="RZH88" s="947"/>
      <c r="RZI88" s="947"/>
      <c r="RZJ88" s="947"/>
      <c r="RZK88" s="947"/>
      <c r="RZL88" s="947"/>
      <c r="RZM88" s="947"/>
      <c r="RZN88" s="947"/>
      <c r="RZO88" s="947"/>
      <c r="RZP88" s="947"/>
      <c r="RZQ88" s="947"/>
      <c r="RZR88" s="947"/>
      <c r="RZS88" s="947"/>
      <c r="RZT88" s="947"/>
      <c r="RZU88" s="947"/>
      <c r="RZV88" s="947"/>
      <c r="RZW88" s="947"/>
      <c r="RZX88" s="947"/>
      <c r="RZY88" s="947"/>
      <c r="RZZ88" s="947"/>
      <c r="SAA88" s="947"/>
      <c r="SAB88" s="947"/>
      <c r="SAC88" s="947"/>
      <c r="SAD88" s="947"/>
      <c r="SAE88" s="947"/>
      <c r="SAF88" s="947"/>
      <c r="SAG88" s="947"/>
      <c r="SAH88" s="947"/>
      <c r="SAI88" s="947"/>
      <c r="SAJ88" s="947"/>
      <c r="SAK88" s="947"/>
      <c r="SAL88" s="947"/>
      <c r="SAM88" s="947"/>
      <c r="SAN88" s="947"/>
      <c r="SAO88" s="947"/>
      <c r="SAP88" s="947"/>
      <c r="SAQ88" s="947"/>
      <c r="SAR88" s="947"/>
      <c r="SAS88" s="947"/>
      <c r="SAT88" s="947"/>
      <c r="SAU88" s="947"/>
      <c r="SAV88" s="947"/>
      <c r="SAW88" s="947"/>
      <c r="SAX88" s="947"/>
      <c r="SAY88" s="947"/>
      <c r="SAZ88" s="947"/>
      <c r="SBA88" s="947"/>
      <c r="SBB88" s="947"/>
      <c r="SBC88" s="947"/>
      <c r="SBD88" s="947"/>
      <c r="SBE88" s="947"/>
      <c r="SBF88" s="947"/>
      <c r="SBG88" s="947"/>
      <c r="SBH88" s="947"/>
      <c r="SBI88" s="947"/>
      <c r="SBJ88" s="947"/>
      <c r="SBK88" s="947"/>
      <c r="SBL88" s="947"/>
      <c r="SBM88" s="947"/>
      <c r="SBN88" s="947"/>
      <c r="SBO88" s="947"/>
      <c r="SBP88" s="947"/>
      <c r="SBQ88" s="947"/>
      <c r="SBR88" s="947"/>
      <c r="SBS88" s="947"/>
      <c r="SBT88" s="947"/>
      <c r="SBU88" s="947"/>
      <c r="SBV88" s="947"/>
      <c r="SBW88" s="947"/>
      <c r="SBX88" s="947"/>
      <c r="SBY88" s="947"/>
      <c r="SBZ88" s="947"/>
      <c r="SCA88" s="947"/>
      <c r="SCB88" s="947"/>
      <c r="SCC88" s="947"/>
      <c r="SCD88" s="947"/>
      <c r="SCE88" s="947"/>
      <c r="SCF88" s="947"/>
      <c r="SCG88" s="947"/>
      <c r="SCH88" s="947"/>
      <c r="SCI88" s="947"/>
      <c r="SCJ88" s="947"/>
      <c r="SCK88" s="947"/>
      <c r="SCL88" s="947"/>
      <c r="SCM88" s="947"/>
      <c r="SCN88" s="947"/>
      <c r="SCO88" s="947"/>
      <c r="SCP88" s="947"/>
      <c r="SCQ88" s="947"/>
      <c r="SCR88" s="947"/>
      <c r="SCS88" s="947"/>
      <c r="SCT88" s="947"/>
      <c r="SCU88" s="947"/>
      <c r="SCV88" s="947"/>
      <c r="SCW88" s="947"/>
      <c r="SCX88" s="947"/>
      <c r="SCY88" s="947"/>
      <c r="SCZ88" s="947"/>
      <c r="SDA88" s="947"/>
      <c r="SDB88" s="947"/>
      <c r="SDC88" s="947"/>
      <c r="SDD88" s="947"/>
      <c r="SDE88" s="947"/>
      <c r="SDF88" s="947"/>
      <c r="SDG88" s="947"/>
      <c r="SDH88" s="947"/>
      <c r="SDI88" s="947"/>
      <c r="SDJ88" s="947"/>
      <c r="SDK88" s="947"/>
      <c r="SDL88" s="947"/>
      <c r="SDM88" s="947"/>
      <c r="SDN88" s="947"/>
      <c r="SDO88" s="947"/>
      <c r="SDP88" s="947"/>
      <c r="SDQ88" s="947"/>
      <c r="SDR88" s="947"/>
      <c r="SDS88" s="947"/>
      <c r="SDT88" s="947"/>
      <c r="SDU88" s="947"/>
      <c r="SDV88" s="947"/>
      <c r="SDW88" s="947"/>
      <c r="SDX88" s="947"/>
      <c r="SDY88" s="947"/>
      <c r="SDZ88" s="947"/>
      <c r="SEA88" s="947"/>
      <c r="SEB88" s="947"/>
      <c r="SEC88" s="947"/>
      <c r="SED88" s="947"/>
      <c r="SEE88" s="947"/>
      <c r="SEF88" s="947"/>
      <c r="SEG88" s="947"/>
      <c r="SEH88" s="947"/>
      <c r="SEI88" s="947"/>
      <c r="SEJ88" s="947"/>
      <c r="SEK88" s="947"/>
      <c r="SEL88" s="947"/>
      <c r="SEM88" s="947"/>
      <c r="SEN88" s="947"/>
      <c r="SEO88" s="947"/>
      <c r="SEP88" s="947"/>
      <c r="SEQ88" s="947"/>
      <c r="SER88" s="947"/>
      <c r="SES88" s="947"/>
      <c r="SET88" s="947"/>
      <c r="SEU88" s="947"/>
      <c r="SEV88" s="947"/>
      <c r="SEW88" s="947"/>
      <c r="SEX88" s="947"/>
      <c r="SEY88" s="947"/>
      <c r="SEZ88" s="947"/>
      <c r="SFA88" s="947"/>
      <c r="SFB88" s="947"/>
      <c r="SFC88" s="947"/>
      <c r="SFD88" s="947"/>
      <c r="SFE88" s="947"/>
      <c r="SFF88" s="947"/>
      <c r="SFG88" s="947"/>
      <c r="SFH88" s="947"/>
      <c r="SFI88" s="947"/>
      <c r="SFJ88" s="947"/>
      <c r="SFK88" s="947"/>
      <c r="SFL88" s="947"/>
      <c r="SFM88" s="947"/>
      <c r="SFN88" s="947"/>
      <c r="SFO88" s="947"/>
      <c r="SFP88" s="947"/>
      <c r="SFQ88" s="947"/>
      <c r="SFR88" s="947"/>
      <c r="SFS88" s="947"/>
      <c r="SFT88" s="947"/>
      <c r="SFU88" s="947"/>
      <c r="SFV88" s="947"/>
      <c r="SFW88" s="947"/>
      <c r="SFX88" s="947"/>
      <c r="SFY88" s="947"/>
      <c r="SFZ88" s="947"/>
      <c r="SGA88" s="947"/>
      <c r="SGB88" s="947"/>
      <c r="SGC88" s="947"/>
      <c r="SGD88" s="947"/>
      <c r="SGE88" s="947"/>
      <c r="SGF88" s="947"/>
      <c r="SGG88" s="947"/>
      <c r="SGH88" s="947"/>
      <c r="SGI88" s="947"/>
      <c r="SGJ88" s="947"/>
      <c r="SGK88" s="947"/>
      <c r="SGL88" s="947"/>
      <c r="SGM88" s="947"/>
      <c r="SGN88" s="947"/>
      <c r="SGO88" s="947"/>
      <c r="SGP88" s="947"/>
      <c r="SGQ88" s="947"/>
      <c r="SGR88" s="947"/>
      <c r="SGS88" s="947"/>
      <c r="SGT88" s="947"/>
      <c r="SGU88" s="947"/>
      <c r="SGV88" s="947"/>
      <c r="SGW88" s="947"/>
      <c r="SGX88" s="947"/>
      <c r="SGY88" s="947"/>
      <c r="SGZ88" s="947"/>
      <c r="SHA88" s="947"/>
      <c r="SHB88" s="947"/>
      <c r="SHC88" s="947"/>
      <c r="SHD88" s="947"/>
      <c r="SHE88" s="947"/>
      <c r="SHF88" s="947"/>
      <c r="SHG88" s="947"/>
      <c r="SHH88" s="947"/>
      <c r="SHI88" s="947"/>
      <c r="SHJ88" s="947"/>
      <c r="SHK88" s="947"/>
      <c r="SHL88" s="947"/>
      <c r="SHM88" s="947"/>
      <c r="SHN88" s="947"/>
      <c r="SHO88" s="947"/>
      <c r="SHP88" s="947"/>
      <c r="SHQ88" s="947"/>
      <c r="SHR88" s="947"/>
      <c r="SHS88" s="947"/>
      <c r="SHT88" s="947"/>
      <c r="SHU88" s="947"/>
      <c r="SHV88" s="947"/>
      <c r="SHW88" s="947"/>
      <c r="SHX88" s="947"/>
      <c r="SHY88" s="947"/>
      <c r="SHZ88" s="947"/>
      <c r="SIA88" s="947"/>
      <c r="SIB88" s="947"/>
      <c r="SIC88" s="947"/>
      <c r="SID88" s="947"/>
      <c r="SIE88" s="947"/>
      <c r="SIF88" s="947"/>
      <c r="SIG88" s="947"/>
      <c r="SIH88" s="947"/>
      <c r="SII88" s="947"/>
      <c r="SIJ88" s="947"/>
      <c r="SIK88" s="947"/>
      <c r="SIL88" s="947"/>
      <c r="SIM88" s="947"/>
      <c r="SIN88" s="947"/>
      <c r="SIO88" s="947"/>
      <c r="SIP88" s="947"/>
      <c r="SIQ88" s="947"/>
      <c r="SIR88" s="947"/>
      <c r="SIS88" s="947"/>
      <c r="SIT88" s="947"/>
      <c r="SIU88" s="947"/>
      <c r="SIV88" s="947"/>
      <c r="SIW88" s="947"/>
      <c r="SIX88" s="947"/>
      <c r="SIY88" s="947"/>
      <c r="SIZ88" s="947"/>
      <c r="SJA88" s="947"/>
      <c r="SJB88" s="947"/>
      <c r="SJC88" s="947"/>
      <c r="SJD88" s="947"/>
      <c r="SJE88" s="947"/>
      <c r="SJF88" s="947"/>
      <c r="SJG88" s="947"/>
      <c r="SJH88" s="947"/>
      <c r="SJI88" s="947"/>
      <c r="SJJ88" s="947"/>
      <c r="SJK88" s="947"/>
      <c r="SJL88" s="947"/>
      <c r="SJM88" s="947"/>
      <c r="SJN88" s="947"/>
      <c r="SJO88" s="947"/>
      <c r="SJP88" s="947"/>
      <c r="SJQ88" s="947"/>
      <c r="SJR88" s="947"/>
      <c r="SJS88" s="947"/>
      <c r="SJT88" s="947"/>
      <c r="SJU88" s="947"/>
      <c r="SJV88" s="947"/>
      <c r="SJW88" s="947"/>
      <c r="SJX88" s="947"/>
      <c r="SJY88" s="947"/>
      <c r="SJZ88" s="947"/>
      <c r="SKA88" s="947"/>
      <c r="SKB88" s="947"/>
      <c r="SKC88" s="947"/>
      <c r="SKD88" s="947"/>
      <c r="SKE88" s="947"/>
      <c r="SKF88" s="947"/>
      <c r="SKG88" s="947"/>
      <c r="SKH88" s="947"/>
      <c r="SKI88" s="947"/>
      <c r="SKJ88" s="947"/>
      <c r="SKK88" s="947"/>
      <c r="SKL88" s="947"/>
      <c r="SKM88" s="947"/>
      <c r="SKN88" s="947"/>
      <c r="SKO88" s="947"/>
      <c r="SKP88" s="947"/>
      <c r="SKQ88" s="947"/>
      <c r="SKR88" s="947"/>
      <c r="SKS88" s="947"/>
      <c r="SKT88" s="947"/>
      <c r="SKU88" s="947"/>
      <c r="SKV88" s="947"/>
      <c r="SKW88" s="947"/>
      <c r="SKX88" s="947"/>
      <c r="SKY88" s="947"/>
      <c r="SKZ88" s="947"/>
      <c r="SLA88" s="947"/>
      <c r="SLB88" s="947"/>
      <c r="SLC88" s="947"/>
      <c r="SLD88" s="947"/>
      <c r="SLE88" s="947"/>
      <c r="SLF88" s="947"/>
      <c r="SLG88" s="947"/>
      <c r="SLH88" s="947"/>
      <c r="SLI88" s="947"/>
      <c r="SLJ88" s="947"/>
      <c r="SLK88" s="947"/>
      <c r="SLL88" s="947"/>
      <c r="SLM88" s="947"/>
      <c r="SLN88" s="947"/>
      <c r="SLO88" s="947"/>
      <c r="SLP88" s="947"/>
      <c r="SLQ88" s="947"/>
      <c r="SLR88" s="947"/>
      <c r="SLS88" s="947"/>
      <c r="SLT88" s="947"/>
      <c r="SLU88" s="947"/>
      <c r="SLV88" s="947"/>
      <c r="SLW88" s="947"/>
      <c r="SLX88" s="947"/>
      <c r="SLY88" s="947"/>
      <c r="SLZ88" s="947"/>
      <c r="SMA88" s="947"/>
      <c r="SMB88" s="947"/>
      <c r="SMC88" s="947"/>
      <c r="SMD88" s="947"/>
      <c r="SME88" s="947"/>
      <c r="SMF88" s="947"/>
      <c r="SMG88" s="947"/>
      <c r="SMH88" s="947"/>
      <c r="SMI88" s="947"/>
      <c r="SMJ88" s="947"/>
      <c r="SMK88" s="947"/>
      <c r="SML88" s="947"/>
      <c r="SMM88" s="947"/>
      <c r="SMN88" s="947"/>
      <c r="SMO88" s="947"/>
      <c r="SMP88" s="947"/>
      <c r="SMQ88" s="947"/>
      <c r="SMR88" s="947"/>
      <c r="SMS88" s="947"/>
      <c r="SMT88" s="947"/>
      <c r="SMU88" s="947"/>
      <c r="SMV88" s="947"/>
      <c r="SMW88" s="947"/>
      <c r="SMX88" s="947"/>
      <c r="SMY88" s="947"/>
      <c r="SMZ88" s="947"/>
      <c r="SNA88" s="947"/>
      <c r="SNB88" s="947"/>
      <c r="SNC88" s="947"/>
      <c r="SND88" s="947"/>
      <c r="SNE88" s="947"/>
      <c r="SNF88" s="947"/>
      <c r="SNG88" s="947"/>
      <c r="SNH88" s="947"/>
      <c r="SNI88" s="947"/>
      <c r="SNJ88" s="947"/>
      <c r="SNK88" s="947"/>
      <c r="SNL88" s="947"/>
      <c r="SNM88" s="947"/>
      <c r="SNN88" s="947"/>
      <c r="SNO88" s="947"/>
      <c r="SNP88" s="947"/>
      <c r="SNQ88" s="947"/>
      <c r="SNR88" s="947"/>
      <c r="SNS88" s="947"/>
      <c r="SNT88" s="947"/>
      <c r="SNU88" s="947"/>
      <c r="SNV88" s="947"/>
      <c r="SNW88" s="947"/>
      <c r="SNX88" s="947"/>
      <c r="SNY88" s="947"/>
      <c r="SNZ88" s="947"/>
      <c r="SOA88" s="947"/>
      <c r="SOB88" s="947"/>
      <c r="SOC88" s="947"/>
      <c r="SOD88" s="947"/>
      <c r="SOE88" s="947"/>
      <c r="SOF88" s="947"/>
      <c r="SOG88" s="947"/>
      <c r="SOH88" s="947"/>
      <c r="SOI88" s="947"/>
      <c r="SOJ88" s="947"/>
      <c r="SOK88" s="947"/>
      <c r="SOL88" s="947"/>
      <c r="SOM88" s="947"/>
      <c r="SON88" s="947"/>
      <c r="SOO88" s="947"/>
      <c r="SOP88" s="947"/>
      <c r="SOQ88" s="947"/>
      <c r="SOR88" s="947"/>
      <c r="SOS88" s="947"/>
      <c r="SOT88" s="947"/>
      <c r="SOU88" s="947"/>
      <c r="SOV88" s="947"/>
      <c r="SOW88" s="947"/>
      <c r="SOX88" s="947"/>
      <c r="SOY88" s="947"/>
      <c r="SOZ88" s="947"/>
      <c r="SPA88" s="947"/>
      <c r="SPB88" s="947"/>
      <c r="SPC88" s="947"/>
      <c r="SPD88" s="947"/>
      <c r="SPE88" s="947"/>
      <c r="SPF88" s="947"/>
      <c r="SPG88" s="947"/>
      <c r="SPH88" s="947"/>
      <c r="SPI88" s="947"/>
      <c r="SPJ88" s="947"/>
      <c r="SPK88" s="947"/>
      <c r="SPL88" s="947"/>
      <c r="SPM88" s="947"/>
      <c r="SPN88" s="947"/>
      <c r="SPO88" s="947"/>
      <c r="SPP88" s="947"/>
      <c r="SPQ88" s="947"/>
      <c r="SPR88" s="947"/>
      <c r="SPS88" s="947"/>
      <c r="SPT88" s="947"/>
      <c r="SPU88" s="947"/>
      <c r="SPV88" s="947"/>
      <c r="SPW88" s="947"/>
      <c r="SPX88" s="947"/>
      <c r="SPY88" s="947"/>
      <c r="SPZ88" s="947"/>
      <c r="SQA88" s="947"/>
      <c r="SQB88" s="947"/>
      <c r="SQC88" s="947"/>
      <c r="SQD88" s="947"/>
      <c r="SQE88" s="947"/>
      <c r="SQF88" s="947"/>
      <c r="SQG88" s="947"/>
      <c r="SQH88" s="947"/>
      <c r="SQI88" s="947"/>
      <c r="SQJ88" s="947"/>
      <c r="SQK88" s="947"/>
      <c r="SQL88" s="947"/>
      <c r="SQM88" s="947"/>
      <c r="SQN88" s="947"/>
      <c r="SQO88" s="947"/>
      <c r="SQP88" s="947"/>
      <c r="SQQ88" s="947"/>
      <c r="SQR88" s="947"/>
      <c r="SQS88" s="947"/>
      <c r="SQT88" s="947"/>
      <c r="SQU88" s="947"/>
      <c r="SQV88" s="947"/>
      <c r="SQW88" s="947"/>
      <c r="SQX88" s="947"/>
      <c r="SQY88" s="947"/>
      <c r="SQZ88" s="947"/>
      <c r="SRA88" s="947"/>
      <c r="SRB88" s="947"/>
      <c r="SRC88" s="947"/>
      <c r="SRD88" s="947"/>
      <c r="SRE88" s="947"/>
      <c r="SRF88" s="947"/>
      <c r="SRG88" s="947"/>
      <c r="SRH88" s="947"/>
      <c r="SRI88" s="947"/>
      <c r="SRJ88" s="947"/>
      <c r="SRK88" s="947"/>
      <c r="SRL88" s="947"/>
      <c r="SRM88" s="947"/>
      <c r="SRN88" s="947"/>
      <c r="SRO88" s="947"/>
      <c r="SRP88" s="947"/>
      <c r="SRQ88" s="947"/>
      <c r="SRR88" s="947"/>
      <c r="SRS88" s="947"/>
      <c r="SRT88" s="947"/>
      <c r="SRU88" s="947"/>
      <c r="SRV88" s="947"/>
      <c r="SRW88" s="947"/>
      <c r="SRX88" s="947"/>
      <c r="SRY88" s="947"/>
      <c r="SRZ88" s="947"/>
      <c r="SSA88" s="947"/>
      <c r="SSB88" s="947"/>
      <c r="SSC88" s="947"/>
      <c r="SSD88" s="947"/>
      <c r="SSE88" s="947"/>
      <c r="SSF88" s="947"/>
      <c r="SSG88" s="947"/>
      <c r="SSH88" s="947"/>
      <c r="SSI88" s="947"/>
      <c r="SSJ88" s="947"/>
      <c r="SSK88" s="947"/>
      <c r="SSL88" s="947"/>
      <c r="SSM88" s="947"/>
      <c r="SSN88" s="947"/>
      <c r="SSO88" s="947"/>
      <c r="SSP88" s="947"/>
      <c r="SSQ88" s="947"/>
      <c r="SSR88" s="947"/>
      <c r="SSS88" s="947"/>
      <c r="SST88" s="947"/>
      <c r="SSU88" s="947"/>
      <c r="SSV88" s="947"/>
      <c r="SSW88" s="947"/>
      <c r="SSX88" s="947"/>
      <c r="SSY88" s="947"/>
      <c r="SSZ88" s="947"/>
      <c r="STA88" s="947"/>
      <c r="STB88" s="947"/>
      <c r="STC88" s="947"/>
      <c r="STD88" s="947"/>
      <c r="STE88" s="947"/>
      <c r="STF88" s="947"/>
      <c r="STG88" s="947"/>
      <c r="STH88" s="947"/>
      <c r="STI88" s="947"/>
      <c r="STJ88" s="947"/>
      <c r="STK88" s="947"/>
      <c r="STL88" s="947"/>
      <c r="STM88" s="947"/>
      <c r="STN88" s="947"/>
      <c r="STO88" s="947"/>
      <c r="STP88" s="947"/>
      <c r="STQ88" s="947"/>
      <c r="STR88" s="947"/>
      <c r="STS88" s="947"/>
      <c r="STT88" s="947"/>
      <c r="STU88" s="947"/>
      <c r="STV88" s="947"/>
      <c r="STW88" s="947"/>
      <c r="STX88" s="947"/>
      <c r="STY88" s="947"/>
      <c r="STZ88" s="947"/>
      <c r="SUA88" s="947"/>
      <c r="SUB88" s="947"/>
      <c r="SUC88" s="947"/>
      <c r="SUD88" s="947"/>
      <c r="SUE88" s="947"/>
      <c r="SUF88" s="947"/>
      <c r="SUG88" s="947"/>
      <c r="SUH88" s="947"/>
      <c r="SUI88" s="947"/>
      <c r="SUJ88" s="947"/>
      <c r="SUK88" s="947"/>
      <c r="SUL88" s="947"/>
      <c r="SUM88" s="947"/>
      <c r="SUN88" s="947"/>
      <c r="SUO88" s="947"/>
      <c r="SUP88" s="947"/>
      <c r="SUQ88" s="947"/>
      <c r="SUR88" s="947"/>
      <c r="SUS88" s="947"/>
      <c r="SUT88" s="947"/>
      <c r="SUU88" s="947"/>
      <c r="SUV88" s="947"/>
      <c r="SUW88" s="947"/>
      <c r="SUX88" s="947"/>
      <c r="SUY88" s="947"/>
      <c r="SUZ88" s="947"/>
      <c r="SVA88" s="947"/>
      <c r="SVB88" s="947"/>
      <c r="SVC88" s="947"/>
      <c r="SVD88" s="947"/>
      <c r="SVE88" s="947"/>
      <c r="SVF88" s="947"/>
      <c r="SVG88" s="947"/>
      <c r="SVH88" s="947"/>
      <c r="SVI88" s="947"/>
      <c r="SVJ88" s="947"/>
      <c r="SVK88" s="947"/>
      <c r="SVL88" s="947"/>
      <c r="SVM88" s="947"/>
      <c r="SVN88" s="947"/>
      <c r="SVO88" s="947"/>
      <c r="SVP88" s="947"/>
      <c r="SVQ88" s="947"/>
      <c r="SVR88" s="947"/>
      <c r="SVS88" s="947"/>
      <c r="SVT88" s="947"/>
      <c r="SVU88" s="947"/>
      <c r="SVV88" s="947"/>
      <c r="SVW88" s="947"/>
      <c r="SVX88" s="947"/>
      <c r="SVY88" s="947"/>
      <c r="SVZ88" s="947"/>
      <c r="SWA88" s="947"/>
      <c r="SWB88" s="947"/>
      <c r="SWC88" s="947"/>
      <c r="SWD88" s="947"/>
      <c r="SWE88" s="947"/>
      <c r="SWF88" s="947"/>
      <c r="SWG88" s="947"/>
      <c r="SWH88" s="947"/>
      <c r="SWI88" s="947"/>
      <c r="SWJ88" s="947"/>
      <c r="SWK88" s="947"/>
      <c r="SWL88" s="947"/>
      <c r="SWM88" s="947"/>
      <c r="SWN88" s="947"/>
      <c r="SWO88" s="947"/>
      <c r="SWP88" s="947"/>
      <c r="SWQ88" s="947"/>
      <c r="SWR88" s="947"/>
      <c r="SWS88" s="947"/>
      <c r="SWT88" s="947"/>
      <c r="SWU88" s="947"/>
      <c r="SWV88" s="947"/>
      <c r="SWW88" s="947"/>
      <c r="SWX88" s="947"/>
      <c r="SWY88" s="947"/>
      <c r="SWZ88" s="947"/>
      <c r="SXA88" s="947"/>
      <c r="SXB88" s="947"/>
      <c r="SXC88" s="947"/>
      <c r="SXD88" s="947"/>
      <c r="SXE88" s="947"/>
      <c r="SXF88" s="947"/>
      <c r="SXG88" s="947"/>
      <c r="SXH88" s="947"/>
      <c r="SXI88" s="947"/>
      <c r="SXJ88" s="947"/>
      <c r="SXK88" s="947"/>
      <c r="SXL88" s="947"/>
      <c r="SXM88" s="947"/>
      <c r="SXN88" s="947"/>
      <c r="SXO88" s="947"/>
      <c r="SXP88" s="947"/>
      <c r="SXQ88" s="947"/>
      <c r="SXR88" s="947"/>
      <c r="SXS88" s="947"/>
      <c r="SXT88" s="947"/>
      <c r="SXU88" s="947"/>
      <c r="SXV88" s="947"/>
      <c r="SXW88" s="947"/>
      <c r="SXX88" s="947"/>
      <c r="SXY88" s="947"/>
      <c r="SXZ88" s="947"/>
      <c r="SYA88" s="947"/>
      <c r="SYB88" s="947"/>
      <c r="SYC88" s="947"/>
      <c r="SYD88" s="947"/>
      <c r="SYE88" s="947"/>
      <c r="SYF88" s="947"/>
      <c r="SYG88" s="947"/>
      <c r="SYH88" s="947"/>
      <c r="SYI88" s="947"/>
      <c r="SYJ88" s="947"/>
      <c r="SYK88" s="947"/>
      <c r="SYL88" s="947"/>
      <c r="SYM88" s="947"/>
      <c r="SYN88" s="947"/>
      <c r="SYO88" s="947"/>
      <c r="SYP88" s="947"/>
      <c r="SYQ88" s="947"/>
      <c r="SYR88" s="947"/>
      <c r="SYS88" s="947"/>
      <c r="SYT88" s="947"/>
      <c r="SYU88" s="947"/>
      <c r="SYV88" s="947"/>
      <c r="SYW88" s="947"/>
      <c r="SYX88" s="947"/>
      <c r="SYY88" s="947"/>
      <c r="SYZ88" s="947"/>
      <c r="SZA88" s="947"/>
      <c r="SZB88" s="947"/>
      <c r="SZC88" s="947"/>
      <c r="SZD88" s="947"/>
      <c r="SZE88" s="947"/>
      <c r="SZF88" s="947"/>
      <c r="SZG88" s="947"/>
      <c r="SZH88" s="947"/>
      <c r="SZI88" s="947"/>
      <c r="SZJ88" s="947"/>
      <c r="SZK88" s="947"/>
      <c r="SZL88" s="947"/>
      <c r="SZM88" s="947"/>
      <c r="SZN88" s="947"/>
      <c r="SZO88" s="947"/>
      <c r="SZP88" s="947"/>
      <c r="SZQ88" s="947"/>
      <c r="SZR88" s="947"/>
      <c r="SZS88" s="947"/>
      <c r="SZT88" s="947"/>
      <c r="SZU88" s="947"/>
      <c r="SZV88" s="947"/>
      <c r="SZW88" s="947"/>
      <c r="SZX88" s="947"/>
      <c r="SZY88" s="947"/>
      <c r="SZZ88" s="947"/>
      <c r="TAA88" s="947"/>
      <c r="TAB88" s="947"/>
      <c r="TAC88" s="947"/>
      <c r="TAD88" s="947"/>
      <c r="TAE88" s="947"/>
      <c r="TAF88" s="947"/>
      <c r="TAG88" s="947"/>
      <c r="TAH88" s="947"/>
      <c r="TAI88" s="947"/>
      <c r="TAJ88" s="947"/>
      <c r="TAK88" s="947"/>
      <c r="TAL88" s="947"/>
      <c r="TAM88" s="947"/>
      <c r="TAN88" s="947"/>
      <c r="TAO88" s="947"/>
      <c r="TAP88" s="947"/>
      <c r="TAQ88" s="947"/>
      <c r="TAR88" s="947"/>
      <c r="TAS88" s="947"/>
      <c r="TAT88" s="947"/>
      <c r="TAU88" s="947"/>
      <c r="TAV88" s="947"/>
      <c r="TAW88" s="947"/>
      <c r="TAX88" s="947"/>
      <c r="TAY88" s="947"/>
      <c r="TAZ88" s="947"/>
      <c r="TBA88" s="947"/>
      <c r="TBB88" s="947"/>
      <c r="TBC88" s="947"/>
      <c r="TBD88" s="947"/>
      <c r="TBE88" s="947"/>
      <c r="TBF88" s="947"/>
      <c r="TBG88" s="947"/>
      <c r="TBH88" s="947"/>
      <c r="TBI88" s="947"/>
      <c r="TBJ88" s="947"/>
      <c r="TBK88" s="947"/>
      <c r="TBL88" s="947"/>
      <c r="TBM88" s="947"/>
      <c r="TBN88" s="947"/>
      <c r="TBO88" s="947"/>
      <c r="TBP88" s="947"/>
      <c r="TBQ88" s="947"/>
      <c r="TBR88" s="947"/>
      <c r="TBS88" s="947"/>
      <c r="TBT88" s="947"/>
      <c r="TBU88" s="947"/>
      <c r="TBV88" s="947"/>
      <c r="TBW88" s="947"/>
      <c r="TBX88" s="947"/>
      <c r="TBY88" s="947"/>
      <c r="TBZ88" s="947"/>
      <c r="TCA88" s="947"/>
      <c r="TCB88" s="947"/>
      <c r="TCC88" s="947"/>
      <c r="TCD88" s="947"/>
      <c r="TCE88" s="947"/>
      <c r="TCF88" s="947"/>
      <c r="TCG88" s="947"/>
      <c r="TCH88" s="947"/>
      <c r="TCI88" s="947"/>
      <c r="TCJ88" s="947"/>
      <c r="TCK88" s="947"/>
      <c r="TCL88" s="947"/>
      <c r="TCM88" s="947"/>
      <c r="TCN88" s="947"/>
      <c r="TCO88" s="947"/>
      <c r="TCP88" s="947"/>
      <c r="TCQ88" s="947"/>
      <c r="TCR88" s="947"/>
      <c r="TCS88" s="947"/>
      <c r="TCT88" s="947"/>
      <c r="TCU88" s="947"/>
      <c r="TCV88" s="947"/>
      <c r="TCW88" s="947"/>
      <c r="TCX88" s="947"/>
      <c r="TCY88" s="947"/>
      <c r="TCZ88" s="947"/>
      <c r="TDA88" s="947"/>
      <c r="TDB88" s="947"/>
      <c r="TDC88" s="947"/>
      <c r="TDD88" s="947"/>
      <c r="TDE88" s="947"/>
      <c r="TDF88" s="947"/>
      <c r="TDG88" s="947"/>
      <c r="TDH88" s="947"/>
      <c r="TDI88" s="947"/>
      <c r="TDJ88" s="947"/>
      <c r="TDK88" s="947"/>
      <c r="TDL88" s="947"/>
      <c r="TDM88" s="947"/>
      <c r="TDN88" s="947"/>
      <c r="TDO88" s="947"/>
      <c r="TDP88" s="947"/>
      <c r="TDQ88" s="947"/>
      <c r="TDR88" s="947"/>
      <c r="TDS88" s="947"/>
      <c r="TDT88" s="947"/>
      <c r="TDU88" s="947"/>
      <c r="TDV88" s="947"/>
      <c r="TDW88" s="947"/>
      <c r="TDX88" s="947"/>
      <c r="TDY88" s="947"/>
      <c r="TDZ88" s="947"/>
      <c r="TEA88" s="947"/>
      <c r="TEB88" s="947"/>
      <c r="TEC88" s="947"/>
      <c r="TED88" s="947"/>
      <c r="TEE88" s="947"/>
      <c r="TEF88" s="947"/>
      <c r="TEG88" s="947"/>
      <c r="TEH88" s="947"/>
      <c r="TEI88" s="947"/>
      <c r="TEJ88" s="947"/>
      <c r="TEK88" s="947"/>
      <c r="TEL88" s="947"/>
      <c r="TEM88" s="947"/>
      <c r="TEN88" s="947"/>
      <c r="TEO88" s="947"/>
      <c r="TEP88" s="947"/>
      <c r="TEQ88" s="947"/>
      <c r="TER88" s="947"/>
      <c r="TES88" s="947"/>
      <c r="TET88" s="947"/>
      <c r="TEU88" s="947"/>
      <c r="TEV88" s="947"/>
      <c r="TEW88" s="947"/>
      <c r="TEX88" s="947"/>
      <c r="TEY88" s="947"/>
      <c r="TEZ88" s="947"/>
      <c r="TFA88" s="947"/>
      <c r="TFB88" s="947"/>
      <c r="TFC88" s="947"/>
      <c r="TFD88" s="947"/>
      <c r="TFE88" s="947"/>
      <c r="TFF88" s="947"/>
      <c r="TFG88" s="947"/>
      <c r="TFH88" s="947"/>
      <c r="TFI88" s="947"/>
      <c r="TFJ88" s="947"/>
      <c r="TFK88" s="947"/>
      <c r="TFL88" s="947"/>
      <c r="TFM88" s="947"/>
      <c r="TFN88" s="947"/>
      <c r="TFO88" s="947"/>
      <c r="TFP88" s="947"/>
      <c r="TFQ88" s="947"/>
      <c r="TFR88" s="947"/>
      <c r="TFS88" s="947"/>
      <c r="TFT88" s="947"/>
      <c r="TFU88" s="947"/>
      <c r="TFV88" s="947"/>
      <c r="TFW88" s="947"/>
      <c r="TFX88" s="947"/>
      <c r="TFY88" s="947"/>
      <c r="TFZ88" s="947"/>
      <c r="TGA88" s="947"/>
      <c r="TGB88" s="947"/>
      <c r="TGC88" s="947"/>
      <c r="TGD88" s="947"/>
      <c r="TGE88" s="947"/>
      <c r="TGF88" s="947"/>
      <c r="TGG88" s="947"/>
      <c r="TGH88" s="947"/>
      <c r="TGI88" s="947"/>
      <c r="TGJ88" s="947"/>
      <c r="TGK88" s="947"/>
      <c r="TGL88" s="947"/>
      <c r="TGM88" s="947"/>
      <c r="TGN88" s="947"/>
      <c r="TGO88" s="947"/>
      <c r="TGP88" s="947"/>
      <c r="TGQ88" s="947"/>
      <c r="TGR88" s="947"/>
      <c r="TGS88" s="947"/>
      <c r="TGT88" s="947"/>
      <c r="TGU88" s="947"/>
      <c r="TGV88" s="947"/>
      <c r="TGW88" s="947"/>
      <c r="TGX88" s="947"/>
      <c r="TGY88" s="947"/>
      <c r="TGZ88" s="947"/>
      <c r="THA88" s="947"/>
      <c r="THB88" s="947"/>
      <c r="THC88" s="947"/>
      <c r="THD88" s="947"/>
      <c r="THE88" s="947"/>
      <c r="THF88" s="947"/>
      <c r="THG88" s="947"/>
      <c r="THH88" s="947"/>
      <c r="THI88" s="947"/>
      <c r="THJ88" s="947"/>
      <c r="THK88" s="947"/>
      <c r="THL88" s="947"/>
      <c r="THM88" s="947"/>
      <c r="THN88" s="947"/>
      <c r="THO88" s="947"/>
      <c r="THP88" s="947"/>
      <c r="THQ88" s="947"/>
      <c r="THR88" s="947"/>
      <c r="THS88" s="947"/>
      <c r="THT88" s="947"/>
      <c r="THU88" s="947"/>
      <c r="THV88" s="947"/>
      <c r="THW88" s="947"/>
      <c r="THX88" s="947"/>
      <c r="THY88" s="947"/>
      <c r="THZ88" s="947"/>
      <c r="TIA88" s="947"/>
      <c r="TIB88" s="947"/>
      <c r="TIC88" s="947"/>
      <c r="TID88" s="947"/>
      <c r="TIE88" s="947"/>
      <c r="TIF88" s="947"/>
      <c r="TIG88" s="947"/>
      <c r="TIH88" s="947"/>
      <c r="TII88" s="947"/>
      <c r="TIJ88" s="947"/>
      <c r="TIK88" s="947"/>
      <c r="TIL88" s="947"/>
      <c r="TIM88" s="947"/>
      <c r="TIN88" s="947"/>
      <c r="TIO88" s="947"/>
      <c r="TIP88" s="947"/>
      <c r="TIQ88" s="947"/>
      <c r="TIR88" s="947"/>
      <c r="TIS88" s="947"/>
      <c r="TIT88" s="947"/>
      <c r="TIU88" s="947"/>
      <c r="TIV88" s="947"/>
      <c r="TIW88" s="947"/>
      <c r="TIX88" s="947"/>
      <c r="TIY88" s="947"/>
      <c r="TIZ88" s="947"/>
      <c r="TJA88" s="947"/>
      <c r="TJB88" s="947"/>
      <c r="TJC88" s="947"/>
      <c r="TJD88" s="947"/>
      <c r="TJE88" s="947"/>
      <c r="TJF88" s="947"/>
      <c r="TJG88" s="947"/>
      <c r="TJH88" s="947"/>
      <c r="TJI88" s="947"/>
      <c r="TJJ88" s="947"/>
      <c r="TJK88" s="947"/>
      <c r="TJL88" s="947"/>
      <c r="TJM88" s="947"/>
      <c r="TJN88" s="947"/>
      <c r="TJO88" s="947"/>
      <c r="TJP88" s="947"/>
      <c r="TJQ88" s="947"/>
      <c r="TJR88" s="947"/>
      <c r="TJS88" s="947"/>
      <c r="TJT88" s="947"/>
      <c r="TJU88" s="947"/>
      <c r="TJV88" s="947"/>
      <c r="TJW88" s="947"/>
      <c r="TJX88" s="947"/>
      <c r="TJY88" s="947"/>
      <c r="TJZ88" s="947"/>
      <c r="TKA88" s="947"/>
      <c r="TKB88" s="947"/>
      <c r="TKC88" s="947"/>
      <c r="TKD88" s="947"/>
      <c r="TKE88" s="947"/>
      <c r="TKF88" s="947"/>
      <c r="TKG88" s="947"/>
      <c r="TKH88" s="947"/>
      <c r="TKI88" s="947"/>
      <c r="TKJ88" s="947"/>
      <c r="TKK88" s="947"/>
      <c r="TKL88" s="947"/>
      <c r="TKM88" s="947"/>
      <c r="TKN88" s="947"/>
      <c r="TKO88" s="947"/>
      <c r="TKP88" s="947"/>
      <c r="TKQ88" s="947"/>
      <c r="TKR88" s="947"/>
      <c r="TKS88" s="947"/>
      <c r="TKT88" s="947"/>
      <c r="TKU88" s="947"/>
      <c r="TKV88" s="947"/>
      <c r="TKW88" s="947"/>
      <c r="TKX88" s="947"/>
      <c r="TKY88" s="947"/>
      <c r="TKZ88" s="947"/>
      <c r="TLA88" s="947"/>
      <c r="TLB88" s="947"/>
      <c r="TLC88" s="947"/>
      <c r="TLD88" s="947"/>
      <c r="TLE88" s="947"/>
      <c r="TLF88" s="947"/>
      <c r="TLG88" s="947"/>
      <c r="TLH88" s="947"/>
      <c r="TLI88" s="947"/>
      <c r="TLJ88" s="947"/>
      <c r="TLK88" s="947"/>
      <c r="TLL88" s="947"/>
      <c r="TLM88" s="947"/>
      <c r="TLN88" s="947"/>
      <c r="TLO88" s="947"/>
      <c r="TLP88" s="947"/>
      <c r="TLQ88" s="947"/>
      <c r="TLR88" s="947"/>
      <c r="TLS88" s="947"/>
      <c r="TLT88" s="947"/>
      <c r="TLU88" s="947"/>
      <c r="TLV88" s="947"/>
      <c r="TLW88" s="947"/>
      <c r="TLX88" s="947"/>
      <c r="TLY88" s="947"/>
      <c r="TLZ88" s="947"/>
      <c r="TMA88" s="947"/>
      <c r="TMB88" s="947"/>
      <c r="TMC88" s="947"/>
      <c r="TMD88" s="947"/>
      <c r="TME88" s="947"/>
      <c r="TMF88" s="947"/>
      <c r="TMG88" s="947"/>
      <c r="TMH88" s="947"/>
      <c r="TMI88" s="947"/>
      <c r="TMJ88" s="947"/>
      <c r="TMK88" s="947"/>
      <c r="TML88" s="947"/>
      <c r="TMM88" s="947"/>
      <c r="TMN88" s="947"/>
      <c r="TMO88" s="947"/>
      <c r="TMP88" s="947"/>
      <c r="TMQ88" s="947"/>
      <c r="TMR88" s="947"/>
      <c r="TMS88" s="947"/>
      <c r="TMT88" s="947"/>
      <c r="TMU88" s="947"/>
      <c r="TMV88" s="947"/>
      <c r="TMW88" s="947"/>
      <c r="TMX88" s="947"/>
      <c r="TMY88" s="947"/>
      <c r="TMZ88" s="947"/>
      <c r="TNA88" s="947"/>
      <c r="TNB88" s="947"/>
      <c r="TNC88" s="947"/>
      <c r="TND88" s="947"/>
      <c r="TNE88" s="947"/>
      <c r="TNF88" s="947"/>
      <c r="TNG88" s="947"/>
      <c r="TNH88" s="947"/>
      <c r="TNI88" s="947"/>
      <c r="TNJ88" s="947"/>
      <c r="TNK88" s="947"/>
      <c r="TNL88" s="947"/>
      <c r="TNM88" s="947"/>
      <c r="TNN88" s="947"/>
      <c r="TNO88" s="947"/>
      <c r="TNP88" s="947"/>
      <c r="TNQ88" s="947"/>
      <c r="TNR88" s="947"/>
      <c r="TNS88" s="947"/>
      <c r="TNT88" s="947"/>
      <c r="TNU88" s="947"/>
      <c r="TNV88" s="947"/>
      <c r="TNW88" s="947"/>
      <c r="TNX88" s="947"/>
      <c r="TNY88" s="947"/>
      <c r="TNZ88" s="947"/>
      <c r="TOA88" s="947"/>
      <c r="TOB88" s="947"/>
      <c r="TOC88" s="947"/>
      <c r="TOD88" s="947"/>
      <c r="TOE88" s="947"/>
      <c r="TOF88" s="947"/>
      <c r="TOG88" s="947"/>
      <c r="TOH88" s="947"/>
      <c r="TOI88" s="947"/>
      <c r="TOJ88" s="947"/>
      <c r="TOK88" s="947"/>
      <c r="TOL88" s="947"/>
      <c r="TOM88" s="947"/>
      <c r="TON88" s="947"/>
      <c r="TOO88" s="947"/>
      <c r="TOP88" s="947"/>
      <c r="TOQ88" s="947"/>
      <c r="TOR88" s="947"/>
      <c r="TOS88" s="947"/>
      <c r="TOT88" s="947"/>
      <c r="TOU88" s="947"/>
      <c r="TOV88" s="947"/>
      <c r="TOW88" s="947"/>
      <c r="TOX88" s="947"/>
      <c r="TOY88" s="947"/>
      <c r="TOZ88" s="947"/>
      <c r="TPA88" s="947"/>
      <c r="TPB88" s="947"/>
      <c r="TPC88" s="947"/>
      <c r="TPD88" s="947"/>
      <c r="TPE88" s="947"/>
      <c r="TPF88" s="947"/>
      <c r="TPG88" s="947"/>
      <c r="TPH88" s="947"/>
      <c r="TPI88" s="947"/>
      <c r="TPJ88" s="947"/>
      <c r="TPK88" s="947"/>
      <c r="TPL88" s="947"/>
      <c r="TPM88" s="947"/>
      <c r="TPN88" s="947"/>
      <c r="TPO88" s="947"/>
      <c r="TPP88" s="947"/>
      <c r="TPQ88" s="947"/>
      <c r="TPR88" s="947"/>
      <c r="TPS88" s="947"/>
      <c r="TPT88" s="947"/>
      <c r="TPU88" s="947"/>
      <c r="TPV88" s="947"/>
      <c r="TPW88" s="947"/>
      <c r="TPX88" s="947"/>
      <c r="TPY88" s="947"/>
      <c r="TPZ88" s="947"/>
      <c r="TQA88" s="947"/>
      <c r="TQB88" s="947"/>
      <c r="TQC88" s="947"/>
      <c r="TQD88" s="947"/>
      <c r="TQE88" s="947"/>
      <c r="TQF88" s="947"/>
      <c r="TQG88" s="947"/>
      <c r="TQH88" s="947"/>
      <c r="TQI88" s="947"/>
      <c r="TQJ88" s="947"/>
      <c r="TQK88" s="947"/>
      <c r="TQL88" s="947"/>
      <c r="TQM88" s="947"/>
      <c r="TQN88" s="947"/>
      <c r="TQO88" s="947"/>
      <c r="TQP88" s="947"/>
      <c r="TQQ88" s="947"/>
      <c r="TQR88" s="947"/>
      <c r="TQS88" s="947"/>
      <c r="TQT88" s="947"/>
      <c r="TQU88" s="947"/>
      <c r="TQV88" s="947"/>
      <c r="TQW88" s="947"/>
      <c r="TQX88" s="947"/>
      <c r="TQY88" s="947"/>
      <c r="TQZ88" s="947"/>
      <c r="TRA88" s="947"/>
      <c r="TRB88" s="947"/>
      <c r="TRC88" s="947"/>
      <c r="TRD88" s="947"/>
      <c r="TRE88" s="947"/>
      <c r="TRF88" s="947"/>
      <c r="TRG88" s="947"/>
      <c r="TRH88" s="947"/>
      <c r="TRI88" s="947"/>
      <c r="TRJ88" s="947"/>
      <c r="TRK88" s="947"/>
      <c r="TRL88" s="947"/>
      <c r="TRM88" s="947"/>
      <c r="TRN88" s="947"/>
      <c r="TRO88" s="947"/>
      <c r="TRP88" s="947"/>
      <c r="TRQ88" s="947"/>
      <c r="TRR88" s="947"/>
      <c r="TRS88" s="947"/>
      <c r="TRT88" s="947"/>
      <c r="TRU88" s="947"/>
      <c r="TRV88" s="947"/>
      <c r="TRW88" s="947"/>
      <c r="TRX88" s="947"/>
      <c r="TRY88" s="947"/>
      <c r="TRZ88" s="947"/>
      <c r="TSA88" s="947"/>
      <c r="TSB88" s="947"/>
      <c r="TSC88" s="947"/>
      <c r="TSD88" s="947"/>
      <c r="TSE88" s="947"/>
      <c r="TSF88" s="947"/>
      <c r="TSG88" s="947"/>
      <c r="TSH88" s="947"/>
      <c r="TSI88" s="947"/>
      <c r="TSJ88" s="947"/>
      <c r="TSK88" s="947"/>
      <c r="TSL88" s="947"/>
      <c r="TSM88" s="947"/>
      <c r="TSN88" s="947"/>
      <c r="TSO88" s="947"/>
      <c r="TSP88" s="947"/>
      <c r="TSQ88" s="947"/>
      <c r="TSR88" s="947"/>
      <c r="TSS88" s="947"/>
      <c r="TST88" s="947"/>
      <c r="TSU88" s="947"/>
      <c r="TSV88" s="947"/>
      <c r="TSW88" s="947"/>
      <c r="TSX88" s="947"/>
      <c r="TSY88" s="947"/>
      <c r="TSZ88" s="947"/>
      <c r="TTA88" s="947"/>
      <c r="TTB88" s="947"/>
      <c r="TTC88" s="947"/>
      <c r="TTD88" s="947"/>
      <c r="TTE88" s="947"/>
      <c r="TTF88" s="947"/>
      <c r="TTG88" s="947"/>
      <c r="TTH88" s="947"/>
      <c r="TTI88" s="947"/>
      <c r="TTJ88" s="947"/>
      <c r="TTK88" s="947"/>
      <c r="TTL88" s="947"/>
      <c r="TTM88" s="947"/>
      <c r="TTN88" s="947"/>
      <c r="TTO88" s="947"/>
      <c r="TTP88" s="947"/>
      <c r="TTQ88" s="947"/>
      <c r="TTR88" s="947"/>
      <c r="TTS88" s="947"/>
      <c r="TTT88" s="947"/>
      <c r="TTU88" s="947"/>
      <c r="TTV88" s="947"/>
      <c r="TTW88" s="947"/>
      <c r="TTX88" s="947"/>
      <c r="TTY88" s="947"/>
      <c r="TTZ88" s="947"/>
      <c r="TUA88" s="947"/>
      <c r="TUB88" s="947"/>
      <c r="TUC88" s="947"/>
      <c r="TUD88" s="947"/>
      <c r="TUE88" s="947"/>
      <c r="TUF88" s="947"/>
      <c r="TUG88" s="947"/>
      <c r="TUH88" s="947"/>
      <c r="TUI88" s="947"/>
      <c r="TUJ88" s="947"/>
      <c r="TUK88" s="947"/>
      <c r="TUL88" s="947"/>
      <c r="TUM88" s="947"/>
      <c r="TUN88" s="947"/>
      <c r="TUO88" s="947"/>
      <c r="TUP88" s="947"/>
      <c r="TUQ88" s="947"/>
      <c r="TUR88" s="947"/>
      <c r="TUS88" s="947"/>
      <c r="TUT88" s="947"/>
      <c r="TUU88" s="947"/>
      <c r="TUV88" s="947"/>
      <c r="TUW88" s="947"/>
      <c r="TUX88" s="947"/>
      <c r="TUY88" s="947"/>
      <c r="TUZ88" s="947"/>
      <c r="TVA88" s="947"/>
      <c r="TVB88" s="947"/>
      <c r="TVC88" s="947"/>
      <c r="TVD88" s="947"/>
      <c r="TVE88" s="947"/>
      <c r="TVF88" s="947"/>
      <c r="TVG88" s="947"/>
      <c r="TVH88" s="947"/>
      <c r="TVI88" s="947"/>
      <c r="TVJ88" s="947"/>
      <c r="TVK88" s="947"/>
      <c r="TVL88" s="947"/>
      <c r="TVM88" s="947"/>
      <c r="TVN88" s="947"/>
      <c r="TVO88" s="947"/>
      <c r="TVP88" s="947"/>
      <c r="TVQ88" s="947"/>
      <c r="TVR88" s="947"/>
      <c r="TVS88" s="947"/>
      <c r="TVT88" s="947"/>
      <c r="TVU88" s="947"/>
      <c r="TVV88" s="947"/>
      <c r="TVW88" s="947"/>
      <c r="TVX88" s="947"/>
      <c r="TVY88" s="947"/>
      <c r="TVZ88" s="947"/>
      <c r="TWA88" s="947"/>
      <c r="TWB88" s="947"/>
      <c r="TWC88" s="947"/>
      <c r="TWD88" s="947"/>
      <c r="TWE88" s="947"/>
      <c r="TWF88" s="947"/>
      <c r="TWG88" s="947"/>
      <c r="TWH88" s="947"/>
      <c r="TWI88" s="947"/>
      <c r="TWJ88" s="947"/>
      <c r="TWK88" s="947"/>
      <c r="TWL88" s="947"/>
      <c r="TWM88" s="947"/>
      <c r="TWN88" s="947"/>
      <c r="TWO88" s="947"/>
      <c r="TWP88" s="947"/>
      <c r="TWQ88" s="947"/>
      <c r="TWR88" s="947"/>
      <c r="TWS88" s="947"/>
      <c r="TWT88" s="947"/>
      <c r="TWU88" s="947"/>
      <c r="TWV88" s="947"/>
      <c r="TWW88" s="947"/>
      <c r="TWX88" s="947"/>
      <c r="TWY88" s="947"/>
      <c r="TWZ88" s="947"/>
      <c r="TXA88" s="947"/>
      <c r="TXB88" s="947"/>
      <c r="TXC88" s="947"/>
      <c r="TXD88" s="947"/>
      <c r="TXE88" s="947"/>
      <c r="TXF88" s="947"/>
      <c r="TXG88" s="947"/>
      <c r="TXH88" s="947"/>
      <c r="TXI88" s="947"/>
      <c r="TXJ88" s="947"/>
      <c r="TXK88" s="947"/>
      <c r="TXL88" s="947"/>
      <c r="TXM88" s="947"/>
      <c r="TXN88" s="947"/>
      <c r="TXO88" s="947"/>
      <c r="TXP88" s="947"/>
      <c r="TXQ88" s="947"/>
      <c r="TXR88" s="947"/>
      <c r="TXS88" s="947"/>
      <c r="TXT88" s="947"/>
      <c r="TXU88" s="947"/>
      <c r="TXV88" s="947"/>
      <c r="TXW88" s="947"/>
      <c r="TXX88" s="947"/>
      <c r="TXY88" s="947"/>
      <c r="TXZ88" s="947"/>
      <c r="TYA88" s="947"/>
      <c r="TYB88" s="947"/>
      <c r="TYC88" s="947"/>
      <c r="TYD88" s="947"/>
      <c r="TYE88" s="947"/>
      <c r="TYF88" s="947"/>
      <c r="TYG88" s="947"/>
      <c r="TYH88" s="947"/>
      <c r="TYI88" s="947"/>
      <c r="TYJ88" s="947"/>
      <c r="TYK88" s="947"/>
      <c r="TYL88" s="947"/>
      <c r="TYM88" s="947"/>
      <c r="TYN88" s="947"/>
      <c r="TYO88" s="947"/>
      <c r="TYP88" s="947"/>
      <c r="TYQ88" s="947"/>
      <c r="TYR88" s="947"/>
      <c r="TYS88" s="947"/>
      <c r="TYT88" s="947"/>
      <c r="TYU88" s="947"/>
      <c r="TYV88" s="947"/>
      <c r="TYW88" s="947"/>
      <c r="TYX88" s="947"/>
      <c r="TYY88" s="947"/>
      <c r="TYZ88" s="947"/>
      <c r="TZA88" s="947"/>
      <c r="TZB88" s="947"/>
      <c r="TZC88" s="947"/>
      <c r="TZD88" s="947"/>
      <c r="TZE88" s="947"/>
      <c r="TZF88" s="947"/>
      <c r="TZG88" s="947"/>
      <c r="TZH88" s="947"/>
      <c r="TZI88" s="947"/>
      <c r="TZJ88" s="947"/>
      <c r="TZK88" s="947"/>
      <c r="TZL88" s="947"/>
      <c r="TZM88" s="947"/>
      <c r="TZN88" s="947"/>
      <c r="TZO88" s="947"/>
      <c r="TZP88" s="947"/>
      <c r="TZQ88" s="947"/>
      <c r="TZR88" s="947"/>
      <c r="TZS88" s="947"/>
      <c r="TZT88" s="947"/>
      <c r="TZU88" s="947"/>
      <c r="TZV88" s="947"/>
      <c r="TZW88" s="947"/>
      <c r="TZX88" s="947"/>
      <c r="TZY88" s="947"/>
      <c r="TZZ88" s="947"/>
      <c r="UAA88" s="947"/>
      <c r="UAB88" s="947"/>
      <c r="UAC88" s="947"/>
      <c r="UAD88" s="947"/>
      <c r="UAE88" s="947"/>
      <c r="UAF88" s="947"/>
      <c r="UAG88" s="947"/>
      <c r="UAH88" s="947"/>
      <c r="UAI88" s="947"/>
      <c r="UAJ88" s="947"/>
      <c r="UAK88" s="947"/>
      <c r="UAL88" s="947"/>
      <c r="UAM88" s="947"/>
      <c r="UAN88" s="947"/>
      <c r="UAO88" s="947"/>
      <c r="UAP88" s="947"/>
      <c r="UAQ88" s="947"/>
      <c r="UAR88" s="947"/>
      <c r="UAS88" s="947"/>
      <c r="UAT88" s="947"/>
      <c r="UAU88" s="947"/>
      <c r="UAV88" s="947"/>
      <c r="UAW88" s="947"/>
      <c r="UAX88" s="947"/>
      <c r="UAY88" s="947"/>
      <c r="UAZ88" s="947"/>
      <c r="UBA88" s="947"/>
      <c r="UBB88" s="947"/>
      <c r="UBC88" s="947"/>
      <c r="UBD88" s="947"/>
      <c r="UBE88" s="947"/>
      <c r="UBF88" s="947"/>
      <c r="UBG88" s="947"/>
      <c r="UBH88" s="947"/>
      <c r="UBI88" s="947"/>
      <c r="UBJ88" s="947"/>
      <c r="UBK88" s="947"/>
      <c r="UBL88" s="947"/>
      <c r="UBM88" s="947"/>
      <c r="UBN88" s="947"/>
      <c r="UBO88" s="947"/>
      <c r="UBP88" s="947"/>
      <c r="UBQ88" s="947"/>
      <c r="UBR88" s="947"/>
      <c r="UBS88" s="947"/>
      <c r="UBT88" s="947"/>
      <c r="UBU88" s="947"/>
      <c r="UBV88" s="947"/>
      <c r="UBW88" s="947"/>
      <c r="UBX88" s="947"/>
      <c r="UBY88" s="947"/>
      <c r="UBZ88" s="947"/>
      <c r="UCA88" s="947"/>
      <c r="UCB88" s="947"/>
      <c r="UCC88" s="947"/>
      <c r="UCD88" s="947"/>
      <c r="UCE88" s="947"/>
      <c r="UCF88" s="947"/>
      <c r="UCG88" s="947"/>
      <c r="UCH88" s="947"/>
      <c r="UCI88" s="947"/>
      <c r="UCJ88" s="947"/>
      <c r="UCK88" s="947"/>
      <c r="UCL88" s="947"/>
      <c r="UCM88" s="947"/>
      <c r="UCN88" s="947"/>
      <c r="UCO88" s="947"/>
      <c r="UCP88" s="947"/>
      <c r="UCQ88" s="947"/>
      <c r="UCR88" s="947"/>
      <c r="UCS88" s="947"/>
      <c r="UCT88" s="947"/>
      <c r="UCU88" s="947"/>
      <c r="UCV88" s="947"/>
      <c r="UCW88" s="947"/>
      <c r="UCX88" s="947"/>
      <c r="UCY88" s="947"/>
      <c r="UCZ88" s="947"/>
      <c r="UDA88" s="947"/>
      <c r="UDB88" s="947"/>
      <c r="UDC88" s="947"/>
      <c r="UDD88" s="947"/>
      <c r="UDE88" s="947"/>
      <c r="UDF88" s="947"/>
      <c r="UDG88" s="947"/>
      <c r="UDH88" s="947"/>
      <c r="UDI88" s="947"/>
      <c r="UDJ88" s="947"/>
      <c r="UDK88" s="947"/>
      <c r="UDL88" s="947"/>
      <c r="UDM88" s="947"/>
      <c r="UDN88" s="947"/>
      <c r="UDO88" s="947"/>
      <c r="UDP88" s="947"/>
      <c r="UDQ88" s="947"/>
      <c r="UDR88" s="947"/>
      <c r="UDS88" s="947"/>
      <c r="UDT88" s="947"/>
      <c r="UDU88" s="947"/>
      <c r="UDV88" s="947"/>
      <c r="UDW88" s="947"/>
      <c r="UDX88" s="947"/>
      <c r="UDY88" s="947"/>
      <c r="UDZ88" s="947"/>
      <c r="UEA88" s="947"/>
      <c r="UEB88" s="947"/>
      <c r="UEC88" s="947"/>
      <c r="UED88" s="947"/>
      <c r="UEE88" s="947"/>
      <c r="UEF88" s="947"/>
      <c r="UEG88" s="947"/>
      <c r="UEH88" s="947"/>
      <c r="UEI88" s="947"/>
      <c r="UEJ88" s="947"/>
      <c r="UEK88" s="947"/>
      <c r="UEL88" s="947"/>
      <c r="UEM88" s="947"/>
      <c r="UEN88" s="947"/>
      <c r="UEO88" s="947"/>
      <c r="UEP88" s="947"/>
      <c r="UEQ88" s="947"/>
      <c r="UER88" s="947"/>
      <c r="UES88" s="947"/>
      <c r="UET88" s="947"/>
      <c r="UEU88" s="947"/>
      <c r="UEV88" s="947"/>
      <c r="UEW88" s="947"/>
      <c r="UEX88" s="947"/>
      <c r="UEY88" s="947"/>
      <c r="UEZ88" s="947"/>
      <c r="UFA88" s="947"/>
      <c r="UFB88" s="947"/>
      <c r="UFC88" s="947"/>
      <c r="UFD88" s="947"/>
      <c r="UFE88" s="947"/>
      <c r="UFF88" s="947"/>
      <c r="UFG88" s="947"/>
      <c r="UFH88" s="947"/>
      <c r="UFI88" s="947"/>
      <c r="UFJ88" s="947"/>
      <c r="UFK88" s="947"/>
      <c r="UFL88" s="947"/>
      <c r="UFM88" s="947"/>
      <c r="UFN88" s="947"/>
      <c r="UFO88" s="947"/>
      <c r="UFP88" s="947"/>
      <c r="UFQ88" s="947"/>
      <c r="UFR88" s="947"/>
      <c r="UFS88" s="947"/>
      <c r="UFT88" s="947"/>
      <c r="UFU88" s="947"/>
      <c r="UFV88" s="947"/>
      <c r="UFW88" s="947"/>
      <c r="UFX88" s="947"/>
      <c r="UFY88" s="947"/>
      <c r="UFZ88" s="947"/>
      <c r="UGA88" s="947"/>
      <c r="UGB88" s="947"/>
      <c r="UGC88" s="947"/>
      <c r="UGD88" s="947"/>
      <c r="UGE88" s="947"/>
      <c r="UGF88" s="947"/>
      <c r="UGG88" s="947"/>
      <c r="UGH88" s="947"/>
      <c r="UGI88" s="947"/>
      <c r="UGJ88" s="947"/>
      <c r="UGK88" s="947"/>
      <c r="UGL88" s="947"/>
      <c r="UGM88" s="947"/>
      <c r="UGN88" s="947"/>
      <c r="UGO88" s="947"/>
      <c r="UGP88" s="947"/>
      <c r="UGQ88" s="947"/>
      <c r="UGR88" s="947"/>
      <c r="UGS88" s="947"/>
      <c r="UGT88" s="947"/>
      <c r="UGU88" s="947"/>
      <c r="UGV88" s="947"/>
      <c r="UGW88" s="947"/>
      <c r="UGX88" s="947"/>
      <c r="UGY88" s="947"/>
      <c r="UGZ88" s="947"/>
      <c r="UHA88" s="947"/>
      <c r="UHB88" s="947"/>
      <c r="UHC88" s="947"/>
      <c r="UHD88" s="947"/>
      <c r="UHE88" s="947"/>
      <c r="UHF88" s="947"/>
      <c r="UHG88" s="947"/>
      <c r="UHH88" s="947"/>
      <c r="UHI88" s="947"/>
      <c r="UHJ88" s="947"/>
      <c r="UHK88" s="947"/>
      <c r="UHL88" s="947"/>
      <c r="UHM88" s="947"/>
      <c r="UHN88" s="947"/>
      <c r="UHO88" s="947"/>
      <c r="UHP88" s="947"/>
      <c r="UHQ88" s="947"/>
      <c r="UHR88" s="947"/>
      <c r="UHS88" s="947"/>
      <c r="UHT88" s="947"/>
      <c r="UHU88" s="947"/>
      <c r="UHV88" s="947"/>
      <c r="UHW88" s="947"/>
      <c r="UHX88" s="947"/>
      <c r="UHY88" s="947"/>
      <c r="UHZ88" s="947"/>
      <c r="UIA88" s="947"/>
      <c r="UIB88" s="947"/>
      <c r="UIC88" s="947"/>
      <c r="UID88" s="947"/>
      <c r="UIE88" s="947"/>
      <c r="UIF88" s="947"/>
      <c r="UIG88" s="947"/>
      <c r="UIH88" s="947"/>
      <c r="UII88" s="947"/>
      <c r="UIJ88" s="947"/>
      <c r="UIK88" s="947"/>
      <c r="UIL88" s="947"/>
      <c r="UIM88" s="947"/>
      <c r="UIN88" s="947"/>
      <c r="UIO88" s="947"/>
      <c r="UIP88" s="947"/>
      <c r="UIQ88" s="947"/>
      <c r="UIR88" s="947"/>
      <c r="UIS88" s="947"/>
      <c r="UIT88" s="947"/>
      <c r="UIU88" s="947"/>
      <c r="UIV88" s="947"/>
      <c r="UIW88" s="947"/>
      <c r="UIX88" s="947"/>
      <c r="UIY88" s="947"/>
      <c r="UIZ88" s="947"/>
      <c r="UJA88" s="947"/>
      <c r="UJB88" s="947"/>
      <c r="UJC88" s="947"/>
      <c r="UJD88" s="947"/>
      <c r="UJE88" s="947"/>
      <c r="UJF88" s="947"/>
      <c r="UJG88" s="947"/>
      <c r="UJH88" s="947"/>
      <c r="UJI88" s="947"/>
      <c r="UJJ88" s="947"/>
      <c r="UJK88" s="947"/>
      <c r="UJL88" s="947"/>
      <c r="UJM88" s="947"/>
      <c r="UJN88" s="947"/>
      <c r="UJO88" s="947"/>
      <c r="UJP88" s="947"/>
      <c r="UJQ88" s="947"/>
      <c r="UJR88" s="947"/>
      <c r="UJS88" s="947"/>
      <c r="UJT88" s="947"/>
      <c r="UJU88" s="947"/>
      <c r="UJV88" s="947"/>
      <c r="UJW88" s="947"/>
      <c r="UJX88" s="947"/>
      <c r="UJY88" s="947"/>
      <c r="UJZ88" s="947"/>
      <c r="UKA88" s="947"/>
      <c r="UKB88" s="947"/>
      <c r="UKC88" s="947"/>
      <c r="UKD88" s="947"/>
      <c r="UKE88" s="947"/>
      <c r="UKF88" s="947"/>
      <c r="UKG88" s="947"/>
      <c r="UKH88" s="947"/>
      <c r="UKI88" s="947"/>
      <c r="UKJ88" s="947"/>
      <c r="UKK88" s="947"/>
      <c r="UKL88" s="947"/>
      <c r="UKM88" s="947"/>
      <c r="UKN88" s="947"/>
      <c r="UKO88" s="947"/>
      <c r="UKP88" s="947"/>
      <c r="UKQ88" s="947"/>
      <c r="UKR88" s="947"/>
      <c r="UKS88" s="947"/>
      <c r="UKT88" s="947"/>
      <c r="UKU88" s="947"/>
      <c r="UKV88" s="947"/>
      <c r="UKW88" s="947"/>
      <c r="UKX88" s="947"/>
      <c r="UKY88" s="947"/>
      <c r="UKZ88" s="947"/>
      <c r="ULA88" s="947"/>
      <c r="ULB88" s="947"/>
      <c r="ULC88" s="947"/>
      <c r="ULD88" s="947"/>
      <c r="ULE88" s="947"/>
      <c r="ULF88" s="947"/>
      <c r="ULG88" s="947"/>
      <c r="ULH88" s="947"/>
      <c r="ULI88" s="947"/>
      <c r="ULJ88" s="947"/>
      <c r="ULK88" s="947"/>
      <c r="ULL88" s="947"/>
      <c r="ULM88" s="947"/>
      <c r="ULN88" s="947"/>
      <c r="ULO88" s="947"/>
      <c r="ULP88" s="947"/>
      <c r="ULQ88" s="947"/>
      <c r="ULR88" s="947"/>
      <c r="ULS88" s="947"/>
      <c r="ULT88" s="947"/>
      <c r="ULU88" s="947"/>
      <c r="ULV88" s="947"/>
      <c r="ULW88" s="947"/>
      <c r="ULX88" s="947"/>
      <c r="ULY88" s="947"/>
      <c r="ULZ88" s="947"/>
      <c r="UMA88" s="947"/>
      <c r="UMB88" s="947"/>
      <c r="UMC88" s="947"/>
      <c r="UMD88" s="947"/>
      <c r="UME88" s="947"/>
      <c r="UMF88" s="947"/>
      <c r="UMG88" s="947"/>
      <c r="UMH88" s="947"/>
      <c r="UMI88" s="947"/>
      <c r="UMJ88" s="947"/>
      <c r="UMK88" s="947"/>
      <c r="UML88" s="947"/>
      <c r="UMM88" s="947"/>
      <c r="UMN88" s="947"/>
      <c r="UMO88" s="947"/>
      <c r="UMP88" s="947"/>
      <c r="UMQ88" s="947"/>
      <c r="UMR88" s="947"/>
      <c r="UMS88" s="947"/>
      <c r="UMT88" s="947"/>
      <c r="UMU88" s="947"/>
      <c r="UMV88" s="947"/>
      <c r="UMW88" s="947"/>
      <c r="UMX88" s="947"/>
      <c r="UMY88" s="947"/>
      <c r="UMZ88" s="947"/>
      <c r="UNA88" s="947"/>
      <c r="UNB88" s="947"/>
      <c r="UNC88" s="947"/>
      <c r="UND88" s="947"/>
      <c r="UNE88" s="947"/>
      <c r="UNF88" s="947"/>
      <c r="UNG88" s="947"/>
      <c r="UNH88" s="947"/>
      <c r="UNI88" s="947"/>
      <c r="UNJ88" s="947"/>
      <c r="UNK88" s="947"/>
      <c r="UNL88" s="947"/>
      <c r="UNM88" s="947"/>
      <c r="UNN88" s="947"/>
      <c r="UNO88" s="947"/>
      <c r="UNP88" s="947"/>
      <c r="UNQ88" s="947"/>
      <c r="UNR88" s="947"/>
      <c r="UNS88" s="947"/>
      <c r="UNT88" s="947"/>
      <c r="UNU88" s="947"/>
      <c r="UNV88" s="947"/>
      <c r="UNW88" s="947"/>
      <c r="UNX88" s="947"/>
      <c r="UNY88" s="947"/>
      <c r="UNZ88" s="947"/>
      <c r="UOA88" s="947"/>
      <c r="UOB88" s="947"/>
      <c r="UOC88" s="947"/>
      <c r="UOD88" s="947"/>
      <c r="UOE88" s="947"/>
      <c r="UOF88" s="947"/>
      <c r="UOG88" s="947"/>
      <c r="UOH88" s="947"/>
      <c r="UOI88" s="947"/>
      <c r="UOJ88" s="947"/>
      <c r="UOK88" s="947"/>
      <c r="UOL88" s="947"/>
      <c r="UOM88" s="947"/>
      <c r="UON88" s="947"/>
      <c r="UOO88" s="947"/>
      <c r="UOP88" s="947"/>
      <c r="UOQ88" s="947"/>
      <c r="UOR88" s="947"/>
      <c r="UOS88" s="947"/>
      <c r="UOT88" s="947"/>
      <c r="UOU88" s="947"/>
      <c r="UOV88" s="947"/>
      <c r="UOW88" s="947"/>
      <c r="UOX88" s="947"/>
      <c r="UOY88" s="947"/>
      <c r="UOZ88" s="947"/>
      <c r="UPA88" s="947"/>
      <c r="UPB88" s="947"/>
      <c r="UPC88" s="947"/>
      <c r="UPD88" s="947"/>
      <c r="UPE88" s="947"/>
      <c r="UPF88" s="947"/>
      <c r="UPG88" s="947"/>
      <c r="UPH88" s="947"/>
      <c r="UPI88" s="947"/>
      <c r="UPJ88" s="947"/>
      <c r="UPK88" s="947"/>
      <c r="UPL88" s="947"/>
      <c r="UPM88" s="947"/>
      <c r="UPN88" s="947"/>
      <c r="UPO88" s="947"/>
      <c r="UPP88" s="947"/>
      <c r="UPQ88" s="947"/>
      <c r="UPR88" s="947"/>
      <c r="UPS88" s="947"/>
      <c r="UPT88" s="947"/>
      <c r="UPU88" s="947"/>
      <c r="UPV88" s="947"/>
      <c r="UPW88" s="947"/>
      <c r="UPX88" s="947"/>
      <c r="UPY88" s="947"/>
      <c r="UPZ88" s="947"/>
      <c r="UQA88" s="947"/>
      <c r="UQB88" s="947"/>
      <c r="UQC88" s="947"/>
      <c r="UQD88" s="947"/>
      <c r="UQE88" s="947"/>
      <c r="UQF88" s="947"/>
      <c r="UQG88" s="947"/>
      <c r="UQH88" s="947"/>
      <c r="UQI88" s="947"/>
      <c r="UQJ88" s="947"/>
      <c r="UQK88" s="947"/>
      <c r="UQL88" s="947"/>
      <c r="UQM88" s="947"/>
      <c r="UQN88" s="947"/>
      <c r="UQO88" s="947"/>
      <c r="UQP88" s="947"/>
      <c r="UQQ88" s="947"/>
      <c r="UQR88" s="947"/>
      <c r="UQS88" s="947"/>
      <c r="UQT88" s="947"/>
      <c r="UQU88" s="947"/>
      <c r="UQV88" s="947"/>
      <c r="UQW88" s="947"/>
      <c r="UQX88" s="947"/>
      <c r="UQY88" s="947"/>
      <c r="UQZ88" s="947"/>
      <c r="URA88" s="947"/>
      <c r="URB88" s="947"/>
      <c r="URC88" s="947"/>
      <c r="URD88" s="947"/>
      <c r="URE88" s="947"/>
      <c r="URF88" s="947"/>
      <c r="URG88" s="947"/>
      <c r="URH88" s="947"/>
      <c r="URI88" s="947"/>
      <c r="URJ88" s="947"/>
      <c r="URK88" s="947"/>
      <c r="URL88" s="947"/>
      <c r="URM88" s="947"/>
      <c r="URN88" s="947"/>
      <c r="URO88" s="947"/>
      <c r="URP88" s="947"/>
      <c r="URQ88" s="947"/>
      <c r="URR88" s="947"/>
      <c r="URS88" s="947"/>
      <c r="URT88" s="947"/>
      <c r="URU88" s="947"/>
      <c r="URV88" s="947"/>
      <c r="URW88" s="947"/>
      <c r="URX88" s="947"/>
      <c r="URY88" s="947"/>
      <c r="URZ88" s="947"/>
      <c r="USA88" s="947"/>
      <c r="USB88" s="947"/>
      <c r="USC88" s="947"/>
      <c r="USD88" s="947"/>
      <c r="USE88" s="947"/>
      <c r="USF88" s="947"/>
      <c r="USG88" s="947"/>
      <c r="USH88" s="947"/>
      <c r="USI88" s="947"/>
      <c r="USJ88" s="947"/>
      <c r="USK88" s="947"/>
      <c r="USL88" s="947"/>
      <c r="USM88" s="947"/>
      <c r="USN88" s="947"/>
      <c r="USO88" s="947"/>
      <c r="USP88" s="947"/>
      <c r="USQ88" s="947"/>
      <c r="USR88" s="947"/>
      <c r="USS88" s="947"/>
      <c r="UST88" s="947"/>
      <c r="USU88" s="947"/>
      <c r="USV88" s="947"/>
      <c r="USW88" s="947"/>
      <c r="USX88" s="947"/>
      <c r="USY88" s="947"/>
      <c r="USZ88" s="947"/>
      <c r="UTA88" s="947"/>
      <c r="UTB88" s="947"/>
      <c r="UTC88" s="947"/>
      <c r="UTD88" s="947"/>
      <c r="UTE88" s="947"/>
      <c r="UTF88" s="947"/>
      <c r="UTG88" s="947"/>
      <c r="UTH88" s="947"/>
      <c r="UTI88" s="947"/>
      <c r="UTJ88" s="947"/>
      <c r="UTK88" s="947"/>
      <c r="UTL88" s="947"/>
      <c r="UTM88" s="947"/>
      <c r="UTN88" s="947"/>
      <c r="UTO88" s="947"/>
      <c r="UTP88" s="947"/>
      <c r="UTQ88" s="947"/>
      <c r="UTR88" s="947"/>
      <c r="UTS88" s="947"/>
      <c r="UTT88" s="947"/>
      <c r="UTU88" s="947"/>
      <c r="UTV88" s="947"/>
      <c r="UTW88" s="947"/>
      <c r="UTX88" s="947"/>
      <c r="UTY88" s="947"/>
      <c r="UTZ88" s="947"/>
      <c r="UUA88" s="947"/>
      <c r="UUB88" s="947"/>
      <c r="UUC88" s="947"/>
      <c r="UUD88" s="947"/>
      <c r="UUE88" s="947"/>
      <c r="UUF88" s="947"/>
      <c r="UUG88" s="947"/>
      <c r="UUH88" s="947"/>
      <c r="UUI88" s="947"/>
      <c r="UUJ88" s="947"/>
      <c r="UUK88" s="947"/>
      <c r="UUL88" s="947"/>
      <c r="UUM88" s="947"/>
      <c r="UUN88" s="947"/>
      <c r="UUO88" s="947"/>
      <c r="UUP88" s="947"/>
      <c r="UUQ88" s="947"/>
      <c r="UUR88" s="947"/>
      <c r="UUS88" s="947"/>
      <c r="UUT88" s="947"/>
      <c r="UUU88" s="947"/>
      <c r="UUV88" s="947"/>
      <c r="UUW88" s="947"/>
      <c r="UUX88" s="947"/>
      <c r="UUY88" s="947"/>
      <c r="UUZ88" s="947"/>
      <c r="UVA88" s="947"/>
      <c r="UVB88" s="947"/>
      <c r="UVC88" s="947"/>
      <c r="UVD88" s="947"/>
      <c r="UVE88" s="947"/>
      <c r="UVF88" s="947"/>
      <c r="UVG88" s="947"/>
      <c r="UVH88" s="947"/>
      <c r="UVI88" s="947"/>
      <c r="UVJ88" s="947"/>
      <c r="UVK88" s="947"/>
      <c r="UVL88" s="947"/>
      <c r="UVM88" s="947"/>
      <c r="UVN88" s="947"/>
      <c r="UVO88" s="947"/>
      <c r="UVP88" s="947"/>
      <c r="UVQ88" s="947"/>
      <c r="UVR88" s="947"/>
      <c r="UVS88" s="947"/>
      <c r="UVT88" s="947"/>
      <c r="UVU88" s="947"/>
      <c r="UVV88" s="947"/>
      <c r="UVW88" s="947"/>
      <c r="UVX88" s="947"/>
      <c r="UVY88" s="947"/>
      <c r="UVZ88" s="947"/>
      <c r="UWA88" s="947"/>
      <c r="UWB88" s="947"/>
      <c r="UWC88" s="947"/>
      <c r="UWD88" s="947"/>
      <c r="UWE88" s="947"/>
      <c r="UWF88" s="947"/>
      <c r="UWG88" s="947"/>
      <c r="UWH88" s="947"/>
      <c r="UWI88" s="947"/>
      <c r="UWJ88" s="947"/>
      <c r="UWK88" s="947"/>
      <c r="UWL88" s="947"/>
      <c r="UWM88" s="947"/>
      <c r="UWN88" s="947"/>
      <c r="UWO88" s="947"/>
      <c r="UWP88" s="947"/>
      <c r="UWQ88" s="947"/>
      <c r="UWR88" s="947"/>
      <c r="UWS88" s="947"/>
      <c r="UWT88" s="947"/>
      <c r="UWU88" s="947"/>
      <c r="UWV88" s="947"/>
      <c r="UWW88" s="947"/>
      <c r="UWX88" s="947"/>
      <c r="UWY88" s="947"/>
      <c r="UWZ88" s="947"/>
      <c r="UXA88" s="947"/>
      <c r="UXB88" s="947"/>
      <c r="UXC88" s="947"/>
      <c r="UXD88" s="947"/>
      <c r="UXE88" s="947"/>
      <c r="UXF88" s="947"/>
      <c r="UXG88" s="947"/>
      <c r="UXH88" s="947"/>
      <c r="UXI88" s="947"/>
      <c r="UXJ88" s="947"/>
      <c r="UXK88" s="947"/>
      <c r="UXL88" s="947"/>
      <c r="UXM88" s="947"/>
      <c r="UXN88" s="947"/>
      <c r="UXO88" s="947"/>
      <c r="UXP88" s="947"/>
      <c r="UXQ88" s="947"/>
      <c r="UXR88" s="947"/>
      <c r="UXS88" s="947"/>
      <c r="UXT88" s="947"/>
      <c r="UXU88" s="947"/>
      <c r="UXV88" s="947"/>
      <c r="UXW88" s="947"/>
      <c r="UXX88" s="947"/>
      <c r="UXY88" s="947"/>
      <c r="UXZ88" s="947"/>
      <c r="UYA88" s="947"/>
      <c r="UYB88" s="947"/>
      <c r="UYC88" s="947"/>
      <c r="UYD88" s="947"/>
      <c r="UYE88" s="947"/>
      <c r="UYF88" s="947"/>
      <c r="UYG88" s="947"/>
      <c r="UYH88" s="947"/>
      <c r="UYI88" s="947"/>
      <c r="UYJ88" s="947"/>
      <c r="UYK88" s="947"/>
      <c r="UYL88" s="947"/>
      <c r="UYM88" s="947"/>
      <c r="UYN88" s="947"/>
      <c r="UYO88" s="947"/>
      <c r="UYP88" s="947"/>
      <c r="UYQ88" s="947"/>
      <c r="UYR88" s="947"/>
      <c r="UYS88" s="947"/>
      <c r="UYT88" s="947"/>
      <c r="UYU88" s="947"/>
      <c r="UYV88" s="947"/>
      <c r="UYW88" s="947"/>
      <c r="UYX88" s="947"/>
      <c r="UYY88" s="947"/>
      <c r="UYZ88" s="947"/>
      <c r="UZA88" s="947"/>
      <c r="UZB88" s="947"/>
      <c r="UZC88" s="947"/>
      <c r="UZD88" s="947"/>
      <c r="UZE88" s="947"/>
      <c r="UZF88" s="947"/>
      <c r="UZG88" s="947"/>
      <c r="UZH88" s="947"/>
      <c r="UZI88" s="947"/>
      <c r="UZJ88" s="947"/>
      <c r="UZK88" s="947"/>
      <c r="UZL88" s="947"/>
      <c r="UZM88" s="947"/>
      <c r="UZN88" s="947"/>
      <c r="UZO88" s="947"/>
      <c r="UZP88" s="947"/>
      <c r="UZQ88" s="947"/>
      <c r="UZR88" s="947"/>
      <c r="UZS88" s="947"/>
      <c r="UZT88" s="947"/>
      <c r="UZU88" s="947"/>
      <c r="UZV88" s="947"/>
      <c r="UZW88" s="947"/>
      <c r="UZX88" s="947"/>
      <c r="UZY88" s="947"/>
      <c r="UZZ88" s="947"/>
      <c r="VAA88" s="947"/>
      <c r="VAB88" s="947"/>
      <c r="VAC88" s="947"/>
      <c r="VAD88" s="947"/>
      <c r="VAE88" s="947"/>
      <c r="VAF88" s="947"/>
      <c r="VAG88" s="947"/>
      <c r="VAH88" s="947"/>
      <c r="VAI88" s="947"/>
      <c r="VAJ88" s="947"/>
      <c r="VAK88" s="947"/>
      <c r="VAL88" s="947"/>
      <c r="VAM88" s="947"/>
      <c r="VAN88" s="947"/>
      <c r="VAO88" s="947"/>
      <c r="VAP88" s="947"/>
      <c r="VAQ88" s="947"/>
      <c r="VAR88" s="947"/>
      <c r="VAS88" s="947"/>
      <c r="VAT88" s="947"/>
      <c r="VAU88" s="947"/>
      <c r="VAV88" s="947"/>
      <c r="VAW88" s="947"/>
      <c r="VAX88" s="947"/>
      <c r="VAY88" s="947"/>
      <c r="VAZ88" s="947"/>
      <c r="VBA88" s="947"/>
      <c r="VBB88" s="947"/>
      <c r="VBC88" s="947"/>
      <c r="VBD88" s="947"/>
      <c r="VBE88" s="947"/>
      <c r="VBF88" s="947"/>
      <c r="VBG88" s="947"/>
      <c r="VBH88" s="947"/>
      <c r="VBI88" s="947"/>
      <c r="VBJ88" s="947"/>
      <c r="VBK88" s="947"/>
      <c r="VBL88" s="947"/>
      <c r="VBM88" s="947"/>
      <c r="VBN88" s="947"/>
      <c r="VBO88" s="947"/>
      <c r="VBP88" s="947"/>
      <c r="VBQ88" s="947"/>
      <c r="VBR88" s="947"/>
      <c r="VBS88" s="947"/>
      <c r="VBT88" s="947"/>
      <c r="VBU88" s="947"/>
      <c r="VBV88" s="947"/>
      <c r="VBW88" s="947"/>
      <c r="VBX88" s="947"/>
      <c r="VBY88" s="947"/>
      <c r="VBZ88" s="947"/>
      <c r="VCA88" s="947"/>
      <c r="VCB88" s="947"/>
      <c r="VCC88" s="947"/>
      <c r="VCD88" s="947"/>
      <c r="VCE88" s="947"/>
      <c r="VCF88" s="947"/>
      <c r="VCG88" s="947"/>
      <c r="VCH88" s="947"/>
      <c r="VCI88" s="947"/>
      <c r="VCJ88" s="947"/>
      <c r="VCK88" s="947"/>
      <c r="VCL88" s="947"/>
      <c r="VCM88" s="947"/>
      <c r="VCN88" s="947"/>
      <c r="VCO88" s="947"/>
      <c r="VCP88" s="947"/>
      <c r="VCQ88" s="947"/>
      <c r="VCR88" s="947"/>
      <c r="VCS88" s="947"/>
      <c r="VCT88" s="947"/>
      <c r="VCU88" s="947"/>
      <c r="VCV88" s="947"/>
      <c r="VCW88" s="947"/>
      <c r="VCX88" s="947"/>
      <c r="VCY88" s="947"/>
      <c r="VCZ88" s="947"/>
      <c r="VDA88" s="947"/>
      <c r="VDB88" s="947"/>
      <c r="VDC88" s="947"/>
      <c r="VDD88" s="947"/>
      <c r="VDE88" s="947"/>
      <c r="VDF88" s="947"/>
      <c r="VDG88" s="947"/>
      <c r="VDH88" s="947"/>
      <c r="VDI88" s="947"/>
      <c r="VDJ88" s="947"/>
      <c r="VDK88" s="947"/>
      <c r="VDL88" s="947"/>
      <c r="VDM88" s="947"/>
      <c r="VDN88" s="947"/>
      <c r="VDO88" s="947"/>
      <c r="VDP88" s="947"/>
      <c r="VDQ88" s="947"/>
      <c r="VDR88" s="947"/>
      <c r="VDS88" s="947"/>
      <c r="VDT88" s="947"/>
      <c r="VDU88" s="947"/>
      <c r="VDV88" s="947"/>
      <c r="VDW88" s="947"/>
      <c r="VDX88" s="947"/>
      <c r="VDY88" s="947"/>
      <c r="VDZ88" s="947"/>
      <c r="VEA88" s="947"/>
      <c r="VEB88" s="947"/>
      <c r="VEC88" s="947"/>
      <c r="VED88" s="947"/>
      <c r="VEE88" s="947"/>
      <c r="VEF88" s="947"/>
      <c r="VEG88" s="947"/>
      <c r="VEH88" s="947"/>
      <c r="VEI88" s="947"/>
      <c r="VEJ88" s="947"/>
      <c r="VEK88" s="947"/>
      <c r="VEL88" s="947"/>
      <c r="VEM88" s="947"/>
      <c r="VEN88" s="947"/>
      <c r="VEO88" s="947"/>
      <c r="VEP88" s="947"/>
      <c r="VEQ88" s="947"/>
      <c r="VER88" s="947"/>
      <c r="VES88" s="947"/>
      <c r="VET88" s="947"/>
      <c r="VEU88" s="947"/>
      <c r="VEV88" s="947"/>
      <c r="VEW88" s="947"/>
      <c r="VEX88" s="947"/>
      <c r="VEY88" s="947"/>
      <c r="VEZ88" s="947"/>
      <c r="VFA88" s="947"/>
      <c r="VFB88" s="947"/>
      <c r="VFC88" s="947"/>
      <c r="VFD88" s="947"/>
      <c r="VFE88" s="947"/>
      <c r="VFF88" s="947"/>
      <c r="VFG88" s="947"/>
      <c r="VFH88" s="947"/>
      <c r="VFI88" s="947"/>
      <c r="VFJ88" s="947"/>
      <c r="VFK88" s="947"/>
      <c r="VFL88" s="947"/>
      <c r="VFM88" s="947"/>
      <c r="VFN88" s="947"/>
      <c r="VFO88" s="947"/>
      <c r="VFP88" s="947"/>
      <c r="VFQ88" s="947"/>
      <c r="VFR88" s="947"/>
      <c r="VFS88" s="947"/>
      <c r="VFT88" s="947"/>
      <c r="VFU88" s="947"/>
      <c r="VFV88" s="947"/>
      <c r="VFW88" s="947"/>
      <c r="VFX88" s="947"/>
      <c r="VFY88" s="947"/>
      <c r="VFZ88" s="947"/>
      <c r="VGA88" s="947"/>
      <c r="VGB88" s="947"/>
      <c r="VGC88" s="947"/>
      <c r="VGD88" s="947"/>
      <c r="VGE88" s="947"/>
      <c r="VGF88" s="947"/>
      <c r="VGG88" s="947"/>
      <c r="VGH88" s="947"/>
      <c r="VGI88" s="947"/>
      <c r="VGJ88" s="947"/>
      <c r="VGK88" s="947"/>
      <c r="VGL88" s="947"/>
      <c r="VGM88" s="947"/>
      <c r="VGN88" s="947"/>
      <c r="VGO88" s="947"/>
      <c r="VGP88" s="947"/>
      <c r="VGQ88" s="947"/>
      <c r="VGR88" s="947"/>
      <c r="VGS88" s="947"/>
      <c r="VGT88" s="947"/>
      <c r="VGU88" s="947"/>
      <c r="VGV88" s="947"/>
      <c r="VGW88" s="947"/>
      <c r="VGX88" s="947"/>
      <c r="VGY88" s="947"/>
      <c r="VGZ88" s="947"/>
      <c r="VHA88" s="947"/>
      <c r="VHB88" s="947"/>
      <c r="VHC88" s="947"/>
      <c r="VHD88" s="947"/>
      <c r="VHE88" s="947"/>
      <c r="VHF88" s="947"/>
      <c r="VHG88" s="947"/>
      <c r="VHH88" s="947"/>
      <c r="VHI88" s="947"/>
      <c r="VHJ88" s="947"/>
      <c r="VHK88" s="947"/>
      <c r="VHL88" s="947"/>
      <c r="VHM88" s="947"/>
      <c r="VHN88" s="947"/>
      <c r="VHO88" s="947"/>
      <c r="VHP88" s="947"/>
      <c r="VHQ88" s="947"/>
      <c r="VHR88" s="947"/>
      <c r="VHS88" s="947"/>
      <c r="VHT88" s="947"/>
      <c r="VHU88" s="947"/>
      <c r="VHV88" s="947"/>
      <c r="VHW88" s="947"/>
      <c r="VHX88" s="947"/>
      <c r="VHY88" s="947"/>
      <c r="VHZ88" s="947"/>
      <c r="VIA88" s="947"/>
      <c r="VIB88" s="947"/>
      <c r="VIC88" s="947"/>
      <c r="VID88" s="947"/>
      <c r="VIE88" s="947"/>
      <c r="VIF88" s="947"/>
      <c r="VIG88" s="947"/>
      <c r="VIH88" s="947"/>
      <c r="VII88" s="947"/>
      <c r="VIJ88" s="947"/>
      <c r="VIK88" s="947"/>
      <c r="VIL88" s="947"/>
      <c r="VIM88" s="947"/>
      <c r="VIN88" s="947"/>
      <c r="VIO88" s="947"/>
      <c r="VIP88" s="947"/>
      <c r="VIQ88" s="947"/>
      <c r="VIR88" s="947"/>
      <c r="VIS88" s="947"/>
      <c r="VIT88" s="947"/>
      <c r="VIU88" s="947"/>
      <c r="VIV88" s="947"/>
      <c r="VIW88" s="947"/>
      <c r="VIX88" s="947"/>
      <c r="VIY88" s="947"/>
      <c r="VIZ88" s="947"/>
      <c r="VJA88" s="947"/>
      <c r="VJB88" s="947"/>
      <c r="VJC88" s="947"/>
      <c r="VJD88" s="947"/>
      <c r="VJE88" s="947"/>
      <c r="VJF88" s="947"/>
      <c r="VJG88" s="947"/>
      <c r="VJH88" s="947"/>
      <c r="VJI88" s="947"/>
      <c r="VJJ88" s="947"/>
      <c r="VJK88" s="947"/>
      <c r="VJL88" s="947"/>
      <c r="VJM88" s="947"/>
      <c r="VJN88" s="947"/>
      <c r="VJO88" s="947"/>
      <c r="VJP88" s="947"/>
      <c r="VJQ88" s="947"/>
      <c r="VJR88" s="947"/>
      <c r="VJS88" s="947"/>
      <c r="VJT88" s="947"/>
      <c r="VJU88" s="947"/>
      <c r="VJV88" s="947"/>
      <c r="VJW88" s="947"/>
      <c r="VJX88" s="947"/>
      <c r="VJY88" s="947"/>
      <c r="VJZ88" s="947"/>
      <c r="VKA88" s="947"/>
      <c r="VKB88" s="947"/>
      <c r="VKC88" s="947"/>
      <c r="VKD88" s="947"/>
      <c r="VKE88" s="947"/>
      <c r="VKF88" s="947"/>
      <c r="VKG88" s="947"/>
      <c r="VKH88" s="947"/>
      <c r="VKI88" s="947"/>
      <c r="VKJ88" s="947"/>
      <c r="VKK88" s="947"/>
      <c r="VKL88" s="947"/>
      <c r="VKM88" s="947"/>
      <c r="VKN88" s="947"/>
      <c r="VKO88" s="947"/>
      <c r="VKP88" s="947"/>
      <c r="VKQ88" s="947"/>
      <c r="VKR88" s="947"/>
      <c r="VKS88" s="947"/>
      <c r="VKT88" s="947"/>
      <c r="VKU88" s="947"/>
      <c r="VKV88" s="947"/>
      <c r="VKW88" s="947"/>
      <c r="VKX88" s="947"/>
      <c r="VKY88" s="947"/>
      <c r="VKZ88" s="947"/>
      <c r="VLA88" s="947"/>
      <c r="VLB88" s="947"/>
      <c r="VLC88" s="947"/>
      <c r="VLD88" s="947"/>
      <c r="VLE88" s="947"/>
      <c r="VLF88" s="947"/>
      <c r="VLG88" s="947"/>
      <c r="VLH88" s="947"/>
      <c r="VLI88" s="947"/>
      <c r="VLJ88" s="947"/>
      <c r="VLK88" s="947"/>
      <c r="VLL88" s="947"/>
      <c r="VLM88" s="947"/>
      <c r="VLN88" s="947"/>
      <c r="VLO88" s="947"/>
      <c r="VLP88" s="947"/>
      <c r="VLQ88" s="947"/>
      <c r="VLR88" s="947"/>
      <c r="VLS88" s="947"/>
      <c r="VLT88" s="947"/>
      <c r="VLU88" s="947"/>
      <c r="VLV88" s="947"/>
      <c r="VLW88" s="947"/>
      <c r="VLX88" s="947"/>
      <c r="VLY88" s="947"/>
      <c r="VLZ88" s="947"/>
      <c r="VMA88" s="947"/>
      <c r="VMB88" s="947"/>
      <c r="VMC88" s="947"/>
      <c r="VMD88" s="947"/>
      <c r="VME88" s="947"/>
      <c r="VMF88" s="947"/>
      <c r="VMG88" s="947"/>
      <c r="VMH88" s="947"/>
      <c r="VMI88" s="947"/>
      <c r="VMJ88" s="947"/>
      <c r="VMK88" s="947"/>
      <c r="VML88" s="947"/>
      <c r="VMM88" s="947"/>
      <c r="VMN88" s="947"/>
      <c r="VMO88" s="947"/>
      <c r="VMP88" s="947"/>
      <c r="VMQ88" s="947"/>
      <c r="VMR88" s="947"/>
      <c r="VMS88" s="947"/>
      <c r="VMT88" s="947"/>
      <c r="VMU88" s="947"/>
      <c r="VMV88" s="947"/>
      <c r="VMW88" s="947"/>
      <c r="VMX88" s="947"/>
      <c r="VMY88" s="947"/>
      <c r="VMZ88" s="947"/>
      <c r="VNA88" s="947"/>
      <c r="VNB88" s="947"/>
      <c r="VNC88" s="947"/>
      <c r="VND88" s="947"/>
      <c r="VNE88" s="947"/>
      <c r="VNF88" s="947"/>
      <c r="VNG88" s="947"/>
      <c r="VNH88" s="947"/>
      <c r="VNI88" s="947"/>
      <c r="VNJ88" s="947"/>
      <c r="VNK88" s="947"/>
      <c r="VNL88" s="947"/>
      <c r="VNM88" s="947"/>
      <c r="VNN88" s="947"/>
      <c r="VNO88" s="947"/>
      <c r="VNP88" s="947"/>
      <c r="VNQ88" s="947"/>
      <c r="VNR88" s="947"/>
      <c r="VNS88" s="947"/>
      <c r="VNT88" s="947"/>
      <c r="VNU88" s="947"/>
      <c r="VNV88" s="947"/>
      <c r="VNW88" s="947"/>
      <c r="VNX88" s="947"/>
      <c r="VNY88" s="947"/>
      <c r="VNZ88" s="947"/>
      <c r="VOA88" s="947"/>
      <c r="VOB88" s="947"/>
      <c r="VOC88" s="947"/>
      <c r="VOD88" s="947"/>
      <c r="VOE88" s="947"/>
      <c r="VOF88" s="947"/>
      <c r="VOG88" s="947"/>
      <c r="VOH88" s="947"/>
      <c r="VOI88" s="947"/>
      <c r="VOJ88" s="947"/>
      <c r="VOK88" s="947"/>
      <c r="VOL88" s="947"/>
      <c r="VOM88" s="947"/>
      <c r="VON88" s="947"/>
      <c r="VOO88" s="947"/>
      <c r="VOP88" s="947"/>
      <c r="VOQ88" s="947"/>
      <c r="VOR88" s="947"/>
      <c r="VOS88" s="947"/>
      <c r="VOT88" s="947"/>
      <c r="VOU88" s="947"/>
      <c r="VOV88" s="947"/>
      <c r="VOW88" s="947"/>
      <c r="VOX88" s="947"/>
      <c r="VOY88" s="947"/>
      <c r="VOZ88" s="947"/>
      <c r="VPA88" s="947"/>
      <c r="VPB88" s="947"/>
      <c r="VPC88" s="947"/>
      <c r="VPD88" s="947"/>
      <c r="VPE88" s="947"/>
      <c r="VPF88" s="947"/>
      <c r="VPG88" s="947"/>
      <c r="VPH88" s="947"/>
      <c r="VPI88" s="947"/>
      <c r="VPJ88" s="947"/>
      <c r="VPK88" s="947"/>
      <c r="VPL88" s="947"/>
      <c r="VPM88" s="947"/>
      <c r="VPN88" s="947"/>
      <c r="VPO88" s="947"/>
      <c r="VPP88" s="947"/>
      <c r="VPQ88" s="947"/>
      <c r="VPR88" s="947"/>
      <c r="VPS88" s="947"/>
      <c r="VPT88" s="947"/>
      <c r="VPU88" s="947"/>
      <c r="VPV88" s="947"/>
      <c r="VPW88" s="947"/>
      <c r="VPX88" s="947"/>
      <c r="VPY88" s="947"/>
      <c r="VPZ88" s="947"/>
      <c r="VQA88" s="947"/>
      <c r="VQB88" s="947"/>
      <c r="VQC88" s="947"/>
      <c r="VQD88" s="947"/>
      <c r="VQE88" s="947"/>
      <c r="VQF88" s="947"/>
      <c r="VQG88" s="947"/>
      <c r="VQH88" s="947"/>
      <c r="VQI88" s="947"/>
      <c r="VQJ88" s="947"/>
      <c r="VQK88" s="947"/>
      <c r="VQL88" s="947"/>
      <c r="VQM88" s="947"/>
      <c r="VQN88" s="947"/>
      <c r="VQO88" s="947"/>
      <c r="VQP88" s="947"/>
      <c r="VQQ88" s="947"/>
      <c r="VQR88" s="947"/>
      <c r="VQS88" s="947"/>
      <c r="VQT88" s="947"/>
      <c r="VQU88" s="947"/>
      <c r="VQV88" s="947"/>
      <c r="VQW88" s="947"/>
      <c r="VQX88" s="947"/>
      <c r="VQY88" s="947"/>
      <c r="VQZ88" s="947"/>
      <c r="VRA88" s="947"/>
      <c r="VRB88" s="947"/>
      <c r="VRC88" s="947"/>
      <c r="VRD88" s="947"/>
      <c r="VRE88" s="947"/>
      <c r="VRF88" s="947"/>
      <c r="VRG88" s="947"/>
      <c r="VRH88" s="947"/>
      <c r="VRI88" s="947"/>
      <c r="VRJ88" s="947"/>
      <c r="VRK88" s="947"/>
      <c r="VRL88" s="947"/>
      <c r="VRM88" s="947"/>
      <c r="VRN88" s="947"/>
      <c r="VRO88" s="947"/>
      <c r="VRP88" s="947"/>
      <c r="VRQ88" s="947"/>
      <c r="VRR88" s="947"/>
      <c r="VRS88" s="947"/>
      <c r="VRT88" s="947"/>
      <c r="VRU88" s="947"/>
      <c r="VRV88" s="947"/>
      <c r="VRW88" s="947"/>
      <c r="VRX88" s="947"/>
      <c r="VRY88" s="947"/>
      <c r="VRZ88" s="947"/>
      <c r="VSA88" s="947"/>
      <c r="VSB88" s="947"/>
      <c r="VSC88" s="947"/>
      <c r="VSD88" s="947"/>
      <c r="VSE88" s="947"/>
      <c r="VSF88" s="947"/>
      <c r="VSG88" s="947"/>
      <c r="VSH88" s="947"/>
      <c r="VSI88" s="947"/>
      <c r="VSJ88" s="947"/>
      <c r="VSK88" s="947"/>
      <c r="VSL88" s="947"/>
      <c r="VSM88" s="947"/>
      <c r="VSN88" s="947"/>
      <c r="VSO88" s="947"/>
      <c r="VSP88" s="947"/>
      <c r="VSQ88" s="947"/>
      <c r="VSR88" s="947"/>
      <c r="VSS88" s="947"/>
      <c r="VST88" s="947"/>
      <c r="VSU88" s="947"/>
      <c r="VSV88" s="947"/>
      <c r="VSW88" s="947"/>
      <c r="VSX88" s="947"/>
      <c r="VSY88" s="947"/>
      <c r="VSZ88" s="947"/>
      <c r="VTA88" s="947"/>
      <c r="VTB88" s="947"/>
      <c r="VTC88" s="947"/>
      <c r="VTD88" s="947"/>
      <c r="VTE88" s="947"/>
      <c r="VTF88" s="947"/>
      <c r="VTG88" s="947"/>
      <c r="VTH88" s="947"/>
      <c r="VTI88" s="947"/>
      <c r="VTJ88" s="947"/>
      <c r="VTK88" s="947"/>
      <c r="VTL88" s="947"/>
      <c r="VTM88" s="947"/>
      <c r="VTN88" s="947"/>
      <c r="VTO88" s="947"/>
      <c r="VTP88" s="947"/>
      <c r="VTQ88" s="947"/>
      <c r="VTR88" s="947"/>
      <c r="VTS88" s="947"/>
      <c r="VTT88" s="947"/>
      <c r="VTU88" s="947"/>
      <c r="VTV88" s="947"/>
      <c r="VTW88" s="947"/>
      <c r="VTX88" s="947"/>
      <c r="VTY88" s="947"/>
      <c r="VTZ88" s="947"/>
      <c r="VUA88" s="947"/>
      <c r="VUB88" s="947"/>
      <c r="VUC88" s="947"/>
      <c r="VUD88" s="947"/>
      <c r="VUE88" s="947"/>
      <c r="VUF88" s="947"/>
      <c r="VUG88" s="947"/>
      <c r="VUH88" s="947"/>
      <c r="VUI88" s="947"/>
      <c r="VUJ88" s="947"/>
      <c r="VUK88" s="947"/>
      <c r="VUL88" s="947"/>
      <c r="VUM88" s="947"/>
      <c r="VUN88" s="947"/>
      <c r="VUO88" s="947"/>
      <c r="VUP88" s="947"/>
      <c r="VUQ88" s="947"/>
      <c r="VUR88" s="947"/>
      <c r="VUS88" s="947"/>
      <c r="VUT88" s="947"/>
      <c r="VUU88" s="947"/>
      <c r="VUV88" s="947"/>
      <c r="VUW88" s="947"/>
      <c r="VUX88" s="947"/>
      <c r="VUY88" s="947"/>
      <c r="VUZ88" s="947"/>
      <c r="VVA88" s="947"/>
      <c r="VVB88" s="947"/>
      <c r="VVC88" s="947"/>
      <c r="VVD88" s="947"/>
      <c r="VVE88" s="947"/>
      <c r="VVF88" s="947"/>
      <c r="VVG88" s="947"/>
      <c r="VVH88" s="947"/>
      <c r="VVI88" s="947"/>
      <c r="VVJ88" s="947"/>
      <c r="VVK88" s="947"/>
      <c r="VVL88" s="947"/>
      <c r="VVM88" s="947"/>
      <c r="VVN88" s="947"/>
      <c r="VVO88" s="947"/>
      <c r="VVP88" s="947"/>
      <c r="VVQ88" s="947"/>
      <c r="VVR88" s="947"/>
      <c r="VVS88" s="947"/>
      <c r="VVT88" s="947"/>
      <c r="VVU88" s="947"/>
      <c r="VVV88" s="947"/>
      <c r="VVW88" s="947"/>
      <c r="VVX88" s="947"/>
      <c r="VVY88" s="947"/>
      <c r="VVZ88" s="947"/>
      <c r="VWA88" s="947"/>
      <c r="VWB88" s="947"/>
      <c r="VWC88" s="947"/>
      <c r="VWD88" s="947"/>
      <c r="VWE88" s="947"/>
      <c r="VWF88" s="947"/>
      <c r="VWG88" s="947"/>
      <c r="VWH88" s="947"/>
      <c r="VWI88" s="947"/>
      <c r="VWJ88" s="947"/>
      <c r="VWK88" s="947"/>
      <c r="VWL88" s="947"/>
      <c r="VWM88" s="947"/>
      <c r="VWN88" s="947"/>
      <c r="VWO88" s="947"/>
      <c r="VWP88" s="947"/>
      <c r="VWQ88" s="947"/>
      <c r="VWR88" s="947"/>
      <c r="VWS88" s="947"/>
      <c r="VWT88" s="947"/>
      <c r="VWU88" s="947"/>
      <c r="VWV88" s="947"/>
      <c r="VWW88" s="947"/>
      <c r="VWX88" s="947"/>
      <c r="VWY88" s="947"/>
      <c r="VWZ88" s="947"/>
      <c r="VXA88" s="947"/>
      <c r="VXB88" s="947"/>
      <c r="VXC88" s="947"/>
      <c r="VXD88" s="947"/>
      <c r="VXE88" s="947"/>
      <c r="VXF88" s="947"/>
      <c r="VXG88" s="947"/>
      <c r="VXH88" s="947"/>
      <c r="VXI88" s="947"/>
      <c r="VXJ88" s="947"/>
      <c r="VXK88" s="947"/>
      <c r="VXL88" s="947"/>
      <c r="VXM88" s="947"/>
      <c r="VXN88" s="947"/>
      <c r="VXO88" s="947"/>
      <c r="VXP88" s="947"/>
      <c r="VXQ88" s="947"/>
      <c r="VXR88" s="947"/>
      <c r="VXS88" s="947"/>
      <c r="VXT88" s="947"/>
      <c r="VXU88" s="947"/>
      <c r="VXV88" s="947"/>
      <c r="VXW88" s="947"/>
      <c r="VXX88" s="947"/>
      <c r="VXY88" s="947"/>
      <c r="VXZ88" s="947"/>
      <c r="VYA88" s="947"/>
      <c r="VYB88" s="947"/>
      <c r="VYC88" s="947"/>
      <c r="VYD88" s="947"/>
      <c r="VYE88" s="947"/>
      <c r="VYF88" s="947"/>
      <c r="VYG88" s="947"/>
      <c r="VYH88" s="947"/>
      <c r="VYI88" s="947"/>
      <c r="VYJ88" s="947"/>
      <c r="VYK88" s="947"/>
      <c r="VYL88" s="947"/>
      <c r="VYM88" s="947"/>
      <c r="VYN88" s="947"/>
      <c r="VYO88" s="947"/>
      <c r="VYP88" s="947"/>
      <c r="VYQ88" s="947"/>
      <c r="VYR88" s="947"/>
      <c r="VYS88" s="947"/>
      <c r="VYT88" s="947"/>
      <c r="VYU88" s="947"/>
      <c r="VYV88" s="947"/>
      <c r="VYW88" s="947"/>
      <c r="VYX88" s="947"/>
      <c r="VYY88" s="947"/>
      <c r="VYZ88" s="947"/>
      <c r="VZA88" s="947"/>
      <c r="VZB88" s="947"/>
      <c r="VZC88" s="947"/>
      <c r="VZD88" s="947"/>
      <c r="VZE88" s="947"/>
      <c r="VZF88" s="947"/>
      <c r="VZG88" s="947"/>
      <c r="VZH88" s="947"/>
      <c r="VZI88" s="947"/>
      <c r="VZJ88" s="947"/>
      <c r="VZK88" s="947"/>
      <c r="VZL88" s="947"/>
      <c r="VZM88" s="947"/>
      <c r="VZN88" s="947"/>
      <c r="VZO88" s="947"/>
      <c r="VZP88" s="947"/>
      <c r="VZQ88" s="947"/>
      <c r="VZR88" s="947"/>
      <c r="VZS88" s="947"/>
      <c r="VZT88" s="947"/>
      <c r="VZU88" s="947"/>
      <c r="VZV88" s="947"/>
      <c r="VZW88" s="947"/>
      <c r="VZX88" s="947"/>
      <c r="VZY88" s="947"/>
      <c r="VZZ88" s="947"/>
      <c r="WAA88" s="947"/>
      <c r="WAB88" s="947"/>
      <c r="WAC88" s="947"/>
      <c r="WAD88" s="947"/>
      <c r="WAE88" s="947"/>
      <c r="WAF88" s="947"/>
      <c r="WAG88" s="947"/>
      <c r="WAH88" s="947"/>
      <c r="WAI88" s="947"/>
      <c r="WAJ88" s="947"/>
      <c r="WAK88" s="947"/>
      <c r="WAL88" s="947"/>
      <c r="WAM88" s="947"/>
      <c r="WAN88" s="947"/>
      <c r="WAO88" s="947"/>
      <c r="WAP88" s="947"/>
      <c r="WAQ88" s="947"/>
      <c r="WAR88" s="947"/>
      <c r="WAS88" s="947"/>
      <c r="WAT88" s="947"/>
      <c r="WAU88" s="947"/>
      <c r="WAV88" s="947"/>
      <c r="WAW88" s="947"/>
      <c r="WAX88" s="947"/>
      <c r="WAY88" s="947"/>
      <c r="WAZ88" s="947"/>
      <c r="WBA88" s="947"/>
      <c r="WBB88" s="947"/>
      <c r="WBC88" s="947"/>
      <c r="WBD88" s="947"/>
      <c r="WBE88" s="947"/>
      <c r="WBF88" s="947"/>
      <c r="WBG88" s="947"/>
      <c r="WBH88" s="947"/>
      <c r="WBI88" s="947"/>
      <c r="WBJ88" s="947"/>
      <c r="WBK88" s="947"/>
      <c r="WBL88" s="947"/>
      <c r="WBM88" s="947"/>
      <c r="WBN88" s="947"/>
      <c r="WBO88" s="947"/>
      <c r="WBP88" s="947"/>
      <c r="WBQ88" s="947"/>
      <c r="WBR88" s="947"/>
      <c r="WBS88" s="947"/>
      <c r="WBT88" s="947"/>
      <c r="WBU88" s="947"/>
      <c r="WBV88" s="947"/>
      <c r="WBW88" s="947"/>
      <c r="WBX88" s="947"/>
      <c r="WBY88" s="947"/>
      <c r="WBZ88" s="947"/>
      <c r="WCA88" s="947"/>
      <c r="WCB88" s="947"/>
      <c r="WCC88" s="947"/>
      <c r="WCD88" s="947"/>
      <c r="WCE88" s="947"/>
      <c r="WCF88" s="947"/>
      <c r="WCG88" s="947"/>
      <c r="WCH88" s="947"/>
      <c r="WCI88" s="947"/>
      <c r="WCJ88" s="947"/>
      <c r="WCK88" s="947"/>
      <c r="WCL88" s="947"/>
      <c r="WCM88" s="947"/>
      <c r="WCN88" s="947"/>
      <c r="WCO88" s="947"/>
      <c r="WCP88" s="947"/>
      <c r="WCQ88" s="947"/>
      <c r="WCR88" s="947"/>
      <c r="WCS88" s="947"/>
      <c r="WCT88" s="947"/>
      <c r="WCU88" s="947"/>
      <c r="WCV88" s="947"/>
      <c r="WCW88" s="947"/>
      <c r="WCX88" s="947"/>
      <c r="WCY88" s="947"/>
      <c r="WCZ88" s="947"/>
      <c r="WDA88" s="947"/>
      <c r="WDB88" s="947"/>
      <c r="WDC88" s="947"/>
      <c r="WDD88" s="947"/>
      <c r="WDE88" s="947"/>
      <c r="WDF88" s="947"/>
      <c r="WDG88" s="947"/>
      <c r="WDH88" s="947"/>
      <c r="WDI88" s="947"/>
      <c r="WDJ88" s="947"/>
      <c r="WDK88" s="947"/>
      <c r="WDL88" s="947"/>
      <c r="WDM88" s="947"/>
      <c r="WDN88" s="947"/>
      <c r="WDO88" s="947"/>
      <c r="WDP88" s="947"/>
      <c r="WDQ88" s="947"/>
      <c r="WDR88" s="947"/>
      <c r="WDS88" s="947"/>
      <c r="WDT88" s="947"/>
      <c r="WDU88" s="947"/>
      <c r="WDV88" s="947"/>
      <c r="WDW88" s="947"/>
      <c r="WDX88" s="947"/>
      <c r="WDY88" s="947"/>
      <c r="WDZ88" s="947"/>
      <c r="WEA88" s="947"/>
      <c r="WEB88" s="947"/>
      <c r="WEC88" s="947"/>
      <c r="WED88" s="947"/>
      <c r="WEE88" s="947"/>
      <c r="WEF88" s="947"/>
      <c r="WEG88" s="947"/>
      <c r="WEH88" s="947"/>
      <c r="WEI88" s="947"/>
      <c r="WEJ88" s="947"/>
      <c r="WEK88" s="947"/>
      <c r="WEL88" s="947"/>
      <c r="WEM88" s="947"/>
      <c r="WEN88" s="947"/>
      <c r="WEO88" s="947"/>
      <c r="WEP88" s="947"/>
      <c r="WEQ88" s="947"/>
      <c r="WER88" s="947"/>
      <c r="WES88" s="947"/>
      <c r="WET88" s="947"/>
      <c r="WEU88" s="947"/>
      <c r="WEV88" s="947"/>
      <c r="WEW88" s="947"/>
      <c r="WEX88" s="947"/>
      <c r="WEY88" s="947"/>
      <c r="WEZ88" s="947"/>
      <c r="WFA88" s="947"/>
      <c r="WFB88" s="947"/>
      <c r="WFC88" s="947"/>
      <c r="WFD88" s="947"/>
      <c r="WFE88" s="947"/>
      <c r="WFF88" s="947"/>
      <c r="WFG88" s="947"/>
      <c r="WFH88" s="947"/>
      <c r="WFI88" s="947"/>
      <c r="WFJ88" s="947"/>
      <c r="WFK88" s="947"/>
      <c r="WFL88" s="947"/>
      <c r="WFM88" s="947"/>
      <c r="WFN88" s="947"/>
      <c r="WFO88" s="947"/>
      <c r="WFP88" s="947"/>
      <c r="WFQ88" s="947"/>
      <c r="WFR88" s="947"/>
      <c r="WFS88" s="947"/>
      <c r="WFT88" s="947"/>
      <c r="WFU88" s="947"/>
      <c r="WFV88" s="947"/>
      <c r="WFW88" s="947"/>
      <c r="WFX88" s="947"/>
      <c r="WFY88" s="947"/>
      <c r="WFZ88" s="947"/>
      <c r="WGA88" s="947"/>
      <c r="WGB88" s="947"/>
      <c r="WGC88" s="947"/>
      <c r="WGD88" s="947"/>
      <c r="WGE88" s="947"/>
      <c r="WGF88" s="947"/>
      <c r="WGG88" s="947"/>
      <c r="WGH88" s="947"/>
      <c r="WGI88" s="947"/>
      <c r="WGJ88" s="947"/>
      <c r="WGK88" s="947"/>
      <c r="WGL88" s="947"/>
      <c r="WGM88" s="947"/>
      <c r="WGN88" s="947"/>
      <c r="WGO88" s="947"/>
      <c r="WGP88" s="947"/>
      <c r="WGQ88" s="947"/>
      <c r="WGR88" s="947"/>
      <c r="WGS88" s="947"/>
      <c r="WGT88" s="947"/>
      <c r="WGU88" s="947"/>
      <c r="WGV88" s="947"/>
      <c r="WGW88" s="947"/>
      <c r="WGX88" s="947"/>
      <c r="WGY88" s="947"/>
      <c r="WGZ88" s="947"/>
      <c r="WHA88" s="947"/>
      <c r="WHB88" s="947"/>
      <c r="WHC88" s="947"/>
      <c r="WHD88" s="947"/>
      <c r="WHE88" s="947"/>
      <c r="WHF88" s="947"/>
      <c r="WHG88" s="947"/>
      <c r="WHH88" s="947"/>
      <c r="WHI88" s="947"/>
      <c r="WHJ88" s="947"/>
      <c r="WHK88" s="947"/>
      <c r="WHL88" s="947"/>
      <c r="WHM88" s="947"/>
      <c r="WHN88" s="947"/>
      <c r="WHO88" s="947"/>
      <c r="WHP88" s="947"/>
      <c r="WHQ88" s="947"/>
      <c r="WHR88" s="947"/>
      <c r="WHS88" s="947"/>
      <c r="WHT88" s="947"/>
      <c r="WHU88" s="947"/>
      <c r="WHV88" s="947"/>
      <c r="WHW88" s="947"/>
      <c r="WHX88" s="947"/>
      <c r="WHY88" s="947"/>
      <c r="WHZ88" s="947"/>
      <c r="WIA88" s="947"/>
      <c r="WIB88" s="947"/>
      <c r="WIC88" s="947"/>
      <c r="WID88" s="947"/>
      <c r="WIE88" s="947"/>
      <c r="WIF88" s="947"/>
      <c r="WIG88" s="947"/>
      <c r="WIH88" s="947"/>
      <c r="WII88" s="947"/>
      <c r="WIJ88" s="947"/>
      <c r="WIK88" s="947"/>
      <c r="WIL88" s="947"/>
      <c r="WIM88" s="947"/>
      <c r="WIN88" s="947"/>
      <c r="WIO88" s="947"/>
      <c r="WIP88" s="947"/>
      <c r="WIQ88" s="947"/>
      <c r="WIR88" s="947"/>
      <c r="WIS88" s="947"/>
      <c r="WIT88" s="947"/>
      <c r="WIU88" s="947"/>
      <c r="WIV88" s="947"/>
      <c r="WIW88" s="947"/>
      <c r="WIX88" s="947"/>
      <c r="WIY88" s="947"/>
      <c r="WIZ88" s="947"/>
      <c r="WJA88" s="947"/>
      <c r="WJB88" s="947"/>
      <c r="WJC88" s="947"/>
      <c r="WJD88" s="947"/>
      <c r="WJE88" s="947"/>
      <c r="WJF88" s="947"/>
      <c r="WJG88" s="947"/>
      <c r="WJH88" s="947"/>
      <c r="WJI88" s="947"/>
      <c r="WJJ88" s="947"/>
      <c r="WJK88" s="947"/>
      <c r="WJL88" s="947"/>
      <c r="WJM88" s="947"/>
      <c r="WJN88" s="947"/>
      <c r="WJO88" s="947"/>
      <c r="WJP88" s="947"/>
      <c r="WJQ88" s="947"/>
      <c r="WJR88" s="947"/>
      <c r="WJS88" s="947"/>
      <c r="WJT88" s="947"/>
      <c r="WJU88" s="947"/>
      <c r="WJV88" s="947"/>
      <c r="WJW88" s="947"/>
      <c r="WJX88" s="947"/>
      <c r="WJY88" s="947"/>
      <c r="WJZ88" s="947"/>
      <c r="WKA88" s="947"/>
      <c r="WKB88" s="947"/>
      <c r="WKC88" s="947"/>
      <c r="WKD88" s="947"/>
      <c r="WKE88" s="947"/>
      <c r="WKF88" s="947"/>
      <c r="WKG88" s="947"/>
      <c r="WKH88" s="947"/>
      <c r="WKI88" s="947"/>
      <c r="WKJ88" s="947"/>
      <c r="WKK88" s="947"/>
      <c r="WKL88" s="947"/>
      <c r="WKM88" s="947"/>
      <c r="WKN88" s="947"/>
      <c r="WKO88" s="947"/>
      <c r="WKP88" s="947"/>
      <c r="WKQ88" s="947"/>
      <c r="WKR88" s="947"/>
      <c r="WKS88" s="947"/>
      <c r="WKT88" s="947"/>
      <c r="WKU88" s="947"/>
      <c r="WKV88" s="947"/>
      <c r="WKW88" s="947"/>
      <c r="WKX88" s="947"/>
      <c r="WKY88" s="947"/>
      <c r="WKZ88" s="947"/>
      <c r="WLA88" s="947"/>
      <c r="WLB88" s="947"/>
      <c r="WLC88" s="947"/>
      <c r="WLD88" s="947"/>
      <c r="WLE88" s="947"/>
      <c r="WLF88" s="947"/>
      <c r="WLG88" s="947"/>
      <c r="WLH88" s="947"/>
      <c r="WLI88" s="947"/>
      <c r="WLJ88" s="947"/>
      <c r="WLK88" s="947"/>
      <c r="WLL88" s="947"/>
      <c r="WLM88" s="947"/>
      <c r="WLN88" s="947"/>
      <c r="WLO88" s="947"/>
      <c r="WLP88" s="947"/>
      <c r="WLQ88" s="947"/>
      <c r="WLR88" s="947"/>
      <c r="WLS88" s="947"/>
      <c r="WLT88" s="947"/>
      <c r="WLU88" s="947"/>
      <c r="WLV88" s="947"/>
      <c r="WLW88" s="947"/>
      <c r="WLX88" s="947"/>
      <c r="WLY88" s="947"/>
      <c r="WLZ88" s="947"/>
      <c r="WMA88" s="947"/>
      <c r="WMB88" s="947"/>
      <c r="WMC88" s="947"/>
      <c r="WMD88" s="947"/>
      <c r="WME88" s="947"/>
      <c r="WMF88" s="947"/>
      <c r="WMG88" s="947"/>
      <c r="WMH88" s="947"/>
      <c r="WMI88" s="947"/>
      <c r="WMJ88" s="947"/>
      <c r="WMK88" s="947"/>
      <c r="WML88" s="947"/>
      <c r="WMM88" s="947"/>
      <c r="WMN88" s="947"/>
      <c r="WMO88" s="947"/>
      <c r="WMP88" s="947"/>
      <c r="WMQ88" s="947"/>
      <c r="WMR88" s="947"/>
      <c r="WMS88" s="947"/>
      <c r="WMT88" s="947"/>
      <c r="WMU88" s="947"/>
      <c r="WMV88" s="947"/>
      <c r="WMW88" s="947"/>
      <c r="WMX88" s="947"/>
      <c r="WMY88" s="947"/>
      <c r="WMZ88" s="947"/>
      <c r="WNA88" s="947"/>
      <c r="WNB88" s="947"/>
      <c r="WNC88" s="947"/>
      <c r="WND88" s="947"/>
      <c r="WNE88" s="947"/>
      <c r="WNF88" s="947"/>
      <c r="WNG88" s="947"/>
      <c r="WNH88" s="947"/>
      <c r="WNI88" s="947"/>
      <c r="WNJ88" s="947"/>
      <c r="WNK88" s="947"/>
      <c r="WNL88" s="947"/>
      <c r="WNM88" s="947"/>
      <c r="WNN88" s="947"/>
      <c r="WNO88" s="947"/>
      <c r="WNP88" s="947"/>
      <c r="WNQ88" s="947"/>
      <c r="WNR88" s="947"/>
      <c r="WNS88" s="947"/>
      <c r="WNT88" s="947"/>
      <c r="WNU88" s="947"/>
      <c r="WNV88" s="947"/>
      <c r="WNW88" s="947"/>
      <c r="WNX88" s="947"/>
      <c r="WNY88" s="947"/>
      <c r="WNZ88" s="947"/>
      <c r="WOA88" s="947"/>
      <c r="WOB88" s="947"/>
      <c r="WOC88" s="947"/>
      <c r="WOD88" s="947"/>
      <c r="WOE88" s="947"/>
      <c r="WOF88" s="947"/>
      <c r="WOG88" s="947"/>
      <c r="WOH88" s="947"/>
      <c r="WOI88" s="947"/>
      <c r="WOJ88" s="947"/>
      <c r="WOK88" s="947"/>
      <c r="WOL88" s="947"/>
      <c r="WOM88" s="947"/>
      <c r="WON88" s="947"/>
      <c r="WOO88" s="947"/>
      <c r="WOP88" s="947"/>
      <c r="WOQ88" s="947"/>
      <c r="WOR88" s="947"/>
      <c r="WOS88" s="947"/>
      <c r="WOT88" s="947"/>
      <c r="WOU88" s="947"/>
      <c r="WOV88" s="947"/>
      <c r="WOW88" s="947"/>
      <c r="WOX88" s="947"/>
      <c r="WOY88" s="947"/>
      <c r="WOZ88" s="947"/>
      <c r="WPA88" s="947"/>
      <c r="WPB88" s="947"/>
      <c r="WPC88" s="947"/>
      <c r="WPD88" s="947"/>
      <c r="WPE88" s="947"/>
      <c r="WPF88" s="947"/>
      <c r="WPG88" s="947"/>
      <c r="WPH88" s="947"/>
      <c r="WPI88" s="947"/>
      <c r="WPJ88" s="947"/>
      <c r="WPK88" s="947"/>
      <c r="WPL88" s="947"/>
      <c r="WPM88" s="947"/>
      <c r="WPN88" s="947"/>
      <c r="WPO88" s="947"/>
      <c r="WPP88" s="947"/>
      <c r="WPQ88" s="947"/>
      <c r="WPR88" s="947"/>
      <c r="WPS88" s="947"/>
      <c r="WPT88" s="947"/>
      <c r="WPU88" s="947"/>
      <c r="WPV88" s="947"/>
      <c r="WPW88" s="947"/>
      <c r="WPX88" s="947"/>
      <c r="WPY88" s="947"/>
      <c r="WPZ88" s="947"/>
      <c r="WQA88" s="947"/>
      <c r="WQB88" s="947"/>
      <c r="WQC88" s="947"/>
      <c r="WQD88" s="947"/>
      <c r="WQE88" s="947"/>
      <c r="WQF88" s="947"/>
      <c r="WQG88" s="947"/>
      <c r="WQH88" s="947"/>
      <c r="WQI88" s="947"/>
      <c r="WQJ88" s="947"/>
      <c r="WQK88" s="947"/>
      <c r="WQL88" s="947"/>
      <c r="WQM88" s="947"/>
      <c r="WQN88" s="947"/>
      <c r="WQO88" s="947"/>
      <c r="WQP88" s="947"/>
      <c r="WQQ88" s="947"/>
      <c r="WQR88" s="947"/>
      <c r="WQS88" s="947"/>
      <c r="WQT88" s="947"/>
      <c r="WQU88" s="947"/>
      <c r="WQV88" s="947"/>
      <c r="WQW88" s="947"/>
      <c r="WQX88" s="947"/>
      <c r="WQY88" s="947"/>
      <c r="WQZ88" s="947"/>
      <c r="WRA88" s="947"/>
      <c r="WRB88" s="947"/>
      <c r="WRC88" s="947"/>
      <c r="WRD88" s="947"/>
      <c r="WRE88" s="947"/>
      <c r="WRF88" s="947"/>
      <c r="WRG88" s="947"/>
      <c r="WRH88" s="947"/>
      <c r="WRI88" s="947"/>
      <c r="WRJ88" s="947"/>
      <c r="WRK88" s="947"/>
      <c r="WRL88" s="947"/>
      <c r="WRM88" s="947"/>
      <c r="WRN88" s="947"/>
      <c r="WRO88" s="947"/>
      <c r="WRP88" s="947"/>
      <c r="WRQ88" s="947"/>
      <c r="WRR88" s="947"/>
      <c r="WRS88" s="947"/>
      <c r="WRT88" s="947"/>
      <c r="WRU88" s="947"/>
      <c r="WRV88" s="947"/>
      <c r="WRW88" s="947"/>
      <c r="WRX88" s="947"/>
      <c r="WRY88" s="947"/>
      <c r="WRZ88" s="947"/>
      <c r="WSA88" s="947"/>
      <c r="WSB88" s="947"/>
      <c r="WSC88" s="947"/>
      <c r="WSD88" s="947"/>
      <c r="WSE88" s="947"/>
      <c r="WSF88" s="947"/>
      <c r="WSG88" s="947"/>
      <c r="WSH88" s="947"/>
      <c r="WSI88" s="947"/>
      <c r="WSJ88" s="947"/>
      <c r="WSK88" s="947"/>
      <c r="WSL88" s="947"/>
      <c r="WSM88" s="947"/>
      <c r="WSN88" s="947"/>
      <c r="WSO88" s="947"/>
      <c r="WSP88" s="947"/>
      <c r="WSQ88" s="947"/>
      <c r="WSR88" s="947"/>
      <c r="WSS88" s="947"/>
      <c r="WST88" s="947"/>
      <c r="WSU88" s="947"/>
      <c r="WSV88" s="947"/>
      <c r="WSW88" s="947"/>
      <c r="WSX88" s="947"/>
      <c r="WSY88" s="947"/>
      <c r="WSZ88" s="947"/>
      <c r="WTA88" s="947"/>
      <c r="WTB88" s="947"/>
      <c r="WTC88" s="947"/>
      <c r="WTD88" s="947"/>
      <c r="WTE88" s="947"/>
      <c r="WTF88" s="947"/>
      <c r="WTG88" s="947"/>
      <c r="WTH88" s="947"/>
      <c r="WTI88" s="947"/>
      <c r="WTJ88" s="947"/>
      <c r="WTK88" s="947"/>
      <c r="WTL88" s="947"/>
      <c r="WTM88" s="947"/>
      <c r="WTN88" s="947"/>
      <c r="WTO88" s="947"/>
      <c r="WTP88" s="947"/>
      <c r="WTQ88" s="947"/>
      <c r="WTR88" s="947"/>
      <c r="WTS88" s="947"/>
      <c r="WTT88" s="947"/>
      <c r="WTU88" s="947"/>
      <c r="WTV88" s="947"/>
      <c r="WTW88" s="947"/>
      <c r="WTX88" s="947"/>
      <c r="WTY88" s="947"/>
      <c r="WTZ88" s="947"/>
      <c r="WUA88" s="947"/>
      <c r="WUB88" s="947"/>
      <c r="WUC88" s="947"/>
      <c r="WUD88" s="947"/>
      <c r="WUE88" s="947"/>
      <c r="WUF88" s="947"/>
      <c r="WUG88" s="947"/>
      <c r="WUH88" s="947"/>
      <c r="WUI88" s="947"/>
      <c r="WUJ88" s="947"/>
      <c r="WUK88" s="947"/>
      <c r="WUL88" s="947"/>
      <c r="WUM88" s="947"/>
      <c r="WUN88" s="947"/>
      <c r="WUO88" s="947"/>
      <c r="WUP88" s="947"/>
      <c r="WUQ88" s="947"/>
      <c r="WUR88" s="947"/>
      <c r="WUS88" s="947"/>
      <c r="WUT88" s="947"/>
      <c r="WUU88" s="947"/>
      <c r="WUV88" s="947"/>
      <c r="WUW88" s="947"/>
      <c r="WUX88" s="947"/>
      <c r="WUY88" s="947"/>
      <c r="WUZ88" s="947"/>
      <c r="WVA88" s="947"/>
      <c r="WVB88" s="947"/>
      <c r="WVC88" s="947"/>
      <c r="WVD88" s="947"/>
      <c r="WVE88" s="947"/>
      <c r="WVF88" s="947"/>
      <c r="WVG88" s="947"/>
      <c r="WVH88" s="947"/>
      <c r="WVI88" s="947"/>
      <c r="WVJ88" s="947"/>
      <c r="WVK88" s="947"/>
      <c r="WVL88" s="947"/>
      <c r="WVM88" s="947"/>
      <c r="WVN88" s="947"/>
      <c r="WVO88" s="947"/>
      <c r="WVP88" s="947"/>
      <c r="WVQ88" s="947"/>
      <c r="WVR88" s="947"/>
      <c r="WVS88" s="947"/>
      <c r="WVT88" s="947"/>
      <c r="WVU88" s="947"/>
      <c r="WVV88" s="947"/>
      <c r="WVW88" s="947"/>
      <c r="WVX88" s="947"/>
      <c r="WVY88" s="947"/>
      <c r="WVZ88" s="947"/>
      <c r="WWA88" s="947"/>
      <c r="WWB88" s="947"/>
      <c r="WWC88" s="947"/>
      <c r="WWD88" s="947"/>
      <c r="WWE88" s="947"/>
      <c r="WWF88" s="947"/>
      <c r="WWG88" s="947"/>
      <c r="WWH88" s="947"/>
      <c r="WWI88" s="947"/>
      <c r="WWJ88" s="947"/>
      <c r="WWK88" s="947"/>
      <c r="WWL88" s="947"/>
      <c r="WWM88" s="947"/>
      <c r="WWN88" s="947"/>
      <c r="WWO88" s="947"/>
      <c r="WWP88" s="947"/>
      <c r="WWQ88" s="947"/>
      <c r="WWR88" s="947"/>
      <c r="WWS88" s="947"/>
      <c r="WWT88" s="947"/>
      <c r="WWU88" s="947"/>
      <c r="WWV88" s="947"/>
      <c r="WWW88" s="947"/>
      <c r="WWX88" s="947"/>
      <c r="WWY88" s="947"/>
      <c r="WWZ88" s="947"/>
      <c r="WXA88" s="947"/>
      <c r="WXB88" s="947"/>
      <c r="WXC88" s="947"/>
      <c r="WXD88" s="947"/>
      <c r="WXE88" s="947"/>
      <c r="WXF88" s="947"/>
      <c r="WXG88" s="947"/>
      <c r="WXH88" s="947"/>
      <c r="WXI88" s="947"/>
      <c r="WXJ88" s="947"/>
      <c r="WXK88" s="947"/>
      <c r="WXL88" s="947"/>
      <c r="WXM88" s="947"/>
      <c r="WXN88" s="947"/>
      <c r="WXO88" s="947"/>
      <c r="WXP88" s="947"/>
      <c r="WXQ88" s="947"/>
      <c r="WXR88" s="947"/>
      <c r="WXS88" s="947"/>
      <c r="WXT88" s="947"/>
      <c r="WXU88" s="947"/>
      <c r="WXV88" s="947"/>
      <c r="WXW88" s="947"/>
      <c r="WXX88" s="947"/>
      <c r="WXY88" s="947"/>
      <c r="WXZ88" s="947"/>
      <c r="WYA88" s="947"/>
      <c r="WYB88" s="947"/>
      <c r="WYC88" s="947"/>
      <c r="WYD88" s="947"/>
      <c r="WYE88" s="947"/>
      <c r="WYF88" s="947"/>
      <c r="WYG88" s="947"/>
      <c r="WYH88" s="947"/>
      <c r="WYI88" s="947"/>
      <c r="WYJ88" s="947"/>
      <c r="WYK88" s="947"/>
      <c r="WYL88" s="947"/>
      <c r="WYM88" s="947"/>
      <c r="WYN88" s="947"/>
      <c r="WYO88" s="947"/>
      <c r="WYP88" s="947"/>
      <c r="WYQ88" s="947"/>
      <c r="WYR88" s="947"/>
      <c r="WYS88" s="947"/>
      <c r="WYT88" s="947"/>
      <c r="WYU88" s="947"/>
      <c r="WYV88" s="947"/>
      <c r="WYW88" s="947"/>
      <c r="WYX88" s="947"/>
      <c r="WYY88" s="947"/>
      <c r="WYZ88" s="947"/>
      <c r="WZA88" s="947"/>
      <c r="WZB88" s="947"/>
      <c r="WZC88" s="947"/>
      <c r="WZD88" s="947"/>
      <c r="WZE88" s="947"/>
      <c r="WZF88" s="947"/>
      <c r="WZG88" s="947"/>
      <c r="WZH88" s="947"/>
      <c r="WZI88" s="947"/>
      <c r="WZJ88" s="947"/>
      <c r="WZK88" s="947"/>
      <c r="WZL88" s="947"/>
      <c r="WZM88" s="947"/>
      <c r="WZN88" s="947"/>
      <c r="WZO88" s="947"/>
      <c r="WZP88" s="947"/>
      <c r="WZQ88" s="947"/>
      <c r="WZR88" s="947"/>
      <c r="WZS88" s="947"/>
      <c r="WZT88" s="947"/>
      <c r="WZU88" s="947"/>
      <c r="WZV88" s="947"/>
      <c r="WZW88" s="947"/>
      <c r="WZX88" s="947"/>
      <c r="WZY88" s="947"/>
      <c r="WZZ88" s="947"/>
      <c r="XAA88" s="947"/>
      <c r="XAB88" s="947"/>
      <c r="XAC88" s="947"/>
      <c r="XAD88" s="947"/>
      <c r="XAE88" s="947"/>
      <c r="XAF88" s="947"/>
      <c r="XAG88" s="947"/>
      <c r="XAH88" s="947"/>
      <c r="XAI88" s="947"/>
      <c r="XAJ88" s="947"/>
      <c r="XAK88" s="947"/>
      <c r="XAL88" s="947"/>
      <c r="XAM88" s="947"/>
      <c r="XAN88" s="947"/>
      <c r="XAO88" s="947"/>
      <c r="XAP88" s="947"/>
      <c r="XAQ88" s="947"/>
      <c r="XAR88" s="947"/>
      <c r="XAS88" s="947"/>
      <c r="XAT88" s="947"/>
      <c r="XAU88" s="947"/>
      <c r="XAV88" s="947"/>
      <c r="XAW88" s="947"/>
      <c r="XAX88" s="947"/>
      <c r="XAY88" s="947"/>
      <c r="XAZ88" s="947"/>
      <c r="XBA88" s="947"/>
      <c r="XBB88" s="947"/>
      <c r="XBC88" s="947"/>
      <c r="XBD88" s="947"/>
      <c r="XBE88" s="947"/>
      <c r="XBF88" s="947"/>
      <c r="XBG88" s="947"/>
      <c r="XBH88" s="947"/>
      <c r="XBI88" s="947"/>
      <c r="XBJ88" s="947"/>
      <c r="XBK88" s="947"/>
      <c r="XBL88" s="947"/>
      <c r="XBM88" s="947"/>
      <c r="XBN88" s="947"/>
      <c r="XBO88" s="947"/>
      <c r="XBP88" s="947"/>
      <c r="XBQ88" s="947"/>
      <c r="XBR88" s="947"/>
      <c r="XBS88" s="947"/>
      <c r="XBT88" s="947"/>
      <c r="XBU88" s="947"/>
      <c r="XBV88" s="947"/>
      <c r="XBW88" s="947"/>
      <c r="XBX88" s="947"/>
      <c r="XBY88" s="947"/>
      <c r="XBZ88" s="947"/>
      <c r="XCA88" s="947"/>
      <c r="XCB88" s="947"/>
      <c r="XCC88" s="947"/>
      <c r="XCD88" s="947"/>
      <c r="XCE88" s="947"/>
      <c r="XCF88" s="947"/>
      <c r="XCG88" s="947"/>
      <c r="XCH88" s="947"/>
      <c r="XCI88" s="947"/>
      <c r="XCJ88" s="947"/>
      <c r="XCK88" s="947"/>
      <c r="XCL88" s="947"/>
      <c r="XCM88" s="947"/>
      <c r="XCN88" s="947"/>
      <c r="XCO88" s="947"/>
      <c r="XCP88" s="947"/>
      <c r="XCQ88" s="947"/>
      <c r="XCR88" s="947"/>
      <c r="XCS88" s="947"/>
      <c r="XCT88" s="947"/>
      <c r="XCU88" s="947"/>
      <c r="XCV88" s="947"/>
      <c r="XCW88" s="947"/>
      <c r="XCX88" s="947"/>
      <c r="XCY88" s="947"/>
      <c r="XCZ88" s="947"/>
      <c r="XDA88" s="947"/>
      <c r="XDB88" s="947"/>
      <c r="XDC88" s="947"/>
      <c r="XDD88" s="947"/>
      <c r="XDE88" s="947"/>
      <c r="XDF88" s="947"/>
      <c r="XDG88" s="947"/>
      <c r="XDH88" s="947"/>
      <c r="XDI88" s="947"/>
      <c r="XDJ88" s="947"/>
      <c r="XDK88" s="947"/>
      <c r="XDL88" s="947"/>
      <c r="XDM88" s="947"/>
      <c r="XDN88" s="947"/>
      <c r="XDO88" s="947"/>
      <c r="XDP88" s="947"/>
      <c r="XDQ88" s="947"/>
      <c r="XDR88" s="947"/>
      <c r="XDS88" s="947"/>
      <c r="XDT88" s="947"/>
      <c r="XDU88" s="947"/>
      <c r="XDV88" s="947"/>
      <c r="XDW88" s="947"/>
      <c r="XDX88" s="947"/>
      <c r="XDY88" s="947"/>
      <c r="XDZ88" s="947"/>
      <c r="XEA88" s="947"/>
      <c r="XEB88" s="947"/>
      <c r="XEC88" s="947"/>
      <c r="XED88" s="947"/>
      <c r="XEE88" s="947"/>
      <c r="XEF88" s="947"/>
      <c r="XEG88" s="947"/>
      <c r="XEH88" s="947"/>
      <c r="XEI88" s="947"/>
      <c r="XEJ88" s="947"/>
      <c r="XEK88" s="947"/>
      <c r="XEL88" s="947"/>
      <c r="XEM88" s="947"/>
      <c r="XEN88" s="947"/>
      <c r="XEO88" s="947"/>
      <c r="XEP88" s="947"/>
      <c r="XEQ88" s="947"/>
      <c r="XER88" s="947"/>
      <c r="XES88" s="947"/>
      <c r="XET88" s="947"/>
      <c r="XEU88" s="947"/>
      <c r="XEV88" s="947"/>
      <c r="XEW88" s="947"/>
      <c r="XEX88" s="947"/>
      <c r="XEY88" s="947"/>
      <c r="XEZ88" s="947"/>
      <c r="XFA88" s="947"/>
      <c r="XFB88" s="947"/>
      <c r="XFC88" s="947"/>
      <c r="XFD88" s="947"/>
    </row>
    <row r="89" spans="1:16384" s="178" customFormat="1" ht="12.9" customHeight="1">
      <c r="A89" s="947"/>
      <c r="B89" s="947"/>
      <c r="C89" s="947"/>
      <c r="D89" s="947"/>
      <c r="E89" s="947"/>
      <c r="F89" s="947"/>
      <c r="G89" s="947"/>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47"/>
      <c r="BQ89" s="947"/>
      <c r="BR89" s="947"/>
      <c r="BS89" s="947"/>
      <c r="BT89" s="947"/>
      <c r="BU89" s="947"/>
      <c r="BV89" s="947"/>
      <c r="BW89" s="947"/>
      <c r="BX89" s="947"/>
      <c r="BY89" s="947"/>
      <c r="BZ89" s="947"/>
      <c r="CA89" s="947"/>
      <c r="CB89" s="947"/>
      <c r="CC89" s="947"/>
      <c r="CD89" s="947"/>
      <c r="CE89" s="947"/>
      <c r="CF89" s="947"/>
      <c r="CG89" s="947"/>
      <c r="CH89" s="947"/>
      <c r="CI89" s="947"/>
      <c r="CJ89" s="947"/>
      <c r="CK89" s="947"/>
      <c r="CL89" s="947"/>
      <c r="CM89" s="947"/>
      <c r="CN89" s="947"/>
      <c r="CO89" s="947"/>
      <c r="CP89" s="947"/>
      <c r="CQ89" s="947"/>
      <c r="CR89" s="947"/>
      <c r="CS89" s="947"/>
      <c r="CT89" s="947"/>
      <c r="CU89" s="947"/>
      <c r="CV89" s="947"/>
      <c r="CW89" s="947"/>
      <c r="CX89" s="947"/>
      <c r="CY89" s="947"/>
      <c r="CZ89" s="947"/>
      <c r="DA89" s="947"/>
      <c r="DB89" s="947"/>
      <c r="DC89" s="947"/>
      <c r="DD89" s="947"/>
      <c r="DE89" s="947"/>
      <c r="DF89" s="947"/>
      <c r="DG89" s="947"/>
      <c r="DH89" s="947"/>
      <c r="DI89" s="947"/>
      <c r="DJ89" s="947"/>
      <c r="DK89" s="947"/>
      <c r="DL89" s="947"/>
      <c r="DM89" s="947"/>
      <c r="DN89" s="947"/>
      <c r="DO89" s="947"/>
      <c r="DP89" s="947"/>
      <c r="DQ89" s="947"/>
      <c r="DR89" s="947"/>
      <c r="DS89" s="947"/>
      <c r="DT89" s="947"/>
      <c r="DU89" s="947"/>
      <c r="DV89" s="947"/>
      <c r="DW89" s="947"/>
      <c r="DX89" s="947"/>
      <c r="DY89" s="947"/>
      <c r="DZ89" s="947"/>
      <c r="EA89" s="947"/>
      <c r="EB89" s="947"/>
      <c r="EC89" s="947"/>
      <c r="ED89" s="947"/>
      <c r="EE89" s="947"/>
      <c r="EF89" s="947"/>
      <c r="EG89" s="947"/>
      <c r="EH89" s="947"/>
      <c r="EI89" s="947"/>
      <c r="EJ89" s="947"/>
      <c r="EK89" s="947"/>
      <c r="EL89" s="947"/>
      <c r="EM89" s="947"/>
      <c r="EN89" s="947"/>
      <c r="EO89" s="947"/>
      <c r="EP89" s="947"/>
      <c r="EQ89" s="947"/>
      <c r="ER89" s="947"/>
      <c r="ES89" s="947"/>
      <c r="ET89" s="947"/>
      <c r="EU89" s="947"/>
      <c r="EV89" s="947"/>
      <c r="EW89" s="947"/>
      <c r="EX89" s="947"/>
      <c r="EY89" s="947"/>
      <c r="EZ89" s="947"/>
      <c r="FA89" s="947"/>
      <c r="FB89" s="947"/>
      <c r="FC89" s="947"/>
      <c r="FD89" s="947"/>
      <c r="FE89" s="947"/>
      <c r="FF89" s="947"/>
      <c r="FG89" s="947"/>
      <c r="FH89" s="947"/>
      <c r="FI89" s="947"/>
      <c r="FJ89" s="947"/>
      <c r="FK89" s="947"/>
      <c r="FL89" s="947"/>
      <c r="FM89" s="947"/>
      <c r="FN89" s="947"/>
      <c r="FO89" s="947"/>
      <c r="FP89" s="947"/>
      <c r="FQ89" s="947"/>
      <c r="FR89" s="947"/>
      <c r="FS89" s="947"/>
      <c r="FT89" s="947"/>
      <c r="FU89" s="947"/>
      <c r="FV89" s="947"/>
      <c r="FW89" s="947"/>
      <c r="FX89" s="947"/>
      <c r="FY89" s="947"/>
      <c r="FZ89" s="947"/>
      <c r="GA89" s="947"/>
      <c r="GB89" s="947"/>
      <c r="GC89" s="947"/>
      <c r="GD89" s="947"/>
      <c r="GE89" s="947"/>
      <c r="GF89" s="947"/>
      <c r="GG89" s="947"/>
      <c r="GH89" s="947"/>
      <c r="GI89" s="947"/>
      <c r="GJ89" s="947"/>
      <c r="GK89" s="947"/>
      <c r="GL89" s="947"/>
      <c r="GM89" s="947"/>
      <c r="GN89" s="947"/>
      <c r="GO89" s="947"/>
      <c r="GP89" s="947"/>
      <c r="GQ89" s="947"/>
      <c r="GR89" s="947"/>
      <c r="GS89" s="947"/>
      <c r="GT89" s="947"/>
      <c r="GU89" s="947"/>
      <c r="GV89" s="947"/>
      <c r="GW89" s="947"/>
      <c r="GX89" s="947"/>
      <c r="GY89" s="947"/>
      <c r="GZ89" s="947"/>
      <c r="HA89" s="947"/>
      <c r="HB89" s="947"/>
      <c r="HC89" s="947"/>
      <c r="HD89" s="947"/>
      <c r="HE89" s="947"/>
      <c r="HF89" s="947"/>
      <c r="HG89" s="947"/>
      <c r="HH89" s="947"/>
      <c r="HI89" s="947"/>
      <c r="HJ89" s="947"/>
      <c r="HK89" s="947"/>
      <c r="HL89" s="947"/>
      <c r="HM89" s="947"/>
      <c r="HN89" s="947"/>
      <c r="HO89" s="947"/>
      <c r="HP89" s="947"/>
      <c r="HQ89" s="947"/>
      <c r="HR89" s="947"/>
      <c r="HS89" s="947"/>
      <c r="HT89" s="947"/>
      <c r="HU89" s="947"/>
      <c r="HV89" s="947"/>
      <c r="HW89" s="947"/>
      <c r="HX89" s="947"/>
      <c r="HY89" s="947"/>
      <c r="HZ89" s="947"/>
      <c r="IA89" s="947"/>
      <c r="IB89" s="947"/>
      <c r="IC89" s="947"/>
      <c r="ID89" s="947"/>
      <c r="IE89" s="947"/>
      <c r="IF89" s="947"/>
      <c r="IG89" s="947"/>
      <c r="IH89" s="947"/>
      <c r="II89" s="947"/>
      <c r="IJ89" s="947"/>
      <c r="IK89" s="947"/>
      <c r="IL89" s="947"/>
      <c r="IM89" s="947"/>
      <c r="IN89" s="947"/>
      <c r="IO89" s="947"/>
      <c r="IP89" s="947"/>
      <c r="IQ89" s="947"/>
      <c r="IR89" s="947"/>
      <c r="IS89" s="947"/>
      <c r="IT89" s="947"/>
      <c r="IU89" s="947"/>
      <c r="IV89" s="947"/>
      <c r="IW89" s="947"/>
      <c r="IX89" s="947"/>
      <c r="IY89" s="947"/>
      <c r="IZ89" s="947"/>
      <c r="JA89" s="947"/>
      <c r="JB89" s="947"/>
      <c r="JC89" s="947"/>
      <c r="JD89" s="947"/>
      <c r="JE89" s="947"/>
      <c r="JF89" s="947"/>
      <c r="JG89" s="947"/>
      <c r="JH89" s="947"/>
      <c r="JI89" s="947"/>
      <c r="JJ89" s="947"/>
      <c r="JK89" s="947"/>
      <c r="JL89" s="947"/>
      <c r="JM89" s="947"/>
      <c r="JN89" s="947"/>
      <c r="JO89" s="947"/>
      <c r="JP89" s="947"/>
      <c r="JQ89" s="947"/>
      <c r="JR89" s="947"/>
      <c r="JS89" s="947"/>
      <c r="JT89" s="947"/>
      <c r="JU89" s="947"/>
      <c r="JV89" s="947"/>
      <c r="JW89" s="947"/>
      <c r="JX89" s="947"/>
      <c r="JY89" s="947"/>
      <c r="JZ89" s="947"/>
      <c r="KA89" s="947"/>
      <c r="KB89" s="947"/>
      <c r="KC89" s="947"/>
      <c r="KD89" s="947"/>
      <c r="KE89" s="947"/>
      <c r="KF89" s="947"/>
      <c r="KG89" s="947"/>
      <c r="KH89" s="947"/>
      <c r="KI89" s="947"/>
      <c r="KJ89" s="947"/>
      <c r="KK89" s="947"/>
      <c r="KL89" s="947"/>
      <c r="KM89" s="947"/>
      <c r="KN89" s="947"/>
      <c r="KO89" s="947"/>
      <c r="KP89" s="947"/>
      <c r="KQ89" s="947"/>
      <c r="KR89" s="947"/>
      <c r="KS89" s="947"/>
      <c r="KT89" s="947"/>
      <c r="KU89" s="947"/>
      <c r="KV89" s="947"/>
      <c r="KW89" s="947"/>
      <c r="KX89" s="947"/>
      <c r="KY89" s="947"/>
      <c r="KZ89" s="947"/>
      <c r="LA89" s="947"/>
      <c r="LB89" s="947"/>
      <c r="LC89" s="947"/>
      <c r="LD89" s="947"/>
      <c r="LE89" s="947"/>
      <c r="LF89" s="947"/>
      <c r="LG89" s="947"/>
      <c r="LH89" s="947"/>
      <c r="LI89" s="947"/>
      <c r="LJ89" s="947"/>
      <c r="LK89" s="947"/>
      <c r="LL89" s="947"/>
      <c r="LM89" s="947"/>
      <c r="LN89" s="947"/>
      <c r="LO89" s="947"/>
      <c r="LP89" s="947"/>
      <c r="LQ89" s="947"/>
      <c r="LR89" s="947"/>
      <c r="LS89" s="947"/>
      <c r="LT89" s="947"/>
      <c r="LU89" s="947"/>
      <c r="LV89" s="947"/>
      <c r="LW89" s="947"/>
      <c r="LX89" s="947"/>
      <c r="LY89" s="947"/>
      <c r="LZ89" s="947"/>
      <c r="MA89" s="947"/>
      <c r="MB89" s="947"/>
      <c r="MC89" s="947"/>
      <c r="MD89" s="947"/>
      <c r="ME89" s="947"/>
      <c r="MF89" s="947"/>
      <c r="MG89" s="947"/>
      <c r="MH89" s="947"/>
      <c r="MI89" s="947"/>
      <c r="MJ89" s="947"/>
      <c r="MK89" s="947"/>
      <c r="ML89" s="947"/>
      <c r="MM89" s="947"/>
      <c r="MN89" s="947"/>
      <c r="MO89" s="947"/>
      <c r="MP89" s="947"/>
      <c r="MQ89" s="947"/>
      <c r="MR89" s="947"/>
      <c r="MS89" s="947"/>
      <c r="MT89" s="947"/>
      <c r="MU89" s="947"/>
      <c r="MV89" s="947"/>
      <c r="MW89" s="947"/>
      <c r="MX89" s="947"/>
      <c r="MY89" s="947"/>
      <c r="MZ89" s="947"/>
      <c r="NA89" s="947"/>
      <c r="NB89" s="947"/>
      <c r="NC89" s="947"/>
      <c r="ND89" s="947"/>
      <c r="NE89" s="947"/>
      <c r="NF89" s="947"/>
      <c r="NG89" s="947"/>
      <c r="NH89" s="947"/>
      <c r="NI89" s="947"/>
      <c r="NJ89" s="947"/>
      <c r="NK89" s="947"/>
      <c r="NL89" s="947"/>
      <c r="NM89" s="947"/>
      <c r="NN89" s="947"/>
      <c r="NO89" s="947"/>
      <c r="NP89" s="947"/>
      <c r="NQ89" s="947"/>
      <c r="NR89" s="947"/>
      <c r="NS89" s="947"/>
      <c r="NT89" s="947"/>
      <c r="NU89" s="947"/>
      <c r="NV89" s="947"/>
      <c r="NW89" s="947"/>
      <c r="NX89" s="947"/>
      <c r="NY89" s="947"/>
      <c r="NZ89" s="947"/>
      <c r="OA89" s="947"/>
      <c r="OB89" s="947"/>
      <c r="OC89" s="947"/>
      <c r="OD89" s="947"/>
      <c r="OE89" s="947"/>
      <c r="OF89" s="947"/>
      <c r="OG89" s="947"/>
      <c r="OH89" s="947"/>
      <c r="OI89" s="947"/>
      <c r="OJ89" s="947"/>
      <c r="OK89" s="947"/>
      <c r="OL89" s="947"/>
      <c r="OM89" s="947"/>
      <c r="ON89" s="947"/>
      <c r="OO89" s="947"/>
      <c r="OP89" s="947"/>
      <c r="OQ89" s="947"/>
      <c r="OR89" s="947"/>
      <c r="OS89" s="947"/>
      <c r="OT89" s="947"/>
      <c r="OU89" s="947"/>
      <c r="OV89" s="947"/>
      <c r="OW89" s="947"/>
      <c r="OX89" s="947"/>
      <c r="OY89" s="947"/>
      <c r="OZ89" s="947"/>
      <c r="PA89" s="947"/>
      <c r="PB89" s="947"/>
      <c r="PC89" s="947"/>
      <c r="PD89" s="947"/>
      <c r="PE89" s="947"/>
      <c r="PF89" s="947"/>
      <c r="PG89" s="947"/>
      <c r="PH89" s="947"/>
      <c r="PI89" s="947"/>
      <c r="PJ89" s="947"/>
      <c r="PK89" s="947"/>
      <c r="PL89" s="947"/>
      <c r="PM89" s="947"/>
      <c r="PN89" s="947"/>
      <c r="PO89" s="947"/>
      <c r="PP89" s="947"/>
      <c r="PQ89" s="947"/>
      <c r="PR89" s="947"/>
      <c r="PS89" s="947"/>
      <c r="PT89" s="947"/>
      <c r="PU89" s="947"/>
      <c r="PV89" s="947"/>
      <c r="PW89" s="947"/>
      <c r="PX89" s="947"/>
      <c r="PY89" s="947"/>
      <c r="PZ89" s="947"/>
      <c r="QA89" s="947"/>
      <c r="QB89" s="947"/>
      <c r="QC89" s="947"/>
      <c r="QD89" s="947"/>
      <c r="QE89" s="947"/>
      <c r="QF89" s="947"/>
      <c r="QG89" s="947"/>
      <c r="QH89" s="947"/>
      <c r="QI89" s="947"/>
      <c r="QJ89" s="947"/>
      <c r="QK89" s="947"/>
      <c r="QL89" s="947"/>
      <c r="QM89" s="947"/>
      <c r="QN89" s="947"/>
      <c r="QO89" s="947"/>
      <c r="QP89" s="947"/>
      <c r="QQ89" s="947"/>
      <c r="QR89" s="947"/>
      <c r="QS89" s="947"/>
      <c r="QT89" s="947"/>
      <c r="QU89" s="947"/>
      <c r="QV89" s="947"/>
      <c r="QW89" s="947"/>
      <c r="QX89" s="947"/>
      <c r="QY89" s="947"/>
      <c r="QZ89" s="947"/>
      <c r="RA89" s="947"/>
      <c r="RB89" s="947"/>
      <c r="RC89" s="947"/>
      <c r="RD89" s="947"/>
      <c r="RE89" s="947"/>
      <c r="RF89" s="947"/>
      <c r="RG89" s="947"/>
      <c r="RH89" s="947"/>
      <c r="RI89" s="947"/>
      <c r="RJ89" s="947"/>
      <c r="RK89" s="947"/>
      <c r="RL89" s="947"/>
      <c r="RM89" s="947"/>
      <c r="RN89" s="947"/>
      <c r="RO89" s="947"/>
      <c r="RP89" s="947"/>
      <c r="RQ89" s="947"/>
      <c r="RR89" s="947"/>
      <c r="RS89" s="947"/>
      <c r="RT89" s="947"/>
      <c r="RU89" s="947"/>
      <c r="RV89" s="947"/>
      <c r="RW89" s="947"/>
      <c r="RX89" s="947"/>
      <c r="RY89" s="947"/>
      <c r="RZ89" s="947"/>
      <c r="SA89" s="947"/>
      <c r="SB89" s="947"/>
      <c r="SC89" s="947"/>
      <c r="SD89" s="947"/>
      <c r="SE89" s="947"/>
      <c r="SF89" s="947"/>
      <c r="SG89" s="947"/>
      <c r="SH89" s="947"/>
      <c r="SI89" s="947"/>
      <c r="SJ89" s="947"/>
      <c r="SK89" s="947"/>
      <c r="SL89" s="947"/>
      <c r="SM89" s="947"/>
      <c r="SN89" s="947"/>
      <c r="SO89" s="947"/>
      <c r="SP89" s="947"/>
      <c r="SQ89" s="947"/>
      <c r="SR89" s="947"/>
      <c r="SS89" s="947"/>
      <c r="ST89" s="947"/>
      <c r="SU89" s="947"/>
      <c r="SV89" s="947"/>
      <c r="SW89" s="947"/>
      <c r="SX89" s="947"/>
      <c r="SY89" s="947"/>
      <c r="SZ89" s="947"/>
      <c r="TA89" s="947"/>
      <c r="TB89" s="947"/>
      <c r="TC89" s="947"/>
      <c r="TD89" s="947"/>
      <c r="TE89" s="947"/>
      <c r="TF89" s="947"/>
      <c r="TG89" s="947"/>
      <c r="TH89" s="947"/>
      <c r="TI89" s="947"/>
      <c r="TJ89" s="947"/>
      <c r="TK89" s="947"/>
      <c r="TL89" s="947"/>
      <c r="TM89" s="947"/>
      <c r="TN89" s="947"/>
      <c r="TO89" s="947"/>
      <c r="TP89" s="947"/>
      <c r="TQ89" s="947"/>
      <c r="TR89" s="947"/>
      <c r="TS89" s="947"/>
      <c r="TT89" s="947"/>
      <c r="TU89" s="947"/>
      <c r="TV89" s="947"/>
      <c r="TW89" s="947"/>
      <c r="TX89" s="947"/>
      <c r="TY89" s="947"/>
      <c r="TZ89" s="947"/>
      <c r="UA89" s="947"/>
      <c r="UB89" s="947"/>
      <c r="UC89" s="947"/>
      <c r="UD89" s="947"/>
      <c r="UE89" s="947"/>
      <c r="UF89" s="947"/>
      <c r="UG89" s="947"/>
      <c r="UH89" s="947"/>
      <c r="UI89" s="947"/>
      <c r="UJ89" s="947"/>
      <c r="UK89" s="947"/>
      <c r="UL89" s="947"/>
      <c r="UM89" s="947"/>
      <c r="UN89" s="947"/>
      <c r="UO89" s="947"/>
      <c r="UP89" s="947"/>
      <c r="UQ89" s="947"/>
      <c r="UR89" s="947"/>
      <c r="US89" s="947"/>
      <c r="UT89" s="947"/>
      <c r="UU89" s="947"/>
      <c r="UV89" s="947"/>
      <c r="UW89" s="947"/>
      <c r="UX89" s="947"/>
      <c r="UY89" s="947"/>
      <c r="UZ89" s="947"/>
      <c r="VA89" s="947"/>
      <c r="VB89" s="947"/>
      <c r="VC89" s="947"/>
      <c r="VD89" s="947"/>
      <c r="VE89" s="947"/>
      <c r="VF89" s="947"/>
      <c r="VG89" s="947"/>
      <c r="VH89" s="947"/>
      <c r="VI89" s="947"/>
      <c r="VJ89" s="947"/>
      <c r="VK89" s="947"/>
      <c r="VL89" s="947"/>
      <c r="VM89" s="947"/>
      <c r="VN89" s="947"/>
      <c r="VO89" s="947"/>
      <c r="VP89" s="947"/>
      <c r="VQ89" s="947"/>
      <c r="VR89" s="947"/>
      <c r="VS89" s="947"/>
      <c r="VT89" s="947"/>
      <c r="VU89" s="947"/>
      <c r="VV89" s="947"/>
      <c r="VW89" s="947"/>
      <c r="VX89" s="947"/>
      <c r="VY89" s="947"/>
      <c r="VZ89" s="947"/>
      <c r="WA89" s="947"/>
      <c r="WB89" s="947"/>
      <c r="WC89" s="947"/>
      <c r="WD89" s="947"/>
      <c r="WE89" s="947"/>
      <c r="WF89" s="947"/>
      <c r="WG89" s="947"/>
      <c r="WH89" s="947"/>
      <c r="WI89" s="947"/>
      <c r="WJ89" s="947"/>
      <c r="WK89" s="947"/>
      <c r="WL89" s="947"/>
      <c r="WM89" s="947"/>
      <c r="WN89" s="947"/>
      <c r="WO89" s="947"/>
      <c r="WP89" s="947"/>
      <c r="WQ89" s="947"/>
      <c r="WR89" s="947"/>
      <c r="WS89" s="947"/>
      <c r="WT89" s="947"/>
      <c r="WU89" s="947"/>
      <c r="WV89" s="947"/>
      <c r="WW89" s="947"/>
      <c r="WX89" s="947"/>
      <c r="WY89" s="947"/>
      <c r="WZ89" s="947"/>
      <c r="XA89" s="947"/>
      <c r="XB89" s="947"/>
      <c r="XC89" s="947"/>
      <c r="XD89" s="947"/>
      <c r="XE89" s="947"/>
      <c r="XF89" s="947"/>
      <c r="XG89" s="947"/>
      <c r="XH89" s="947"/>
      <c r="XI89" s="947"/>
      <c r="XJ89" s="947"/>
      <c r="XK89" s="947"/>
      <c r="XL89" s="947"/>
      <c r="XM89" s="947"/>
      <c r="XN89" s="947"/>
      <c r="XO89" s="947"/>
      <c r="XP89" s="947"/>
      <c r="XQ89" s="947"/>
      <c r="XR89" s="947"/>
      <c r="XS89" s="947"/>
      <c r="XT89" s="947"/>
      <c r="XU89" s="947"/>
      <c r="XV89" s="947"/>
      <c r="XW89" s="947"/>
      <c r="XX89" s="947"/>
      <c r="XY89" s="947"/>
      <c r="XZ89" s="947"/>
      <c r="YA89" s="947"/>
      <c r="YB89" s="947"/>
      <c r="YC89" s="947"/>
      <c r="YD89" s="947"/>
      <c r="YE89" s="947"/>
      <c r="YF89" s="947"/>
      <c r="YG89" s="947"/>
      <c r="YH89" s="947"/>
      <c r="YI89" s="947"/>
      <c r="YJ89" s="947"/>
      <c r="YK89" s="947"/>
      <c r="YL89" s="947"/>
      <c r="YM89" s="947"/>
      <c r="YN89" s="947"/>
      <c r="YO89" s="947"/>
      <c r="YP89" s="947"/>
      <c r="YQ89" s="947"/>
      <c r="YR89" s="947"/>
      <c r="YS89" s="947"/>
      <c r="YT89" s="947"/>
      <c r="YU89" s="947"/>
      <c r="YV89" s="947"/>
      <c r="YW89" s="947"/>
      <c r="YX89" s="947"/>
      <c r="YY89" s="947"/>
      <c r="YZ89" s="947"/>
      <c r="ZA89" s="947"/>
      <c r="ZB89" s="947"/>
      <c r="ZC89" s="947"/>
      <c r="ZD89" s="947"/>
      <c r="ZE89" s="947"/>
      <c r="ZF89" s="947"/>
      <c r="ZG89" s="947"/>
      <c r="ZH89" s="947"/>
      <c r="ZI89" s="947"/>
      <c r="ZJ89" s="947"/>
      <c r="ZK89" s="947"/>
      <c r="ZL89" s="947"/>
      <c r="ZM89" s="947"/>
      <c r="ZN89" s="947"/>
      <c r="ZO89" s="947"/>
      <c r="ZP89" s="947"/>
      <c r="ZQ89" s="947"/>
      <c r="ZR89" s="947"/>
      <c r="ZS89" s="947"/>
      <c r="ZT89" s="947"/>
      <c r="ZU89" s="947"/>
      <c r="ZV89" s="947"/>
      <c r="ZW89" s="947"/>
      <c r="ZX89" s="947"/>
      <c r="ZY89" s="947"/>
      <c r="ZZ89" s="947"/>
      <c r="AAA89" s="947"/>
      <c r="AAB89" s="947"/>
      <c r="AAC89" s="947"/>
      <c r="AAD89" s="947"/>
      <c r="AAE89" s="947"/>
      <c r="AAF89" s="947"/>
      <c r="AAG89" s="947"/>
      <c r="AAH89" s="947"/>
      <c r="AAI89" s="947"/>
      <c r="AAJ89" s="947"/>
      <c r="AAK89" s="947"/>
      <c r="AAL89" s="947"/>
      <c r="AAM89" s="947"/>
      <c r="AAN89" s="947"/>
      <c r="AAO89" s="947"/>
      <c r="AAP89" s="947"/>
      <c r="AAQ89" s="947"/>
      <c r="AAR89" s="947"/>
      <c r="AAS89" s="947"/>
      <c r="AAT89" s="947"/>
      <c r="AAU89" s="947"/>
      <c r="AAV89" s="947"/>
      <c r="AAW89" s="947"/>
      <c r="AAX89" s="947"/>
      <c r="AAY89" s="947"/>
      <c r="AAZ89" s="947"/>
      <c r="ABA89" s="947"/>
      <c r="ABB89" s="947"/>
      <c r="ABC89" s="947"/>
      <c r="ABD89" s="947"/>
      <c r="ABE89" s="947"/>
      <c r="ABF89" s="947"/>
      <c r="ABG89" s="947"/>
      <c r="ABH89" s="947"/>
      <c r="ABI89" s="947"/>
      <c r="ABJ89" s="947"/>
      <c r="ABK89" s="947"/>
      <c r="ABL89" s="947"/>
      <c r="ABM89" s="947"/>
      <c r="ABN89" s="947"/>
      <c r="ABO89" s="947"/>
      <c r="ABP89" s="947"/>
      <c r="ABQ89" s="947"/>
      <c r="ABR89" s="947"/>
      <c r="ABS89" s="947"/>
      <c r="ABT89" s="947"/>
      <c r="ABU89" s="947"/>
      <c r="ABV89" s="947"/>
      <c r="ABW89" s="947"/>
      <c r="ABX89" s="947"/>
      <c r="ABY89" s="947"/>
      <c r="ABZ89" s="947"/>
      <c r="ACA89" s="947"/>
      <c r="ACB89" s="947"/>
      <c r="ACC89" s="947"/>
      <c r="ACD89" s="947"/>
      <c r="ACE89" s="947"/>
      <c r="ACF89" s="947"/>
      <c r="ACG89" s="947"/>
      <c r="ACH89" s="947"/>
      <c r="ACI89" s="947"/>
      <c r="ACJ89" s="947"/>
      <c r="ACK89" s="947"/>
      <c r="ACL89" s="947"/>
      <c r="ACM89" s="947"/>
      <c r="ACN89" s="947"/>
      <c r="ACO89" s="947"/>
      <c r="ACP89" s="947"/>
      <c r="ACQ89" s="947"/>
      <c r="ACR89" s="947"/>
      <c r="ACS89" s="947"/>
      <c r="ACT89" s="947"/>
      <c r="ACU89" s="947"/>
      <c r="ACV89" s="947"/>
      <c r="ACW89" s="947"/>
      <c r="ACX89" s="947"/>
      <c r="ACY89" s="947"/>
      <c r="ACZ89" s="947"/>
      <c r="ADA89" s="947"/>
      <c r="ADB89" s="947"/>
      <c r="ADC89" s="947"/>
      <c r="ADD89" s="947"/>
      <c r="ADE89" s="947"/>
      <c r="ADF89" s="947"/>
      <c r="ADG89" s="947"/>
      <c r="ADH89" s="947"/>
      <c r="ADI89" s="947"/>
      <c r="ADJ89" s="947"/>
      <c r="ADK89" s="947"/>
      <c r="ADL89" s="947"/>
      <c r="ADM89" s="947"/>
      <c r="ADN89" s="947"/>
      <c r="ADO89" s="947"/>
      <c r="ADP89" s="947"/>
      <c r="ADQ89" s="947"/>
      <c r="ADR89" s="947"/>
      <c r="ADS89" s="947"/>
      <c r="ADT89" s="947"/>
      <c r="ADU89" s="947"/>
      <c r="ADV89" s="947"/>
      <c r="ADW89" s="947"/>
      <c r="ADX89" s="947"/>
      <c r="ADY89" s="947"/>
      <c r="ADZ89" s="947"/>
      <c r="AEA89" s="947"/>
      <c r="AEB89" s="947"/>
      <c r="AEC89" s="947"/>
      <c r="AED89" s="947"/>
      <c r="AEE89" s="947"/>
      <c r="AEF89" s="947"/>
      <c r="AEG89" s="947"/>
      <c r="AEH89" s="947"/>
      <c r="AEI89" s="947"/>
      <c r="AEJ89" s="947"/>
      <c r="AEK89" s="947"/>
      <c r="AEL89" s="947"/>
      <c r="AEM89" s="947"/>
      <c r="AEN89" s="947"/>
      <c r="AEO89" s="947"/>
      <c r="AEP89" s="947"/>
      <c r="AEQ89" s="947"/>
      <c r="AER89" s="947"/>
      <c r="AES89" s="947"/>
      <c r="AET89" s="947"/>
      <c r="AEU89" s="947"/>
      <c r="AEV89" s="947"/>
      <c r="AEW89" s="947"/>
      <c r="AEX89" s="947"/>
      <c r="AEY89" s="947"/>
      <c r="AEZ89" s="947"/>
      <c r="AFA89" s="947"/>
      <c r="AFB89" s="947"/>
      <c r="AFC89" s="947"/>
      <c r="AFD89" s="947"/>
      <c r="AFE89" s="947"/>
      <c r="AFF89" s="947"/>
      <c r="AFG89" s="947"/>
      <c r="AFH89" s="947"/>
      <c r="AFI89" s="947"/>
      <c r="AFJ89" s="947"/>
      <c r="AFK89" s="947"/>
      <c r="AFL89" s="947"/>
      <c r="AFM89" s="947"/>
      <c r="AFN89" s="947"/>
      <c r="AFO89" s="947"/>
      <c r="AFP89" s="947"/>
      <c r="AFQ89" s="947"/>
      <c r="AFR89" s="947"/>
      <c r="AFS89" s="947"/>
      <c r="AFT89" s="947"/>
      <c r="AFU89" s="947"/>
      <c r="AFV89" s="947"/>
      <c r="AFW89" s="947"/>
      <c r="AFX89" s="947"/>
      <c r="AFY89" s="947"/>
      <c r="AFZ89" s="947"/>
      <c r="AGA89" s="947"/>
      <c r="AGB89" s="947"/>
      <c r="AGC89" s="947"/>
      <c r="AGD89" s="947"/>
      <c r="AGE89" s="947"/>
      <c r="AGF89" s="947"/>
      <c r="AGG89" s="947"/>
      <c r="AGH89" s="947"/>
      <c r="AGI89" s="947"/>
      <c r="AGJ89" s="947"/>
      <c r="AGK89" s="947"/>
      <c r="AGL89" s="947"/>
      <c r="AGM89" s="947"/>
      <c r="AGN89" s="947"/>
      <c r="AGO89" s="947"/>
      <c r="AGP89" s="947"/>
      <c r="AGQ89" s="947"/>
      <c r="AGR89" s="947"/>
      <c r="AGS89" s="947"/>
      <c r="AGT89" s="947"/>
      <c r="AGU89" s="947"/>
      <c r="AGV89" s="947"/>
      <c r="AGW89" s="947"/>
      <c r="AGX89" s="947"/>
      <c r="AGY89" s="947"/>
      <c r="AGZ89" s="947"/>
      <c r="AHA89" s="947"/>
      <c r="AHB89" s="947"/>
      <c r="AHC89" s="947"/>
      <c r="AHD89" s="947"/>
      <c r="AHE89" s="947"/>
      <c r="AHF89" s="947"/>
      <c r="AHG89" s="947"/>
      <c r="AHH89" s="947"/>
      <c r="AHI89" s="947"/>
      <c r="AHJ89" s="947"/>
      <c r="AHK89" s="947"/>
      <c r="AHL89" s="947"/>
      <c r="AHM89" s="947"/>
      <c r="AHN89" s="947"/>
      <c r="AHO89" s="947"/>
      <c r="AHP89" s="947"/>
      <c r="AHQ89" s="947"/>
      <c r="AHR89" s="947"/>
      <c r="AHS89" s="947"/>
      <c r="AHT89" s="947"/>
      <c r="AHU89" s="947"/>
      <c r="AHV89" s="947"/>
      <c r="AHW89" s="947"/>
      <c r="AHX89" s="947"/>
      <c r="AHY89" s="947"/>
      <c r="AHZ89" s="947"/>
      <c r="AIA89" s="947"/>
      <c r="AIB89" s="947"/>
      <c r="AIC89" s="947"/>
      <c r="AID89" s="947"/>
      <c r="AIE89" s="947"/>
      <c r="AIF89" s="947"/>
      <c r="AIG89" s="947"/>
      <c r="AIH89" s="947"/>
      <c r="AII89" s="947"/>
      <c r="AIJ89" s="947"/>
      <c r="AIK89" s="947"/>
      <c r="AIL89" s="947"/>
      <c r="AIM89" s="947"/>
      <c r="AIN89" s="947"/>
      <c r="AIO89" s="947"/>
      <c r="AIP89" s="947"/>
      <c r="AIQ89" s="947"/>
      <c r="AIR89" s="947"/>
      <c r="AIS89" s="947"/>
      <c r="AIT89" s="947"/>
      <c r="AIU89" s="947"/>
      <c r="AIV89" s="947"/>
      <c r="AIW89" s="947"/>
      <c r="AIX89" s="947"/>
      <c r="AIY89" s="947"/>
      <c r="AIZ89" s="947"/>
      <c r="AJA89" s="947"/>
      <c r="AJB89" s="947"/>
      <c r="AJC89" s="947"/>
      <c r="AJD89" s="947"/>
      <c r="AJE89" s="947"/>
      <c r="AJF89" s="947"/>
      <c r="AJG89" s="947"/>
      <c r="AJH89" s="947"/>
      <c r="AJI89" s="947"/>
      <c r="AJJ89" s="947"/>
      <c r="AJK89" s="947"/>
      <c r="AJL89" s="947"/>
      <c r="AJM89" s="947"/>
      <c r="AJN89" s="947"/>
      <c r="AJO89" s="947"/>
      <c r="AJP89" s="947"/>
      <c r="AJQ89" s="947"/>
      <c r="AJR89" s="947"/>
      <c r="AJS89" s="947"/>
      <c r="AJT89" s="947"/>
      <c r="AJU89" s="947"/>
      <c r="AJV89" s="947"/>
      <c r="AJW89" s="947"/>
      <c r="AJX89" s="947"/>
      <c r="AJY89" s="947"/>
      <c r="AJZ89" s="947"/>
      <c r="AKA89" s="947"/>
      <c r="AKB89" s="947"/>
      <c r="AKC89" s="947"/>
      <c r="AKD89" s="947"/>
      <c r="AKE89" s="947"/>
      <c r="AKF89" s="947"/>
      <c r="AKG89" s="947"/>
      <c r="AKH89" s="947"/>
      <c r="AKI89" s="947"/>
      <c r="AKJ89" s="947"/>
      <c r="AKK89" s="947"/>
      <c r="AKL89" s="947"/>
      <c r="AKM89" s="947"/>
      <c r="AKN89" s="947"/>
      <c r="AKO89" s="947"/>
      <c r="AKP89" s="947"/>
      <c r="AKQ89" s="947"/>
      <c r="AKR89" s="947"/>
      <c r="AKS89" s="947"/>
      <c r="AKT89" s="947"/>
      <c r="AKU89" s="947"/>
      <c r="AKV89" s="947"/>
      <c r="AKW89" s="947"/>
      <c r="AKX89" s="947"/>
      <c r="AKY89" s="947"/>
      <c r="AKZ89" s="947"/>
      <c r="ALA89" s="947"/>
      <c r="ALB89" s="947"/>
      <c r="ALC89" s="947"/>
      <c r="ALD89" s="947"/>
      <c r="ALE89" s="947"/>
      <c r="ALF89" s="947"/>
      <c r="ALG89" s="947"/>
      <c r="ALH89" s="947"/>
      <c r="ALI89" s="947"/>
      <c r="ALJ89" s="947"/>
      <c r="ALK89" s="947"/>
      <c r="ALL89" s="947"/>
      <c r="ALM89" s="947"/>
      <c r="ALN89" s="947"/>
      <c r="ALO89" s="947"/>
      <c r="ALP89" s="947"/>
      <c r="ALQ89" s="947"/>
      <c r="ALR89" s="947"/>
      <c r="ALS89" s="947"/>
      <c r="ALT89" s="947"/>
      <c r="ALU89" s="947"/>
      <c r="ALV89" s="947"/>
      <c r="ALW89" s="947"/>
      <c r="ALX89" s="947"/>
      <c r="ALY89" s="947"/>
      <c r="ALZ89" s="947"/>
      <c r="AMA89" s="947"/>
      <c r="AMB89" s="947"/>
      <c r="AMC89" s="947"/>
      <c r="AMD89" s="947"/>
      <c r="AME89" s="947"/>
      <c r="AMF89" s="947"/>
      <c r="AMG89" s="947"/>
      <c r="AMH89" s="947"/>
      <c r="AMI89" s="947"/>
      <c r="AMJ89" s="947"/>
      <c r="AMK89" s="947"/>
      <c r="AML89" s="947"/>
      <c r="AMM89" s="947"/>
      <c r="AMN89" s="947"/>
      <c r="AMO89" s="947"/>
      <c r="AMP89" s="947"/>
      <c r="AMQ89" s="947"/>
      <c r="AMR89" s="947"/>
      <c r="AMS89" s="947"/>
      <c r="AMT89" s="947"/>
      <c r="AMU89" s="947"/>
      <c r="AMV89" s="947"/>
      <c r="AMW89" s="947"/>
      <c r="AMX89" s="947"/>
      <c r="AMY89" s="947"/>
      <c r="AMZ89" s="947"/>
      <c r="ANA89" s="947"/>
      <c r="ANB89" s="947"/>
      <c r="ANC89" s="947"/>
      <c r="AND89" s="947"/>
      <c r="ANE89" s="947"/>
      <c r="ANF89" s="947"/>
      <c r="ANG89" s="947"/>
      <c r="ANH89" s="947"/>
      <c r="ANI89" s="947"/>
      <c r="ANJ89" s="947"/>
      <c r="ANK89" s="947"/>
      <c r="ANL89" s="947"/>
      <c r="ANM89" s="947"/>
      <c r="ANN89" s="947"/>
      <c r="ANO89" s="947"/>
      <c r="ANP89" s="947"/>
      <c r="ANQ89" s="947"/>
      <c r="ANR89" s="947"/>
      <c r="ANS89" s="947"/>
      <c r="ANT89" s="947"/>
      <c r="ANU89" s="947"/>
      <c r="ANV89" s="947"/>
      <c r="ANW89" s="947"/>
      <c r="ANX89" s="947"/>
      <c r="ANY89" s="947"/>
      <c r="ANZ89" s="947"/>
      <c r="AOA89" s="947"/>
      <c r="AOB89" s="947"/>
      <c r="AOC89" s="947"/>
      <c r="AOD89" s="947"/>
      <c r="AOE89" s="947"/>
      <c r="AOF89" s="947"/>
      <c r="AOG89" s="947"/>
      <c r="AOH89" s="947"/>
      <c r="AOI89" s="947"/>
      <c r="AOJ89" s="947"/>
      <c r="AOK89" s="947"/>
      <c r="AOL89" s="947"/>
      <c r="AOM89" s="947"/>
      <c r="AON89" s="947"/>
      <c r="AOO89" s="947"/>
      <c r="AOP89" s="947"/>
      <c r="AOQ89" s="947"/>
      <c r="AOR89" s="947"/>
      <c r="AOS89" s="947"/>
      <c r="AOT89" s="947"/>
      <c r="AOU89" s="947"/>
      <c r="AOV89" s="947"/>
      <c r="AOW89" s="947"/>
      <c r="AOX89" s="947"/>
      <c r="AOY89" s="947"/>
      <c r="AOZ89" s="947"/>
      <c r="APA89" s="947"/>
      <c r="APB89" s="947"/>
      <c r="APC89" s="947"/>
      <c r="APD89" s="947"/>
      <c r="APE89" s="947"/>
      <c r="APF89" s="947"/>
      <c r="APG89" s="947"/>
      <c r="APH89" s="947"/>
      <c r="API89" s="947"/>
      <c r="APJ89" s="947"/>
      <c r="APK89" s="947"/>
      <c r="APL89" s="947"/>
      <c r="APM89" s="947"/>
      <c r="APN89" s="947"/>
      <c r="APO89" s="947"/>
      <c r="APP89" s="947"/>
      <c r="APQ89" s="947"/>
      <c r="APR89" s="947"/>
      <c r="APS89" s="947"/>
      <c r="APT89" s="947"/>
      <c r="APU89" s="947"/>
      <c r="APV89" s="947"/>
      <c r="APW89" s="947"/>
      <c r="APX89" s="947"/>
      <c r="APY89" s="947"/>
      <c r="APZ89" s="947"/>
      <c r="AQA89" s="947"/>
      <c r="AQB89" s="947"/>
      <c r="AQC89" s="947"/>
      <c r="AQD89" s="947"/>
      <c r="AQE89" s="947"/>
      <c r="AQF89" s="947"/>
      <c r="AQG89" s="947"/>
      <c r="AQH89" s="947"/>
      <c r="AQI89" s="947"/>
      <c r="AQJ89" s="947"/>
      <c r="AQK89" s="947"/>
      <c r="AQL89" s="947"/>
      <c r="AQM89" s="947"/>
      <c r="AQN89" s="947"/>
      <c r="AQO89" s="947"/>
      <c r="AQP89" s="947"/>
      <c r="AQQ89" s="947"/>
      <c r="AQR89" s="947"/>
      <c r="AQS89" s="947"/>
      <c r="AQT89" s="947"/>
      <c r="AQU89" s="947"/>
      <c r="AQV89" s="947"/>
      <c r="AQW89" s="947"/>
      <c r="AQX89" s="947"/>
      <c r="AQY89" s="947"/>
      <c r="AQZ89" s="947"/>
      <c r="ARA89" s="947"/>
      <c r="ARB89" s="947"/>
      <c r="ARC89" s="947"/>
      <c r="ARD89" s="947"/>
      <c r="ARE89" s="947"/>
      <c r="ARF89" s="947"/>
      <c r="ARG89" s="947"/>
      <c r="ARH89" s="947"/>
      <c r="ARI89" s="947"/>
      <c r="ARJ89" s="947"/>
      <c r="ARK89" s="947"/>
      <c r="ARL89" s="947"/>
      <c r="ARM89" s="947"/>
      <c r="ARN89" s="947"/>
      <c r="ARO89" s="947"/>
      <c r="ARP89" s="947"/>
      <c r="ARQ89" s="947"/>
      <c r="ARR89" s="947"/>
      <c r="ARS89" s="947"/>
      <c r="ART89" s="947"/>
      <c r="ARU89" s="947"/>
      <c r="ARV89" s="947"/>
      <c r="ARW89" s="947"/>
      <c r="ARX89" s="947"/>
      <c r="ARY89" s="947"/>
      <c r="ARZ89" s="947"/>
      <c r="ASA89" s="947"/>
      <c r="ASB89" s="947"/>
      <c r="ASC89" s="947"/>
      <c r="ASD89" s="947"/>
      <c r="ASE89" s="947"/>
      <c r="ASF89" s="947"/>
      <c r="ASG89" s="947"/>
      <c r="ASH89" s="947"/>
      <c r="ASI89" s="947"/>
      <c r="ASJ89" s="947"/>
      <c r="ASK89" s="947"/>
      <c r="ASL89" s="947"/>
      <c r="ASM89" s="947"/>
      <c r="ASN89" s="947"/>
      <c r="ASO89" s="947"/>
      <c r="ASP89" s="947"/>
      <c r="ASQ89" s="947"/>
      <c r="ASR89" s="947"/>
      <c r="ASS89" s="947"/>
      <c r="AST89" s="947"/>
      <c r="ASU89" s="947"/>
      <c r="ASV89" s="947"/>
      <c r="ASW89" s="947"/>
      <c r="ASX89" s="947"/>
      <c r="ASY89" s="947"/>
      <c r="ASZ89" s="947"/>
      <c r="ATA89" s="947"/>
      <c r="ATB89" s="947"/>
      <c r="ATC89" s="947"/>
      <c r="ATD89" s="947"/>
      <c r="ATE89" s="947"/>
      <c r="ATF89" s="947"/>
      <c r="ATG89" s="947"/>
      <c r="ATH89" s="947"/>
      <c r="ATI89" s="947"/>
      <c r="ATJ89" s="947"/>
      <c r="ATK89" s="947"/>
      <c r="ATL89" s="947"/>
      <c r="ATM89" s="947"/>
      <c r="ATN89" s="947"/>
      <c r="ATO89" s="947"/>
      <c r="ATP89" s="947"/>
      <c r="ATQ89" s="947"/>
      <c r="ATR89" s="947"/>
      <c r="ATS89" s="947"/>
      <c r="ATT89" s="947"/>
      <c r="ATU89" s="947"/>
      <c r="ATV89" s="947"/>
      <c r="ATW89" s="947"/>
      <c r="ATX89" s="947"/>
      <c r="ATY89" s="947"/>
      <c r="ATZ89" s="947"/>
      <c r="AUA89" s="947"/>
      <c r="AUB89" s="947"/>
      <c r="AUC89" s="947"/>
      <c r="AUD89" s="947"/>
      <c r="AUE89" s="947"/>
      <c r="AUF89" s="947"/>
      <c r="AUG89" s="947"/>
      <c r="AUH89" s="947"/>
      <c r="AUI89" s="947"/>
      <c r="AUJ89" s="947"/>
      <c r="AUK89" s="947"/>
      <c r="AUL89" s="947"/>
      <c r="AUM89" s="947"/>
      <c r="AUN89" s="947"/>
      <c r="AUO89" s="947"/>
      <c r="AUP89" s="947"/>
      <c r="AUQ89" s="947"/>
      <c r="AUR89" s="947"/>
      <c r="AUS89" s="947"/>
      <c r="AUT89" s="947"/>
      <c r="AUU89" s="947"/>
      <c r="AUV89" s="947"/>
      <c r="AUW89" s="947"/>
      <c r="AUX89" s="947"/>
      <c r="AUY89" s="947"/>
      <c r="AUZ89" s="947"/>
      <c r="AVA89" s="947"/>
      <c r="AVB89" s="947"/>
      <c r="AVC89" s="947"/>
      <c r="AVD89" s="947"/>
      <c r="AVE89" s="947"/>
      <c r="AVF89" s="947"/>
      <c r="AVG89" s="947"/>
      <c r="AVH89" s="947"/>
      <c r="AVI89" s="947"/>
      <c r="AVJ89" s="947"/>
      <c r="AVK89" s="947"/>
      <c r="AVL89" s="947"/>
      <c r="AVM89" s="947"/>
      <c r="AVN89" s="947"/>
      <c r="AVO89" s="947"/>
      <c r="AVP89" s="947"/>
      <c r="AVQ89" s="947"/>
      <c r="AVR89" s="947"/>
      <c r="AVS89" s="947"/>
      <c r="AVT89" s="947"/>
      <c r="AVU89" s="947"/>
      <c r="AVV89" s="947"/>
      <c r="AVW89" s="947"/>
      <c r="AVX89" s="947"/>
      <c r="AVY89" s="947"/>
      <c r="AVZ89" s="947"/>
      <c r="AWA89" s="947"/>
      <c r="AWB89" s="947"/>
      <c r="AWC89" s="947"/>
      <c r="AWD89" s="947"/>
      <c r="AWE89" s="947"/>
      <c r="AWF89" s="947"/>
      <c r="AWG89" s="947"/>
      <c r="AWH89" s="947"/>
      <c r="AWI89" s="947"/>
      <c r="AWJ89" s="947"/>
      <c r="AWK89" s="947"/>
      <c r="AWL89" s="947"/>
      <c r="AWM89" s="947"/>
      <c r="AWN89" s="947"/>
      <c r="AWO89" s="947"/>
      <c r="AWP89" s="947"/>
      <c r="AWQ89" s="947"/>
      <c r="AWR89" s="947"/>
      <c r="AWS89" s="947"/>
      <c r="AWT89" s="947"/>
      <c r="AWU89" s="947"/>
      <c r="AWV89" s="947"/>
      <c r="AWW89" s="947"/>
      <c r="AWX89" s="947"/>
      <c r="AWY89" s="947"/>
      <c r="AWZ89" s="947"/>
      <c r="AXA89" s="947"/>
      <c r="AXB89" s="947"/>
      <c r="AXC89" s="947"/>
      <c r="AXD89" s="947"/>
      <c r="AXE89" s="947"/>
      <c r="AXF89" s="947"/>
      <c r="AXG89" s="947"/>
      <c r="AXH89" s="947"/>
      <c r="AXI89" s="947"/>
      <c r="AXJ89" s="947"/>
      <c r="AXK89" s="947"/>
      <c r="AXL89" s="947"/>
      <c r="AXM89" s="947"/>
      <c r="AXN89" s="947"/>
      <c r="AXO89" s="947"/>
      <c r="AXP89" s="947"/>
      <c r="AXQ89" s="947"/>
      <c r="AXR89" s="947"/>
      <c r="AXS89" s="947"/>
      <c r="AXT89" s="947"/>
      <c r="AXU89" s="947"/>
      <c r="AXV89" s="947"/>
      <c r="AXW89" s="947"/>
      <c r="AXX89" s="947"/>
      <c r="AXY89" s="947"/>
      <c r="AXZ89" s="947"/>
      <c r="AYA89" s="947"/>
      <c r="AYB89" s="947"/>
      <c r="AYC89" s="947"/>
      <c r="AYD89" s="947"/>
      <c r="AYE89" s="947"/>
      <c r="AYF89" s="947"/>
      <c r="AYG89" s="947"/>
      <c r="AYH89" s="947"/>
      <c r="AYI89" s="947"/>
      <c r="AYJ89" s="947"/>
      <c r="AYK89" s="947"/>
      <c r="AYL89" s="947"/>
      <c r="AYM89" s="947"/>
      <c r="AYN89" s="947"/>
      <c r="AYO89" s="947"/>
      <c r="AYP89" s="947"/>
      <c r="AYQ89" s="947"/>
      <c r="AYR89" s="947"/>
      <c r="AYS89" s="947"/>
      <c r="AYT89" s="947"/>
      <c r="AYU89" s="947"/>
      <c r="AYV89" s="947"/>
      <c r="AYW89" s="947"/>
      <c r="AYX89" s="947"/>
      <c r="AYY89" s="947"/>
      <c r="AYZ89" s="947"/>
      <c r="AZA89" s="947"/>
      <c r="AZB89" s="947"/>
      <c r="AZC89" s="947"/>
      <c r="AZD89" s="947"/>
      <c r="AZE89" s="947"/>
      <c r="AZF89" s="947"/>
      <c r="AZG89" s="947"/>
      <c r="AZH89" s="947"/>
      <c r="AZI89" s="947"/>
      <c r="AZJ89" s="947"/>
      <c r="AZK89" s="947"/>
      <c r="AZL89" s="947"/>
      <c r="AZM89" s="947"/>
      <c r="AZN89" s="947"/>
      <c r="AZO89" s="947"/>
      <c r="AZP89" s="947"/>
      <c r="AZQ89" s="947"/>
      <c r="AZR89" s="947"/>
      <c r="AZS89" s="947"/>
      <c r="AZT89" s="947"/>
      <c r="AZU89" s="947"/>
      <c r="AZV89" s="947"/>
      <c r="AZW89" s="947"/>
      <c r="AZX89" s="947"/>
      <c r="AZY89" s="947"/>
      <c r="AZZ89" s="947"/>
      <c r="BAA89" s="947"/>
      <c r="BAB89" s="947"/>
      <c r="BAC89" s="947"/>
      <c r="BAD89" s="947"/>
      <c r="BAE89" s="947"/>
      <c r="BAF89" s="947"/>
      <c r="BAG89" s="947"/>
      <c r="BAH89" s="947"/>
      <c r="BAI89" s="947"/>
      <c r="BAJ89" s="947"/>
      <c r="BAK89" s="947"/>
      <c r="BAL89" s="947"/>
      <c r="BAM89" s="947"/>
      <c r="BAN89" s="947"/>
      <c r="BAO89" s="947"/>
      <c r="BAP89" s="947"/>
      <c r="BAQ89" s="947"/>
      <c r="BAR89" s="947"/>
      <c r="BAS89" s="947"/>
      <c r="BAT89" s="947"/>
      <c r="BAU89" s="947"/>
      <c r="BAV89" s="947"/>
      <c r="BAW89" s="947"/>
      <c r="BAX89" s="947"/>
      <c r="BAY89" s="947"/>
      <c r="BAZ89" s="947"/>
      <c r="BBA89" s="947"/>
      <c r="BBB89" s="947"/>
      <c r="BBC89" s="947"/>
      <c r="BBD89" s="947"/>
      <c r="BBE89" s="947"/>
      <c r="BBF89" s="947"/>
      <c r="BBG89" s="947"/>
      <c r="BBH89" s="947"/>
      <c r="BBI89" s="947"/>
      <c r="BBJ89" s="947"/>
      <c r="BBK89" s="947"/>
      <c r="BBL89" s="947"/>
      <c r="BBM89" s="947"/>
      <c r="BBN89" s="947"/>
      <c r="BBO89" s="947"/>
      <c r="BBP89" s="947"/>
      <c r="BBQ89" s="947"/>
      <c r="BBR89" s="947"/>
      <c r="BBS89" s="947"/>
      <c r="BBT89" s="947"/>
      <c r="BBU89" s="947"/>
      <c r="BBV89" s="947"/>
      <c r="BBW89" s="947"/>
      <c r="BBX89" s="947"/>
      <c r="BBY89" s="947"/>
      <c r="BBZ89" s="947"/>
      <c r="BCA89" s="947"/>
      <c r="BCB89" s="947"/>
      <c r="BCC89" s="947"/>
      <c r="BCD89" s="947"/>
      <c r="BCE89" s="947"/>
      <c r="BCF89" s="947"/>
      <c r="BCG89" s="947"/>
      <c r="BCH89" s="947"/>
      <c r="BCI89" s="947"/>
      <c r="BCJ89" s="947"/>
      <c r="BCK89" s="947"/>
      <c r="BCL89" s="947"/>
      <c r="BCM89" s="947"/>
      <c r="BCN89" s="947"/>
      <c r="BCO89" s="947"/>
      <c r="BCP89" s="947"/>
      <c r="BCQ89" s="947"/>
      <c r="BCR89" s="947"/>
      <c r="BCS89" s="947"/>
      <c r="BCT89" s="947"/>
      <c r="BCU89" s="947"/>
      <c r="BCV89" s="947"/>
      <c r="BCW89" s="947"/>
      <c r="BCX89" s="947"/>
      <c r="BCY89" s="947"/>
      <c r="BCZ89" s="947"/>
      <c r="BDA89" s="947"/>
      <c r="BDB89" s="947"/>
      <c r="BDC89" s="947"/>
      <c r="BDD89" s="947"/>
      <c r="BDE89" s="947"/>
      <c r="BDF89" s="947"/>
      <c r="BDG89" s="947"/>
      <c r="BDH89" s="947"/>
      <c r="BDI89" s="947"/>
      <c r="BDJ89" s="947"/>
      <c r="BDK89" s="947"/>
      <c r="BDL89" s="947"/>
      <c r="BDM89" s="947"/>
      <c r="BDN89" s="947"/>
      <c r="BDO89" s="947"/>
      <c r="BDP89" s="947"/>
      <c r="BDQ89" s="947"/>
      <c r="BDR89" s="947"/>
      <c r="BDS89" s="947"/>
      <c r="BDT89" s="947"/>
      <c r="BDU89" s="947"/>
      <c r="BDV89" s="947"/>
      <c r="BDW89" s="947"/>
      <c r="BDX89" s="947"/>
      <c r="BDY89" s="947"/>
      <c r="BDZ89" s="947"/>
      <c r="BEA89" s="947"/>
      <c r="BEB89" s="947"/>
      <c r="BEC89" s="947"/>
      <c r="BED89" s="947"/>
      <c r="BEE89" s="947"/>
      <c r="BEF89" s="947"/>
      <c r="BEG89" s="947"/>
      <c r="BEH89" s="947"/>
      <c r="BEI89" s="947"/>
      <c r="BEJ89" s="947"/>
      <c r="BEK89" s="947"/>
      <c r="BEL89" s="947"/>
      <c r="BEM89" s="947"/>
      <c r="BEN89" s="947"/>
      <c r="BEO89" s="947"/>
      <c r="BEP89" s="947"/>
      <c r="BEQ89" s="947"/>
      <c r="BER89" s="947"/>
      <c r="BES89" s="947"/>
      <c r="BET89" s="947"/>
      <c r="BEU89" s="947"/>
      <c r="BEV89" s="947"/>
      <c r="BEW89" s="947"/>
      <c r="BEX89" s="947"/>
      <c r="BEY89" s="947"/>
      <c r="BEZ89" s="947"/>
      <c r="BFA89" s="947"/>
      <c r="BFB89" s="947"/>
      <c r="BFC89" s="947"/>
      <c r="BFD89" s="947"/>
      <c r="BFE89" s="947"/>
      <c r="BFF89" s="947"/>
      <c r="BFG89" s="947"/>
      <c r="BFH89" s="947"/>
      <c r="BFI89" s="947"/>
      <c r="BFJ89" s="947"/>
      <c r="BFK89" s="947"/>
      <c r="BFL89" s="947"/>
      <c r="BFM89" s="947"/>
      <c r="BFN89" s="947"/>
      <c r="BFO89" s="947"/>
      <c r="BFP89" s="947"/>
      <c r="BFQ89" s="947"/>
      <c r="BFR89" s="947"/>
      <c r="BFS89" s="947"/>
      <c r="BFT89" s="947"/>
      <c r="BFU89" s="947"/>
      <c r="BFV89" s="947"/>
      <c r="BFW89" s="947"/>
      <c r="BFX89" s="947"/>
      <c r="BFY89" s="947"/>
      <c r="BFZ89" s="947"/>
      <c r="BGA89" s="947"/>
      <c r="BGB89" s="947"/>
      <c r="BGC89" s="947"/>
      <c r="BGD89" s="947"/>
      <c r="BGE89" s="947"/>
      <c r="BGF89" s="947"/>
      <c r="BGG89" s="947"/>
      <c r="BGH89" s="947"/>
      <c r="BGI89" s="947"/>
      <c r="BGJ89" s="947"/>
      <c r="BGK89" s="947"/>
      <c r="BGL89" s="947"/>
      <c r="BGM89" s="947"/>
      <c r="BGN89" s="947"/>
      <c r="BGO89" s="947"/>
      <c r="BGP89" s="947"/>
      <c r="BGQ89" s="947"/>
      <c r="BGR89" s="947"/>
      <c r="BGS89" s="947"/>
      <c r="BGT89" s="947"/>
      <c r="BGU89" s="947"/>
      <c r="BGV89" s="947"/>
      <c r="BGW89" s="947"/>
      <c r="BGX89" s="947"/>
      <c r="BGY89" s="947"/>
      <c r="BGZ89" s="947"/>
      <c r="BHA89" s="947"/>
      <c r="BHB89" s="947"/>
      <c r="BHC89" s="947"/>
      <c r="BHD89" s="947"/>
      <c r="BHE89" s="947"/>
      <c r="BHF89" s="947"/>
      <c r="BHG89" s="947"/>
      <c r="BHH89" s="947"/>
      <c r="BHI89" s="947"/>
      <c r="BHJ89" s="947"/>
      <c r="BHK89" s="947"/>
      <c r="BHL89" s="947"/>
      <c r="BHM89" s="947"/>
      <c r="BHN89" s="947"/>
      <c r="BHO89" s="947"/>
      <c r="BHP89" s="947"/>
      <c r="BHQ89" s="947"/>
      <c r="BHR89" s="947"/>
      <c r="BHS89" s="947"/>
      <c r="BHT89" s="947"/>
      <c r="BHU89" s="947"/>
      <c r="BHV89" s="947"/>
      <c r="BHW89" s="947"/>
      <c r="BHX89" s="947"/>
      <c r="BHY89" s="947"/>
      <c r="BHZ89" s="947"/>
      <c r="BIA89" s="947"/>
      <c r="BIB89" s="947"/>
      <c r="BIC89" s="947"/>
      <c r="BID89" s="947"/>
      <c r="BIE89" s="947"/>
      <c r="BIF89" s="947"/>
      <c r="BIG89" s="947"/>
      <c r="BIH89" s="947"/>
      <c r="BII89" s="947"/>
      <c r="BIJ89" s="947"/>
      <c r="BIK89" s="947"/>
      <c r="BIL89" s="947"/>
      <c r="BIM89" s="947"/>
      <c r="BIN89" s="947"/>
      <c r="BIO89" s="947"/>
      <c r="BIP89" s="947"/>
      <c r="BIQ89" s="947"/>
      <c r="BIR89" s="947"/>
      <c r="BIS89" s="947"/>
      <c r="BIT89" s="947"/>
      <c r="BIU89" s="947"/>
      <c r="BIV89" s="947"/>
      <c r="BIW89" s="947"/>
      <c r="BIX89" s="947"/>
      <c r="BIY89" s="947"/>
      <c r="BIZ89" s="947"/>
      <c r="BJA89" s="947"/>
      <c r="BJB89" s="947"/>
      <c r="BJC89" s="947"/>
      <c r="BJD89" s="947"/>
      <c r="BJE89" s="947"/>
      <c r="BJF89" s="947"/>
      <c r="BJG89" s="947"/>
      <c r="BJH89" s="947"/>
      <c r="BJI89" s="947"/>
      <c r="BJJ89" s="947"/>
      <c r="BJK89" s="947"/>
      <c r="BJL89" s="947"/>
      <c r="BJM89" s="947"/>
      <c r="BJN89" s="947"/>
      <c r="BJO89" s="947"/>
      <c r="BJP89" s="947"/>
      <c r="BJQ89" s="947"/>
      <c r="BJR89" s="947"/>
      <c r="BJS89" s="947"/>
      <c r="BJT89" s="947"/>
      <c r="BJU89" s="947"/>
      <c r="BJV89" s="947"/>
      <c r="BJW89" s="947"/>
      <c r="BJX89" s="947"/>
      <c r="BJY89" s="947"/>
      <c r="BJZ89" s="947"/>
      <c r="BKA89" s="947"/>
      <c r="BKB89" s="947"/>
      <c r="BKC89" s="947"/>
      <c r="BKD89" s="947"/>
      <c r="BKE89" s="947"/>
      <c r="BKF89" s="947"/>
      <c r="BKG89" s="947"/>
      <c r="BKH89" s="947"/>
      <c r="BKI89" s="947"/>
      <c r="BKJ89" s="947"/>
      <c r="BKK89" s="947"/>
      <c r="BKL89" s="947"/>
      <c r="BKM89" s="947"/>
      <c r="BKN89" s="947"/>
      <c r="BKO89" s="947"/>
      <c r="BKP89" s="947"/>
      <c r="BKQ89" s="947"/>
      <c r="BKR89" s="947"/>
      <c r="BKS89" s="947"/>
      <c r="BKT89" s="947"/>
      <c r="BKU89" s="947"/>
      <c r="BKV89" s="947"/>
      <c r="BKW89" s="947"/>
      <c r="BKX89" s="947"/>
      <c r="BKY89" s="947"/>
      <c r="BKZ89" s="947"/>
      <c r="BLA89" s="947"/>
      <c r="BLB89" s="947"/>
      <c r="BLC89" s="947"/>
      <c r="BLD89" s="947"/>
      <c r="BLE89" s="947"/>
      <c r="BLF89" s="947"/>
      <c r="BLG89" s="947"/>
      <c r="BLH89" s="947"/>
      <c r="BLI89" s="947"/>
      <c r="BLJ89" s="947"/>
      <c r="BLK89" s="947"/>
      <c r="BLL89" s="947"/>
      <c r="BLM89" s="947"/>
      <c r="BLN89" s="947"/>
      <c r="BLO89" s="947"/>
      <c r="BLP89" s="947"/>
      <c r="BLQ89" s="947"/>
      <c r="BLR89" s="947"/>
      <c r="BLS89" s="947"/>
      <c r="BLT89" s="947"/>
      <c r="BLU89" s="947"/>
      <c r="BLV89" s="947"/>
      <c r="BLW89" s="947"/>
      <c r="BLX89" s="947"/>
      <c r="BLY89" s="947"/>
      <c r="BLZ89" s="947"/>
      <c r="BMA89" s="947"/>
      <c r="BMB89" s="947"/>
      <c r="BMC89" s="947"/>
      <c r="BMD89" s="947"/>
      <c r="BME89" s="947"/>
      <c r="BMF89" s="947"/>
      <c r="BMG89" s="947"/>
      <c r="BMH89" s="947"/>
      <c r="BMI89" s="947"/>
      <c r="BMJ89" s="947"/>
      <c r="BMK89" s="947"/>
      <c r="BML89" s="947"/>
      <c r="BMM89" s="947"/>
      <c r="BMN89" s="947"/>
      <c r="BMO89" s="947"/>
      <c r="BMP89" s="947"/>
      <c r="BMQ89" s="947"/>
      <c r="BMR89" s="947"/>
      <c r="BMS89" s="947"/>
      <c r="BMT89" s="947"/>
      <c r="BMU89" s="947"/>
      <c r="BMV89" s="947"/>
      <c r="BMW89" s="947"/>
      <c r="BMX89" s="947"/>
      <c r="BMY89" s="947"/>
      <c r="BMZ89" s="947"/>
      <c r="BNA89" s="947"/>
      <c r="BNB89" s="947"/>
      <c r="BNC89" s="947"/>
      <c r="BND89" s="947"/>
      <c r="BNE89" s="947"/>
      <c r="BNF89" s="947"/>
      <c r="BNG89" s="947"/>
      <c r="BNH89" s="947"/>
      <c r="BNI89" s="947"/>
      <c r="BNJ89" s="947"/>
      <c r="BNK89" s="947"/>
      <c r="BNL89" s="947"/>
      <c r="BNM89" s="947"/>
      <c r="BNN89" s="947"/>
      <c r="BNO89" s="947"/>
      <c r="BNP89" s="947"/>
      <c r="BNQ89" s="947"/>
      <c r="BNR89" s="947"/>
      <c r="BNS89" s="947"/>
      <c r="BNT89" s="947"/>
      <c r="BNU89" s="947"/>
      <c r="BNV89" s="947"/>
      <c r="BNW89" s="947"/>
      <c r="BNX89" s="947"/>
      <c r="BNY89" s="947"/>
      <c r="BNZ89" s="947"/>
      <c r="BOA89" s="947"/>
      <c r="BOB89" s="947"/>
      <c r="BOC89" s="947"/>
      <c r="BOD89" s="947"/>
      <c r="BOE89" s="947"/>
      <c r="BOF89" s="947"/>
      <c r="BOG89" s="947"/>
      <c r="BOH89" s="947"/>
      <c r="BOI89" s="947"/>
      <c r="BOJ89" s="947"/>
      <c r="BOK89" s="947"/>
      <c r="BOL89" s="947"/>
      <c r="BOM89" s="947"/>
      <c r="BON89" s="947"/>
      <c r="BOO89" s="947"/>
      <c r="BOP89" s="947"/>
      <c r="BOQ89" s="947"/>
      <c r="BOR89" s="947"/>
      <c r="BOS89" s="947"/>
      <c r="BOT89" s="947"/>
      <c r="BOU89" s="947"/>
      <c r="BOV89" s="947"/>
      <c r="BOW89" s="947"/>
      <c r="BOX89" s="947"/>
      <c r="BOY89" s="947"/>
      <c r="BOZ89" s="947"/>
      <c r="BPA89" s="947"/>
      <c r="BPB89" s="947"/>
      <c r="BPC89" s="947"/>
      <c r="BPD89" s="947"/>
      <c r="BPE89" s="947"/>
      <c r="BPF89" s="947"/>
      <c r="BPG89" s="947"/>
      <c r="BPH89" s="947"/>
      <c r="BPI89" s="947"/>
      <c r="BPJ89" s="947"/>
      <c r="BPK89" s="947"/>
      <c r="BPL89" s="947"/>
      <c r="BPM89" s="947"/>
      <c r="BPN89" s="947"/>
      <c r="BPO89" s="947"/>
      <c r="BPP89" s="947"/>
      <c r="BPQ89" s="947"/>
      <c r="BPR89" s="947"/>
      <c r="BPS89" s="947"/>
      <c r="BPT89" s="947"/>
      <c r="BPU89" s="947"/>
      <c r="BPV89" s="947"/>
      <c r="BPW89" s="947"/>
      <c r="BPX89" s="947"/>
      <c r="BPY89" s="947"/>
      <c r="BPZ89" s="947"/>
      <c r="BQA89" s="947"/>
      <c r="BQB89" s="947"/>
      <c r="BQC89" s="947"/>
      <c r="BQD89" s="947"/>
      <c r="BQE89" s="947"/>
      <c r="BQF89" s="947"/>
      <c r="BQG89" s="947"/>
      <c r="BQH89" s="947"/>
      <c r="BQI89" s="947"/>
      <c r="BQJ89" s="947"/>
      <c r="BQK89" s="947"/>
      <c r="BQL89" s="947"/>
      <c r="BQM89" s="947"/>
      <c r="BQN89" s="947"/>
      <c r="BQO89" s="947"/>
      <c r="BQP89" s="947"/>
      <c r="BQQ89" s="947"/>
      <c r="BQR89" s="947"/>
      <c r="BQS89" s="947"/>
      <c r="BQT89" s="947"/>
      <c r="BQU89" s="947"/>
      <c r="BQV89" s="947"/>
      <c r="BQW89" s="947"/>
      <c r="BQX89" s="947"/>
      <c r="BQY89" s="947"/>
      <c r="BQZ89" s="947"/>
      <c r="BRA89" s="947"/>
      <c r="BRB89" s="947"/>
      <c r="BRC89" s="947"/>
      <c r="BRD89" s="947"/>
      <c r="BRE89" s="947"/>
      <c r="BRF89" s="947"/>
      <c r="BRG89" s="947"/>
      <c r="BRH89" s="947"/>
      <c r="BRI89" s="947"/>
      <c r="BRJ89" s="947"/>
      <c r="BRK89" s="947"/>
      <c r="BRL89" s="947"/>
      <c r="BRM89" s="947"/>
      <c r="BRN89" s="947"/>
      <c r="BRO89" s="947"/>
      <c r="BRP89" s="947"/>
      <c r="BRQ89" s="947"/>
      <c r="BRR89" s="947"/>
      <c r="BRS89" s="947"/>
      <c r="BRT89" s="947"/>
      <c r="BRU89" s="947"/>
      <c r="BRV89" s="947"/>
      <c r="BRW89" s="947"/>
      <c r="BRX89" s="947"/>
      <c r="BRY89" s="947"/>
      <c r="BRZ89" s="947"/>
      <c r="BSA89" s="947"/>
      <c r="BSB89" s="947"/>
      <c r="BSC89" s="947"/>
      <c r="BSD89" s="947"/>
      <c r="BSE89" s="947"/>
      <c r="BSF89" s="947"/>
      <c r="BSG89" s="947"/>
      <c r="BSH89" s="947"/>
      <c r="BSI89" s="947"/>
      <c r="BSJ89" s="947"/>
      <c r="BSK89" s="947"/>
      <c r="BSL89" s="947"/>
      <c r="BSM89" s="947"/>
      <c r="BSN89" s="947"/>
      <c r="BSO89" s="947"/>
      <c r="BSP89" s="947"/>
      <c r="BSQ89" s="947"/>
      <c r="BSR89" s="947"/>
      <c r="BSS89" s="947"/>
      <c r="BST89" s="947"/>
      <c r="BSU89" s="947"/>
      <c r="BSV89" s="947"/>
      <c r="BSW89" s="947"/>
      <c r="BSX89" s="947"/>
      <c r="BSY89" s="947"/>
      <c r="BSZ89" s="947"/>
      <c r="BTA89" s="947"/>
      <c r="BTB89" s="947"/>
      <c r="BTC89" s="947"/>
      <c r="BTD89" s="947"/>
      <c r="BTE89" s="947"/>
      <c r="BTF89" s="947"/>
      <c r="BTG89" s="947"/>
      <c r="BTH89" s="947"/>
      <c r="BTI89" s="947"/>
      <c r="BTJ89" s="947"/>
      <c r="BTK89" s="947"/>
      <c r="BTL89" s="947"/>
      <c r="BTM89" s="947"/>
      <c r="BTN89" s="947"/>
      <c r="BTO89" s="947"/>
      <c r="BTP89" s="947"/>
      <c r="BTQ89" s="947"/>
      <c r="BTR89" s="947"/>
      <c r="BTS89" s="947"/>
      <c r="BTT89" s="947"/>
      <c r="BTU89" s="947"/>
      <c r="BTV89" s="947"/>
      <c r="BTW89" s="947"/>
      <c r="BTX89" s="947"/>
      <c r="BTY89" s="947"/>
      <c r="BTZ89" s="947"/>
      <c r="BUA89" s="947"/>
      <c r="BUB89" s="947"/>
      <c r="BUC89" s="947"/>
      <c r="BUD89" s="947"/>
      <c r="BUE89" s="947"/>
      <c r="BUF89" s="947"/>
      <c r="BUG89" s="947"/>
      <c r="BUH89" s="947"/>
      <c r="BUI89" s="947"/>
      <c r="BUJ89" s="947"/>
      <c r="BUK89" s="947"/>
      <c r="BUL89" s="947"/>
      <c r="BUM89" s="947"/>
      <c r="BUN89" s="947"/>
      <c r="BUO89" s="947"/>
      <c r="BUP89" s="947"/>
      <c r="BUQ89" s="947"/>
      <c r="BUR89" s="947"/>
      <c r="BUS89" s="947"/>
      <c r="BUT89" s="947"/>
      <c r="BUU89" s="947"/>
      <c r="BUV89" s="947"/>
      <c r="BUW89" s="947"/>
      <c r="BUX89" s="947"/>
      <c r="BUY89" s="947"/>
      <c r="BUZ89" s="947"/>
      <c r="BVA89" s="947"/>
      <c r="BVB89" s="947"/>
      <c r="BVC89" s="947"/>
      <c r="BVD89" s="947"/>
      <c r="BVE89" s="947"/>
      <c r="BVF89" s="947"/>
      <c r="BVG89" s="947"/>
      <c r="BVH89" s="947"/>
      <c r="BVI89" s="947"/>
      <c r="BVJ89" s="947"/>
      <c r="BVK89" s="947"/>
      <c r="BVL89" s="947"/>
      <c r="BVM89" s="947"/>
      <c r="BVN89" s="947"/>
      <c r="BVO89" s="947"/>
      <c r="BVP89" s="947"/>
      <c r="BVQ89" s="947"/>
      <c r="BVR89" s="947"/>
      <c r="BVS89" s="947"/>
      <c r="BVT89" s="947"/>
      <c r="BVU89" s="947"/>
      <c r="BVV89" s="947"/>
      <c r="BVW89" s="947"/>
      <c r="BVX89" s="947"/>
      <c r="BVY89" s="947"/>
      <c r="BVZ89" s="947"/>
      <c r="BWA89" s="947"/>
      <c r="BWB89" s="947"/>
      <c r="BWC89" s="947"/>
      <c r="BWD89" s="947"/>
      <c r="BWE89" s="947"/>
      <c r="BWF89" s="947"/>
      <c r="BWG89" s="947"/>
      <c r="BWH89" s="947"/>
      <c r="BWI89" s="947"/>
      <c r="BWJ89" s="947"/>
      <c r="BWK89" s="947"/>
      <c r="BWL89" s="947"/>
      <c r="BWM89" s="947"/>
      <c r="BWN89" s="947"/>
      <c r="BWO89" s="947"/>
      <c r="BWP89" s="947"/>
      <c r="BWQ89" s="947"/>
      <c r="BWR89" s="947"/>
      <c r="BWS89" s="947"/>
      <c r="BWT89" s="947"/>
      <c r="BWU89" s="947"/>
      <c r="BWV89" s="947"/>
      <c r="BWW89" s="947"/>
      <c r="BWX89" s="947"/>
      <c r="BWY89" s="947"/>
      <c r="BWZ89" s="947"/>
      <c r="BXA89" s="947"/>
      <c r="BXB89" s="947"/>
      <c r="BXC89" s="947"/>
      <c r="BXD89" s="947"/>
      <c r="BXE89" s="947"/>
      <c r="BXF89" s="947"/>
      <c r="BXG89" s="947"/>
      <c r="BXH89" s="947"/>
      <c r="BXI89" s="947"/>
      <c r="BXJ89" s="947"/>
      <c r="BXK89" s="947"/>
      <c r="BXL89" s="947"/>
      <c r="BXM89" s="947"/>
      <c r="BXN89" s="947"/>
      <c r="BXO89" s="947"/>
      <c r="BXP89" s="947"/>
      <c r="BXQ89" s="947"/>
      <c r="BXR89" s="947"/>
      <c r="BXS89" s="947"/>
      <c r="BXT89" s="947"/>
      <c r="BXU89" s="947"/>
      <c r="BXV89" s="947"/>
      <c r="BXW89" s="947"/>
      <c r="BXX89" s="947"/>
      <c r="BXY89" s="947"/>
      <c r="BXZ89" s="947"/>
      <c r="BYA89" s="947"/>
      <c r="BYB89" s="947"/>
      <c r="BYC89" s="947"/>
      <c r="BYD89" s="947"/>
      <c r="BYE89" s="947"/>
      <c r="BYF89" s="947"/>
      <c r="BYG89" s="947"/>
      <c r="BYH89" s="947"/>
      <c r="BYI89" s="947"/>
      <c r="BYJ89" s="947"/>
      <c r="BYK89" s="947"/>
      <c r="BYL89" s="947"/>
      <c r="BYM89" s="947"/>
      <c r="BYN89" s="947"/>
      <c r="BYO89" s="947"/>
      <c r="BYP89" s="947"/>
      <c r="BYQ89" s="947"/>
      <c r="BYR89" s="947"/>
      <c r="BYS89" s="947"/>
      <c r="BYT89" s="947"/>
      <c r="BYU89" s="947"/>
      <c r="BYV89" s="947"/>
      <c r="BYW89" s="947"/>
      <c r="BYX89" s="947"/>
      <c r="BYY89" s="947"/>
      <c r="BYZ89" s="947"/>
      <c r="BZA89" s="947"/>
      <c r="BZB89" s="947"/>
      <c r="BZC89" s="947"/>
      <c r="BZD89" s="947"/>
      <c r="BZE89" s="947"/>
      <c r="BZF89" s="947"/>
      <c r="BZG89" s="947"/>
      <c r="BZH89" s="947"/>
      <c r="BZI89" s="947"/>
      <c r="BZJ89" s="947"/>
      <c r="BZK89" s="947"/>
      <c r="BZL89" s="947"/>
      <c r="BZM89" s="947"/>
      <c r="BZN89" s="947"/>
      <c r="BZO89" s="947"/>
      <c r="BZP89" s="947"/>
      <c r="BZQ89" s="947"/>
      <c r="BZR89" s="947"/>
      <c r="BZS89" s="947"/>
      <c r="BZT89" s="947"/>
      <c r="BZU89" s="947"/>
      <c r="BZV89" s="947"/>
      <c r="BZW89" s="947"/>
      <c r="BZX89" s="947"/>
      <c r="BZY89" s="947"/>
      <c r="BZZ89" s="947"/>
      <c r="CAA89" s="947"/>
      <c r="CAB89" s="947"/>
      <c r="CAC89" s="947"/>
      <c r="CAD89" s="947"/>
      <c r="CAE89" s="947"/>
      <c r="CAF89" s="947"/>
      <c r="CAG89" s="947"/>
      <c r="CAH89" s="947"/>
      <c r="CAI89" s="947"/>
      <c r="CAJ89" s="947"/>
      <c r="CAK89" s="947"/>
      <c r="CAL89" s="947"/>
      <c r="CAM89" s="947"/>
      <c r="CAN89" s="947"/>
      <c r="CAO89" s="947"/>
      <c r="CAP89" s="947"/>
      <c r="CAQ89" s="947"/>
      <c r="CAR89" s="947"/>
      <c r="CAS89" s="947"/>
      <c r="CAT89" s="947"/>
      <c r="CAU89" s="947"/>
      <c r="CAV89" s="947"/>
      <c r="CAW89" s="947"/>
      <c r="CAX89" s="947"/>
      <c r="CAY89" s="947"/>
      <c r="CAZ89" s="947"/>
      <c r="CBA89" s="947"/>
      <c r="CBB89" s="947"/>
      <c r="CBC89" s="947"/>
      <c r="CBD89" s="947"/>
      <c r="CBE89" s="947"/>
      <c r="CBF89" s="947"/>
      <c r="CBG89" s="947"/>
      <c r="CBH89" s="947"/>
      <c r="CBI89" s="947"/>
      <c r="CBJ89" s="947"/>
      <c r="CBK89" s="947"/>
      <c r="CBL89" s="947"/>
      <c r="CBM89" s="947"/>
      <c r="CBN89" s="947"/>
      <c r="CBO89" s="947"/>
      <c r="CBP89" s="947"/>
      <c r="CBQ89" s="947"/>
      <c r="CBR89" s="947"/>
      <c r="CBS89" s="947"/>
      <c r="CBT89" s="947"/>
      <c r="CBU89" s="947"/>
      <c r="CBV89" s="947"/>
      <c r="CBW89" s="947"/>
      <c r="CBX89" s="947"/>
      <c r="CBY89" s="947"/>
      <c r="CBZ89" s="947"/>
      <c r="CCA89" s="947"/>
      <c r="CCB89" s="947"/>
      <c r="CCC89" s="947"/>
      <c r="CCD89" s="947"/>
      <c r="CCE89" s="947"/>
      <c r="CCF89" s="947"/>
      <c r="CCG89" s="947"/>
      <c r="CCH89" s="947"/>
      <c r="CCI89" s="947"/>
      <c r="CCJ89" s="947"/>
      <c r="CCK89" s="947"/>
      <c r="CCL89" s="947"/>
      <c r="CCM89" s="947"/>
      <c r="CCN89" s="947"/>
      <c r="CCO89" s="947"/>
      <c r="CCP89" s="947"/>
      <c r="CCQ89" s="947"/>
      <c r="CCR89" s="947"/>
      <c r="CCS89" s="947"/>
      <c r="CCT89" s="947"/>
      <c r="CCU89" s="947"/>
      <c r="CCV89" s="947"/>
      <c r="CCW89" s="947"/>
      <c r="CCX89" s="947"/>
      <c r="CCY89" s="947"/>
      <c r="CCZ89" s="947"/>
      <c r="CDA89" s="947"/>
      <c r="CDB89" s="947"/>
      <c r="CDC89" s="947"/>
      <c r="CDD89" s="947"/>
      <c r="CDE89" s="947"/>
      <c r="CDF89" s="947"/>
      <c r="CDG89" s="947"/>
      <c r="CDH89" s="947"/>
      <c r="CDI89" s="947"/>
      <c r="CDJ89" s="947"/>
      <c r="CDK89" s="947"/>
      <c r="CDL89" s="947"/>
      <c r="CDM89" s="947"/>
      <c r="CDN89" s="947"/>
      <c r="CDO89" s="947"/>
      <c r="CDP89" s="947"/>
      <c r="CDQ89" s="947"/>
      <c r="CDR89" s="947"/>
      <c r="CDS89" s="947"/>
      <c r="CDT89" s="947"/>
      <c r="CDU89" s="947"/>
      <c r="CDV89" s="947"/>
      <c r="CDW89" s="947"/>
      <c r="CDX89" s="947"/>
      <c r="CDY89" s="947"/>
      <c r="CDZ89" s="947"/>
      <c r="CEA89" s="947"/>
      <c r="CEB89" s="947"/>
      <c r="CEC89" s="947"/>
      <c r="CED89" s="947"/>
      <c r="CEE89" s="947"/>
      <c r="CEF89" s="947"/>
      <c r="CEG89" s="947"/>
      <c r="CEH89" s="947"/>
      <c r="CEI89" s="947"/>
      <c r="CEJ89" s="947"/>
      <c r="CEK89" s="947"/>
      <c r="CEL89" s="947"/>
      <c r="CEM89" s="947"/>
      <c r="CEN89" s="947"/>
      <c r="CEO89" s="947"/>
      <c r="CEP89" s="947"/>
      <c r="CEQ89" s="947"/>
      <c r="CER89" s="947"/>
      <c r="CES89" s="947"/>
      <c r="CET89" s="947"/>
      <c r="CEU89" s="947"/>
      <c r="CEV89" s="947"/>
      <c r="CEW89" s="947"/>
      <c r="CEX89" s="947"/>
      <c r="CEY89" s="947"/>
      <c r="CEZ89" s="947"/>
      <c r="CFA89" s="947"/>
      <c r="CFB89" s="947"/>
      <c r="CFC89" s="947"/>
      <c r="CFD89" s="947"/>
      <c r="CFE89" s="947"/>
      <c r="CFF89" s="947"/>
      <c r="CFG89" s="947"/>
      <c r="CFH89" s="947"/>
      <c r="CFI89" s="947"/>
      <c r="CFJ89" s="947"/>
      <c r="CFK89" s="947"/>
      <c r="CFL89" s="947"/>
      <c r="CFM89" s="947"/>
      <c r="CFN89" s="947"/>
      <c r="CFO89" s="947"/>
      <c r="CFP89" s="947"/>
      <c r="CFQ89" s="947"/>
      <c r="CFR89" s="947"/>
      <c r="CFS89" s="947"/>
      <c r="CFT89" s="947"/>
      <c r="CFU89" s="947"/>
      <c r="CFV89" s="947"/>
      <c r="CFW89" s="947"/>
      <c r="CFX89" s="947"/>
      <c r="CFY89" s="947"/>
      <c r="CFZ89" s="947"/>
      <c r="CGA89" s="947"/>
      <c r="CGB89" s="947"/>
      <c r="CGC89" s="947"/>
      <c r="CGD89" s="947"/>
      <c r="CGE89" s="947"/>
      <c r="CGF89" s="947"/>
      <c r="CGG89" s="947"/>
      <c r="CGH89" s="947"/>
      <c r="CGI89" s="947"/>
      <c r="CGJ89" s="947"/>
      <c r="CGK89" s="947"/>
      <c r="CGL89" s="947"/>
      <c r="CGM89" s="947"/>
      <c r="CGN89" s="947"/>
      <c r="CGO89" s="947"/>
      <c r="CGP89" s="947"/>
      <c r="CGQ89" s="947"/>
      <c r="CGR89" s="947"/>
      <c r="CGS89" s="947"/>
      <c r="CGT89" s="947"/>
      <c r="CGU89" s="947"/>
      <c r="CGV89" s="947"/>
      <c r="CGW89" s="947"/>
      <c r="CGX89" s="947"/>
      <c r="CGY89" s="947"/>
      <c r="CGZ89" s="947"/>
      <c r="CHA89" s="947"/>
      <c r="CHB89" s="947"/>
      <c r="CHC89" s="947"/>
      <c r="CHD89" s="947"/>
      <c r="CHE89" s="947"/>
      <c r="CHF89" s="947"/>
      <c r="CHG89" s="947"/>
      <c r="CHH89" s="947"/>
      <c r="CHI89" s="947"/>
      <c r="CHJ89" s="947"/>
      <c r="CHK89" s="947"/>
      <c r="CHL89" s="947"/>
      <c r="CHM89" s="947"/>
      <c r="CHN89" s="947"/>
      <c r="CHO89" s="947"/>
      <c r="CHP89" s="947"/>
      <c r="CHQ89" s="947"/>
      <c r="CHR89" s="947"/>
      <c r="CHS89" s="947"/>
      <c r="CHT89" s="947"/>
      <c r="CHU89" s="947"/>
      <c r="CHV89" s="947"/>
      <c r="CHW89" s="947"/>
      <c r="CHX89" s="947"/>
      <c r="CHY89" s="947"/>
      <c r="CHZ89" s="947"/>
      <c r="CIA89" s="947"/>
      <c r="CIB89" s="947"/>
      <c r="CIC89" s="947"/>
      <c r="CID89" s="947"/>
      <c r="CIE89" s="947"/>
      <c r="CIF89" s="947"/>
      <c r="CIG89" s="947"/>
      <c r="CIH89" s="947"/>
      <c r="CII89" s="947"/>
      <c r="CIJ89" s="947"/>
      <c r="CIK89" s="947"/>
      <c r="CIL89" s="947"/>
      <c r="CIM89" s="947"/>
      <c r="CIN89" s="947"/>
      <c r="CIO89" s="947"/>
      <c r="CIP89" s="947"/>
      <c r="CIQ89" s="947"/>
      <c r="CIR89" s="947"/>
      <c r="CIS89" s="947"/>
      <c r="CIT89" s="947"/>
      <c r="CIU89" s="947"/>
      <c r="CIV89" s="947"/>
      <c r="CIW89" s="947"/>
      <c r="CIX89" s="947"/>
      <c r="CIY89" s="947"/>
      <c r="CIZ89" s="947"/>
      <c r="CJA89" s="947"/>
      <c r="CJB89" s="947"/>
      <c r="CJC89" s="947"/>
      <c r="CJD89" s="947"/>
      <c r="CJE89" s="947"/>
      <c r="CJF89" s="947"/>
      <c r="CJG89" s="947"/>
      <c r="CJH89" s="947"/>
      <c r="CJI89" s="947"/>
      <c r="CJJ89" s="947"/>
      <c r="CJK89" s="947"/>
      <c r="CJL89" s="947"/>
      <c r="CJM89" s="947"/>
      <c r="CJN89" s="947"/>
      <c r="CJO89" s="947"/>
      <c r="CJP89" s="947"/>
      <c r="CJQ89" s="947"/>
      <c r="CJR89" s="947"/>
      <c r="CJS89" s="947"/>
      <c r="CJT89" s="947"/>
      <c r="CJU89" s="947"/>
      <c r="CJV89" s="947"/>
      <c r="CJW89" s="947"/>
      <c r="CJX89" s="947"/>
      <c r="CJY89" s="947"/>
      <c r="CJZ89" s="947"/>
      <c r="CKA89" s="947"/>
      <c r="CKB89" s="947"/>
      <c r="CKC89" s="947"/>
      <c r="CKD89" s="947"/>
      <c r="CKE89" s="947"/>
      <c r="CKF89" s="947"/>
      <c r="CKG89" s="947"/>
      <c r="CKH89" s="947"/>
      <c r="CKI89" s="947"/>
      <c r="CKJ89" s="947"/>
      <c r="CKK89" s="947"/>
      <c r="CKL89" s="947"/>
      <c r="CKM89" s="947"/>
      <c r="CKN89" s="947"/>
      <c r="CKO89" s="947"/>
      <c r="CKP89" s="947"/>
      <c r="CKQ89" s="947"/>
      <c r="CKR89" s="947"/>
      <c r="CKS89" s="947"/>
      <c r="CKT89" s="947"/>
      <c r="CKU89" s="947"/>
      <c r="CKV89" s="947"/>
      <c r="CKW89" s="947"/>
      <c r="CKX89" s="947"/>
      <c r="CKY89" s="947"/>
      <c r="CKZ89" s="947"/>
      <c r="CLA89" s="947"/>
      <c r="CLB89" s="947"/>
      <c r="CLC89" s="947"/>
      <c r="CLD89" s="947"/>
      <c r="CLE89" s="947"/>
      <c r="CLF89" s="947"/>
      <c r="CLG89" s="947"/>
      <c r="CLH89" s="947"/>
      <c r="CLI89" s="947"/>
      <c r="CLJ89" s="947"/>
      <c r="CLK89" s="947"/>
      <c r="CLL89" s="947"/>
      <c r="CLM89" s="947"/>
      <c r="CLN89" s="947"/>
      <c r="CLO89" s="947"/>
      <c r="CLP89" s="947"/>
      <c r="CLQ89" s="947"/>
      <c r="CLR89" s="947"/>
      <c r="CLS89" s="947"/>
      <c r="CLT89" s="947"/>
      <c r="CLU89" s="947"/>
      <c r="CLV89" s="947"/>
      <c r="CLW89" s="947"/>
      <c r="CLX89" s="947"/>
      <c r="CLY89" s="947"/>
      <c r="CLZ89" s="947"/>
      <c r="CMA89" s="947"/>
      <c r="CMB89" s="947"/>
      <c r="CMC89" s="947"/>
      <c r="CMD89" s="947"/>
      <c r="CME89" s="947"/>
      <c r="CMF89" s="947"/>
      <c r="CMG89" s="947"/>
      <c r="CMH89" s="947"/>
      <c r="CMI89" s="947"/>
      <c r="CMJ89" s="947"/>
      <c r="CMK89" s="947"/>
      <c r="CML89" s="947"/>
      <c r="CMM89" s="947"/>
      <c r="CMN89" s="947"/>
      <c r="CMO89" s="947"/>
      <c r="CMP89" s="947"/>
      <c r="CMQ89" s="947"/>
      <c r="CMR89" s="947"/>
      <c r="CMS89" s="947"/>
      <c r="CMT89" s="947"/>
      <c r="CMU89" s="947"/>
      <c r="CMV89" s="947"/>
      <c r="CMW89" s="947"/>
      <c r="CMX89" s="947"/>
      <c r="CMY89" s="947"/>
      <c r="CMZ89" s="947"/>
      <c r="CNA89" s="947"/>
      <c r="CNB89" s="947"/>
      <c r="CNC89" s="947"/>
      <c r="CND89" s="947"/>
      <c r="CNE89" s="947"/>
      <c r="CNF89" s="947"/>
      <c r="CNG89" s="947"/>
      <c r="CNH89" s="947"/>
      <c r="CNI89" s="947"/>
      <c r="CNJ89" s="947"/>
      <c r="CNK89" s="947"/>
      <c r="CNL89" s="947"/>
      <c r="CNM89" s="947"/>
      <c r="CNN89" s="947"/>
      <c r="CNO89" s="947"/>
      <c r="CNP89" s="947"/>
      <c r="CNQ89" s="947"/>
      <c r="CNR89" s="947"/>
      <c r="CNS89" s="947"/>
      <c r="CNT89" s="947"/>
      <c r="CNU89" s="947"/>
      <c r="CNV89" s="947"/>
      <c r="CNW89" s="947"/>
      <c r="CNX89" s="947"/>
      <c r="CNY89" s="947"/>
      <c r="CNZ89" s="947"/>
      <c r="COA89" s="947"/>
      <c r="COB89" s="947"/>
      <c r="COC89" s="947"/>
      <c r="COD89" s="947"/>
      <c r="COE89" s="947"/>
      <c r="COF89" s="947"/>
      <c r="COG89" s="947"/>
      <c r="COH89" s="947"/>
      <c r="COI89" s="947"/>
      <c r="COJ89" s="947"/>
      <c r="COK89" s="947"/>
      <c r="COL89" s="947"/>
      <c r="COM89" s="947"/>
      <c r="CON89" s="947"/>
      <c r="COO89" s="947"/>
      <c r="COP89" s="947"/>
      <c r="COQ89" s="947"/>
      <c r="COR89" s="947"/>
      <c r="COS89" s="947"/>
      <c r="COT89" s="947"/>
      <c r="COU89" s="947"/>
      <c r="COV89" s="947"/>
      <c r="COW89" s="947"/>
      <c r="COX89" s="947"/>
      <c r="COY89" s="947"/>
      <c r="COZ89" s="947"/>
      <c r="CPA89" s="947"/>
      <c r="CPB89" s="947"/>
      <c r="CPC89" s="947"/>
      <c r="CPD89" s="947"/>
      <c r="CPE89" s="947"/>
      <c r="CPF89" s="947"/>
      <c r="CPG89" s="947"/>
      <c r="CPH89" s="947"/>
      <c r="CPI89" s="947"/>
      <c r="CPJ89" s="947"/>
      <c r="CPK89" s="947"/>
      <c r="CPL89" s="947"/>
      <c r="CPM89" s="947"/>
      <c r="CPN89" s="947"/>
      <c r="CPO89" s="947"/>
      <c r="CPP89" s="947"/>
      <c r="CPQ89" s="947"/>
      <c r="CPR89" s="947"/>
      <c r="CPS89" s="947"/>
      <c r="CPT89" s="947"/>
      <c r="CPU89" s="947"/>
      <c r="CPV89" s="947"/>
      <c r="CPW89" s="947"/>
      <c r="CPX89" s="947"/>
      <c r="CPY89" s="947"/>
      <c r="CPZ89" s="947"/>
      <c r="CQA89" s="947"/>
      <c r="CQB89" s="947"/>
      <c r="CQC89" s="947"/>
      <c r="CQD89" s="947"/>
      <c r="CQE89" s="947"/>
      <c r="CQF89" s="947"/>
      <c r="CQG89" s="947"/>
      <c r="CQH89" s="947"/>
      <c r="CQI89" s="947"/>
      <c r="CQJ89" s="947"/>
      <c r="CQK89" s="947"/>
      <c r="CQL89" s="947"/>
      <c r="CQM89" s="947"/>
      <c r="CQN89" s="947"/>
      <c r="CQO89" s="947"/>
      <c r="CQP89" s="947"/>
      <c r="CQQ89" s="947"/>
      <c r="CQR89" s="947"/>
      <c r="CQS89" s="947"/>
      <c r="CQT89" s="947"/>
      <c r="CQU89" s="947"/>
      <c r="CQV89" s="947"/>
      <c r="CQW89" s="947"/>
      <c r="CQX89" s="947"/>
      <c r="CQY89" s="947"/>
      <c r="CQZ89" s="947"/>
      <c r="CRA89" s="947"/>
      <c r="CRB89" s="947"/>
      <c r="CRC89" s="947"/>
      <c r="CRD89" s="947"/>
      <c r="CRE89" s="947"/>
      <c r="CRF89" s="947"/>
      <c r="CRG89" s="947"/>
      <c r="CRH89" s="947"/>
      <c r="CRI89" s="947"/>
      <c r="CRJ89" s="947"/>
      <c r="CRK89" s="947"/>
      <c r="CRL89" s="947"/>
      <c r="CRM89" s="947"/>
      <c r="CRN89" s="947"/>
      <c r="CRO89" s="947"/>
      <c r="CRP89" s="947"/>
      <c r="CRQ89" s="947"/>
      <c r="CRR89" s="947"/>
      <c r="CRS89" s="947"/>
      <c r="CRT89" s="947"/>
      <c r="CRU89" s="947"/>
      <c r="CRV89" s="947"/>
      <c r="CRW89" s="947"/>
      <c r="CRX89" s="947"/>
      <c r="CRY89" s="947"/>
      <c r="CRZ89" s="947"/>
      <c r="CSA89" s="947"/>
      <c r="CSB89" s="947"/>
      <c r="CSC89" s="947"/>
      <c r="CSD89" s="947"/>
      <c r="CSE89" s="947"/>
      <c r="CSF89" s="947"/>
      <c r="CSG89" s="947"/>
      <c r="CSH89" s="947"/>
      <c r="CSI89" s="947"/>
      <c r="CSJ89" s="947"/>
      <c r="CSK89" s="947"/>
      <c r="CSL89" s="947"/>
      <c r="CSM89" s="947"/>
      <c r="CSN89" s="947"/>
      <c r="CSO89" s="947"/>
      <c r="CSP89" s="947"/>
      <c r="CSQ89" s="947"/>
      <c r="CSR89" s="947"/>
      <c r="CSS89" s="947"/>
      <c r="CST89" s="947"/>
      <c r="CSU89" s="947"/>
      <c r="CSV89" s="947"/>
      <c r="CSW89" s="947"/>
      <c r="CSX89" s="947"/>
      <c r="CSY89" s="947"/>
      <c r="CSZ89" s="947"/>
      <c r="CTA89" s="947"/>
      <c r="CTB89" s="947"/>
      <c r="CTC89" s="947"/>
      <c r="CTD89" s="947"/>
      <c r="CTE89" s="947"/>
      <c r="CTF89" s="947"/>
      <c r="CTG89" s="947"/>
      <c r="CTH89" s="947"/>
      <c r="CTI89" s="947"/>
      <c r="CTJ89" s="947"/>
      <c r="CTK89" s="947"/>
      <c r="CTL89" s="947"/>
      <c r="CTM89" s="947"/>
      <c r="CTN89" s="947"/>
      <c r="CTO89" s="947"/>
      <c r="CTP89" s="947"/>
      <c r="CTQ89" s="947"/>
      <c r="CTR89" s="947"/>
      <c r="CTS89" s="947"/>
      <c r="CTT89" s="947"/>
      <c r="CTU89" s="947"/>
      <c r="CTV89" s="947"/>
      <c r="CTW89" s="947"/>
      <c r="CTX89" s="947"/>
      <c r="CTY89" s="947"/>
      <c r="CTZ89" s="947"/>
      <c r="CUA89" s="947"/>
      <c r="CUB89" s="947"/>
      <c r="CUC89" s="947"/>
      <c r="CUD89" s="947"/>
      <c r="CUE89" s="947"/>
      <c r="CUF89" s="947"/>
      <c r="CUG89" s="947"/>
      <c r="CUH89" s="947"/>
      <c r="CUI89" s="947"/>
      <c r="CUJ89" s="947"/>
      <c r="CUK89" s="947"/>
      <c r="CUL89" s="947"/>
      <c r="CUM89" s="947"/>
      <c r="CUN89" s="947"/>
      <c r="CUO89" s="947"/>
      <c r="CUP89" s="947"/>
      <c r="CUQ89" s="947"/>
      <c r="CUR89" s="947"/>
      <c r="CUS89" s="947"/>
      <c r="CUT89" s="947"/>
      <c r="CUU89" s="947"/>
      <c r="CUV89" s="947"/>
      <c r="CUW89" s="947"/>
      <c r="CUX89" s="947"/>
      <c r="CUY89" s="947"/>
      <c r="CUZ89" s="947"/>
      <c r="CVA89" s="947"/>
      <c r="CVB89" s="947"/>
      <c r="CVC89" s="947"/>
      <c r="CVD89" s="947"/>
      <c r="CVE89" s="947"/>
      <c r="CVF89" s="947"/>
      <c r="CVG89" s="947"/>
      <c r="CVH89" s="947"/>
      <c r="CVI89" s="947"/>
      <c r="CVJ89" s="947"/>
      <c r="CVK89" s="947"/>
      <c r="CVL89" s="947"/>
      <c r="CVM89" s="947"/>
      <c r="CVN89" s="947"/>
      <c r="CVO89" s="947"/>
      <c r="CVP89" s="947"/>
      <c r="CVQ89" s="947"/>
      <c r="CVR89" s="947"/>
      <c r="CVS89" s="947"/>
      <c r="CVT89" s="947"/>
      <c r="CVU89" s="947"/>
      <c r="CVV89" s="947"/>
      <c r="CVW89" s="947"/>
      <c r="CVX89" s="947"/>
      <c r="CVY89" s="947"/>
      <c r="CVZ89" s="947"/>
      <c r="CWA89" s="947"/>
      <c r="CWB89" s="947"/>
      <c r="CWC89" s="947"/>
      <c r="CWD89" s="947"/>
      <c r="CWE89" s="947"/>
      <c r="CWF89" s="947"/>
      <c r="CWG89" s="947"/>
      <c r="CWH89" s="947"/>
      <c r="CWI89" s="947"/>
      <c r="CWJ89" s="947"/>
      <c r="CWK89" s="947"/>
      <c r="CWL89" s="947"/>
      <c r="CWM89" s="947"/>
      <c r="CWN89" s="947"/>
      <c r="CWO89" s="947"/>
      <c r="CWP89" s="947"/>
      <c r="CWQ89" s="947"/>
      <c r="CWR89" s="947"/>
      <c r="CWS89" s="947"/>
      <c r="CWT89" s="947"/>
      <c r="CWU89" s="947"/>
      <c r="CWV89" s="947"/>
      <c r="CWW89" s="947"/>
      <c r="CWX89" s="947"/>
      <c r="CWY89" s="947"/>
      <c r="CWZ89" s="947"/>
      <c r="CXA89" s="947"/>
      <c r="CXB89" s="947"/>
      <c r="CXC89" s="947"/>
      <c r="CXD89" s="947"/>
      <c r="CXE89" s="947"/>
      <c r="CXF89" s="947"/>
      <c r="CXG89" s="947"/>
      <c r="CXH89" s="947"/>
      <c r="CXI89" s="947"/>
      <c r="CXJ89" s="947"/>
      <c r="CXK89" s="947"/>
      <c r="CXL89" s="947"/>
      <c r="CXM89" s="947"/>
      <c r="CXN89" s="947"/>
      <c r="CXO89" s="947"/>
      <c r="CXP89" s="947"/>
      <c r="CXQ89" s="947"/>
      <c r="CXR89" s="947"/>
      <c r="CXS89" s="947"/>
      <c r="CXT89" s="947"/>
      <c r="CXU89" s="947"/>
      <c r="CXV89" s="947"/>
      <c r="CXW89" s="947"/>
      <c r="CXX89" s="947"/>
      <c r="CXY89" s="947"/>
      <c r="CXZ89" s="947"/>
      <c r="CYA89" s="947"/>
      <c r="CYB89" s="947"/>
      <c r="CYC89" s="947"/>
      <c r="CYD89" s="947"/>
      <c r="CYE89" s="947"/>
      <c r="CYF89" s="947"/>
      <c r="CYG89" s="947"/>
      <c r="CYH89" s="947"/>
      <c r="CYI89" s="947"/>
      <c r="CYJ89" s="947"/>
      <c r="CYK89" s="947"/>
      <c r="CYL89" s="947"/>
      <c r="CYM89" s="947"/>
      <c r="CYN89" s="947"/>
      <c r="CYO89" s="947"/>
      <c r="CYP89" s="947"/>
      <c r="CYQ89" s="947"/>
      <c r="CYR89" s="947"/>
      <c r="CYS89" s="947"/>
      <c r="CYT89" s="947"/>
      <c r="CYU89" s="947"/>
      <c r="CYV89" s="947"/>
      <c r="CYW89" s="947"/>
      <c r="CYX89" s="947"/>
      <c r="CYY89" s="947"/>
      <c r="CYZ89" s="947"/>
      <c r="CZA89" s="947"/>
      <c r="CZB89" s="947"/>
      <c r="CZC89" s="947"/>
      <c r="CZD89" s="947"/>
      <c r="CZE89" s="947"/>
      <c r="CZF89" s="947"/>
      <c r="CZG89" s="947"/>
      <c r="CZH89" s="947"/>
      <c r="CZI89" s="947"/>
      <c r="CZJ89" s="947"/>
      <c r="CZK89" s="947"/>
      <c r="CZL89" s="947"/>
      <c r="CZM89" s="947"/>
      <c r="CZN89" s="947"/>
      <c r="CZO89" s="947"/>
      <c r="CZP89" s="947"/>
      <c r="CZQ89" s="947"/>
      <c r="CZR89" s="947"/>
      <c r="CZS89" s="947"/>
      <c r="CZT89" s="947"/>
      <c r="CZU89" s="947"/>
      <c r="CZV89" s="947"/>
      <c r="CZW89" s="947"/>
      <c r="CZX89" s="947"/>
      <c r="CZY89" s="947"/>
      <c r="CZZ89" s="947"/>
      <c r="DAA89" s="947"/>
      <c r="DAB89" s="947"/>
      <c r="DAC89" s="947"/>
      <c r="DAD89" s="947"/>
      <c r="DAE89" s="947"/>
      <c r="DAF89" s="947"/>
      <c r="DAG89" s="947"/>
      <c r="DAH89" s="947"/>
      <c r="DAI89" s="947"/>
      <c r="DAJ89" s="947"/>
      <c r="DAK89" s="947"/>
      <c r="DAL89" s="947"/>
      <c r="DAM89" s="947"/>
      <c r="DAN89" s="947"/>
      <c r="DAO89" s="947"/>
      <c r="DAP89" s="947"/>
      <c r="DAQ89" s="947"/>
      <c r="DAR89" s="947"/>
      <c r="DAS89" s="947"/>
      <c r="DAT89" s="947"/>
      <c r="DAU89" s="947"/>
      <c r="DAV89" s="947"/>
      <c r="DAW89" s="947"/>
      <c r="DAX89" s="947"/>
      <c r="DAY89" s="947"/>
      <c r="DAZ89" s="947"/>
      <c r="DBA89" s="947"/>
      <c r="DBB89" s="947"/>
      <c r="DBC89" s="947"/>
      <c r="DBD89" s="947"/>
      <c r="DBE89" s="947"/>
      <c r="DBF89" s="947"/>
      <c r="DBG89" s="947"/>
      <c r="DBH89" s="947"/>
      <c r="DBI89" s="947"/>
      <c r="DBJ89" s="947"/>
      <c r="DBK89" s="947"/>
      <c r="DBL89" s="947"/>
      <c r="DBM89" s="947"/>
      <c r="DBN89" s="947"/>
      <c r="DBO89" s="947"/>
      <c r="DBP89" s="947"/>
      <c r="DBQ89" s="947"/>
      <c r="DBR89" s="947"/>
      <c r="DBS89" s="947"/>
      <c r="DBT89" s="947"/>
      <c r="DBU89" s="947"/>
      <c r="DBV89" s="947"/>
      <c r="DBW89" s="947"/>
      <c r="DBX89" s="947"/>
      <c r="DBY89" s="947"/>
      <c r="DBZ89" s="947"/>
      <c r="DCA89" s="947"/>
      <c r="DCB89" s="947"/>
      <c r="DCC89" s="947"/>
      <c r="DCD89" s="947"/>
      <c r="DCE89" s="947"/>
      <c r="DCF89" s="947"/>
      <c r="DCG89" s="947"/>
      <c r="DCH89" s="947"/>
      <c r="DCI89" s="947"/>
      <c r="DCJ89" s="947"/>
      <c r="DCK89" s="947"/>
      <c r="DCL89" s="947"/>
      <c r="DCM89" s="947"/>
      <c r="DCN89" s="947"/>
      <c r="DCO89" s="947"/>
      <c r="DCP89" s="947"/>
      <c r="DCQ89" s="947"/>
      <c r="DCR89" s="947"/>
      <c r="DCS89" s="947"/>
      <c r="DCT89" s="947"/>
      <c r="DCU89" s="947"/>
      <c r="DCV89" s="947"/>
      <c r="DCW89" s="947"/>
      <c r="DCX89" s="947"/>
      <c r="DCY89" s="947"/>
      <c r="DCZ89" s="947"/>
      <c r="DDA89" s="947"/>
      <c r="DDB89" s="947"/>
      <c r="DDC89" s="947"/>
      <c r="DDD89" s="947"/>
      <c r="DDE89" s="947"/>
      <c r="DDF89" s="947"/>
      <c r="DDG89" s="947"/>
      <c r="DDH89" s="947"/>
      <c r="DDI89" s="947"/>
      <c r="DDJ89" s="947"/>
      <c r="DDK89" s="947"/>
      <c r="DDL89" s="947"/>
      <c r="DDM89" s="947"/>
      <c r="DDN89" s="947"/>
      <c r="DDO89" s="947"/>
      <c r="DDP89" s="947"/>
      <c r="DDQ89" s="947"/>
      <c r="DDR89" s="947"/>
      <c r="DDS89" s="947"/>
      <c r="DDT89" s="947"/>
      <c r="DDU89" s="947"/>
      <c r="DDV89" s="947"/>
      <c r="DDW89" s="947"/>
      <c r="DDX89" s="947"/>
      <c r="DDY89" s="947"/>
      <c r="DDZ89" s="947"/>
      <c r="DEA89" s="947"/>
      <c r="DEB89" s="947"/>
      <c r="DEC89" s="947"/>
      <c r="DED89" s="947"/>
      <c r="DEE89" s="947"/>
      <c r="DEF89" s="947"/>
      <c r="DEG89" s="947"/>
      <c r="DEH89" s="947"/>
      <c r="DEI89" s="947"/>
      <c r="DEJ89" s="947"/>
      <c r="DEK89" s="947"/>
      <c r="DEL89" s="947"/>
      <c r="DEM89" s="947"/>
      <c r="DEN89" s="947"/>
      <c r="DEO89" s="947"/>
      <c r="DEP89" s="947"/>
      <c r="DEQ89" s="947"/>
      <c r="DER89" s="947"/>
      <c r="DES89" s="947"/>
      <c r="DET89" s="947"/>
      <c r="DEU89" s="947"/>
      <c r="DEV89" s="947"/>
      <c r="DEW89" s="947"/>
      <c r="DEX89" s="947"/>
      <c r="DEY89" s="947"/>
      <c r="DEZ89" s="947"/>
      <c r="DFA89" s="947"/>
      <c r="DFB89" s="947"/>
      <c r="DFC89" s="947"/>
      <c r="DFD89" s="947"/>
      <c r="DFE89" s="947"/>
      <c r="DFF89" s="947"/>
      <c r="DFG89" s="947"/>
      <c r="DFH89" s="947"/>
      <c r="DFI89" s="947"/>
      <c r="DFJ89" s="947"/>
      <c r="DFK89" s="947"/>
      <c r="DFL89" s="947"/>
      <c r="DFM89" s="947"/>
      <c r="DFN89" s="947"/>
      <c r="DFO89" s="947"/>
      <c r="DFP89" s="947"/>
      <c r="DFQ89" s="947"/>
      <c r="DFR89" s="947"/>
      <c r="DFS89" s="947"/>
      <c r="DFT89" s="947"/>
      <c r="DFU89" s="947"/>
      <c r="DFV89" s="947"/>
      <c r="DFW89" s="947"/>
      <c r="DFX89" s="947"/>
      <c r="DFY89" s="947"/>
      <c r="DFZ89" s="947"/>
      <c r="DGA89" s="947"/>
      <c r="DGB89" s="947"/>
      <c r="DGC89" s="947"/>
      <c r="DGD89" s="947"/>
      <c r="DGE89" s="947"/>
      <c r="DGF89" s="947"/>
      <c r="DGG89" s="947"/>
      <c r="DGH89" s="947"/>
      <c r="DGI89" s="947"/>
      <c r="DGJ89" s="947"/>
      <c r="DGK89" s="947"/>
      <c r="DGL89" s="947"/>
      <c r="DGM89" s="947"/>
      <c r="DGN89" s="947"/>
      <c r="DGO89" s="947"/>
      <c r="DGP89" s="947"/>
      <c r="DGQ89" s="947"/>
      <c r="DGR89" s="947"/>
      <c r="DGS89" s="947"/>
      <c r="DGT89" s="947"/>
      <c r="DGU89" s="947"/>
      <c r="DGV89" s="947"/>
      <c r="DGW89" s="947"/>
      <c r="DGX89" s="947"/>
      <c r="DGY89" s="947"/>
      <c r="DGZ89" s="947"/>
      <c r="DHA89" s="947"/>
      <c r="DHB89" s="947"/>
      <c r="DHC89" s="947"/>
      <c r="DHD89" s="947"/>
      <c r="DHE89" s="947"/>
      <c r="DHF89" s="947"/>
      <c r="DHG89" s="947"/>
      <c r="DHH89" s="947"/>
      <c r="DHI89" s="947"/>
      <c r="DHJ89" s="947"/>
      <c r="DHK89" s="947"/>
      <c r="DHL89" s="947"/>
      <c r="DHM89" s="947"/>
      <c r="DHN89" s="947"/>
      <c r="DHO89" s="947"/>
      <c r="DHP89" s="947"/>
      <c r="DHQ89" s="947"/>
      <c r="DHR89" s="947"/>
      <c r="DHS89" s="947"/>
      <c r="DHT89" s="947"/>
      <c r="DHU89" s="947"/>
      <c r="DHV89" s="947"/>
      <c r="DHW89" s="947"/>
      <c r="DHX89" s="947"/>
      <c r="DHY89" s="947"/>
      <c r="DHZ89" s="947"/>
      <c r="DIA89" s="947"/>
      <c r="DIB89" s="947"/>
      <c r="DIC89" s="947"/>
      <c r="DID89" s="947"/>
      <c r="DIE89" s="947"/>
      <c r="DIF89" s="947"/>
      <c r="DIG89" s="947"/>
      <c r="DIH89" s="947"/>
      <c r="DII89" s="947"/>
      <c r="DIJ89" s="947"/>
      <c r="DIK89" s="947"/>
      <c r="DIL89" s="947"/>
      <c r="DIM89" s="947"/>
      <c r="DIN89" s="947"/>
      <c r="DIO89" s="947"/>
      <c r="DIP89" s="947"/>
      <c r="DIQ89" s="947"/>
      <c r="DIR89" s="947"/>
      <c r="DIS89" s="947"/>
      <c r="DIT89" s="947"/>
      <c r="DIU89" s="947"/>
      <c r="DIV89" s="947"/>
      <c r="DIW89" s="947"/>
      <c r="DIX89" s="947"/>
      <c r="DIY89" s="947"/>
      <c r="DIZ89" s="947"/>
      <c r="DJA89" s="947"/>
      <c r="DJB89" s="947"/>
      <c r="DJC89" s="947"/>
      <c r="DJD89" s="947"/>
      <c r="DJE89" s="947"/>
      <c r="DJF89" s="947"/>
      <c r="DJG89" s="947"/>
      <c r="DJH89" s="947"/>
      <c r="DJI89" s="947"/>
      <c r="DJJ89" s="947"/>
      <c r="DJK89" s="947"/>
      <c r="DJL89" s="947"/>
      <c r="DJM89" s="947"/>
      <c r="DJN89" s="947"/>
      <c r="DJO89" s="947"/>
      <c r="DJP89" s="947"/>
      <c r="DJQ89" s="947"/>
      <c r="DJR89" s="947"/>
      <c r="DJS89" s="947"/>
      <c r="DJT89" s="947"/>
      <c r="DJU89" s="947"/>
      <c r="DJV89" s="947"/>
      <c r="DJW89" s="947"/>
      <c r="DJX89" s="947"/>
      <c r="DJY89" s="947"/>
      <c r="DJZ89" s="947"/>
      <c r="DKA89" s="947"/>
      <c r="DKB89" s="947"/>
      <c r="DKC89" s="947"/>
      <c r="DKD89" s="947"/>
      <c r="DKE89" s="947"/>
      <c r="DKF89" s="947"/>
      <c r="DKG89" s="947"/>
      <c r="DKH89" s="947"/>
      <c r="DKI89" s="947"/>
      <c r="DKJ89" s="947"/>
      <c r="DKK89" s="947"/>
      <c r="DKL89" s="947"/>
      <c r="DKM89" s="947"/>
      <c r="DKN89" s="947"/>
      <c r="DKO89" s="947"/>
      <c r="DKP89" s="947"/>
      <c r="DKQ89" s="947"/>
      <c r="DKR89" s="947"/>
      <c r="DKS89" s="947"/>
      <c r="DKT89" s="947"/>
      <c r="DKU89" s="947"/>
      <c r="DKV89" s="947"/>
      <c r="DKW89" s="947"/>
      <c r="DKX89" s="947"/>
      <c r="DKY89" s="947"/>
      <c r="DKZ89" s="947"/>
      <c r="DLA89" s="947"/>
      <c r="DLB89" s="947"/>
      <c r="DLC89" s="947"/>
      <c r="DLD89" s="947"/>
      <c r="DLE89" s="947"/>
      <c r="DLF89" s="947"/>
      <c r="DLG89" s="947"/>
      <c r="DLH89" s="947"/>
      <c r="DLI89" s="947"/>
      <c r="DLJ89" s="947"/>
      <c r="DLK89" s="947"/>
      <c r="DLL89" s="947"/>
      <c r="DLM89" s="947"/>
      <c r="DLN89" s="947"/>
      <c r="DLO89" s="947"/>
      <c r="DLP89" s="947"/>
      <c r="DLQ89" s="947"/>
      <c r="DLR89" s="947"/>
      <c r="DLS89" s="947"/>
      <c r="DLT89" s="947"/>
      <c r="DLU89" s="947"/>
      <c r="DLV89" s="947"/>
      <c r="DLW89" s="947"/>
      <c r="DLX89" s="947"/>
      <c r="DLY89" s="947"/>
      <c r="DLZ89" s="947"/>
      <c r="DMA89" s="947"/>
      <c r="DMB89" s="947"/>
      <c r="DMC89" s="947"/>
      <c r="DMD89" s="947"/>
      <c r="DME89" s="947"/>
      <c r="DMF89" s="947"/>
      <c r="DMG89" s="947"/>
      <c r="DMH89" s="947"/>
      <c r="DMI89" s="947"/>
      <c r="DMJ89" s="947"/>
      <c r="DMK89" s="947"/>
      <c r="DML89" s="947"/>
      <c r="DMM89" s="947"/>
      <c r="DMN89" s="947"/>
      <c r="DMO89" s="947"/>
      <c r="DMP89" s="947"/>
      <c r="DMQ89" s="947"/>
      <c r="DMR89" s="947"/>
      <c r="DMS89" s="947"/>
      <c r="DMT89" s="947"/>
      <c r="DMU89" s="947"/>
      <c r="DMV89" s="947"/>
      <c r="DMW89" s="947"/>
      <c r="DMX89" s="947"/>
      <c r="DMY89" s="947"/>
      <c r="DMZ89" s="947"/>
      <c r="DNA89" s="947"/>
      <c r="DNB89" s="947"/>
      <c r="DNC89" s="947"/>
      <c r="DND89" s="947"/>
      <c r="DNE89" s="947"/>
      <c r="DNF89" s="947"/>
      <c r="DNG89" s="947"/>
      <c r="DNH89" s="947"/>
      <c r="DNI89" s="947"/>
      <c r="DNJ89" s="947"/>
      <c r="DNK89" s="947"/>
      <c r="DNL89" s="947"/>
      <c r="DNM89" s="947"/>
      <c r="DNN89" s="947"/>
      <c r="DNO89" s="947"/>
      <c r="DNP89" s="947"/>
      <c r="DNQ89" s="947"/>
      <c r="DNR89" s="947"/>
      <c r="DNS89" s="947"/>
      <c r="DNT89" s="947"/>
      <c r="DNU89" s="947"/>
      <c r="DNV89" s="947"/>
      <c r="DNW89" s="947"/>
      <c r="DNX89" s="947"/>
      <c r="DNY89" s="947"/>
      <c r="DNZ89" s="947"/>
      <c r="DOA89" s="947"/>
      <c r="DOB89" s="947"/>
      <c r="DOC89" s="947"/>
      <c r="DOD89" s="947"/>
      <c r="DOE89" s="947"/>
      <c r="DOF89" s="947"/>
      <c r="DOG89" s="947"/>
      <c r="DOH89" s="947"/>
      <c r="DOI89" s="947"/>
      <c r="DOJ89" s="947"/>
      <c r="DOK89" s="947"/>
      <c r="DOL89" s="947"/>
      <c r="DOM89" s="947"/>
      <c r="DON89" s="947"/>
      <c r="DOO89" s="947"/>
      <c r="DOP89" s="947"/>
      <c r="DOQ89" s="947"/>
      <c r="DOR89" s="947"/>
      <c r="DOS89" s="947"/>
      <c r="DOT89" s="947"/>
      <c r="DOU89" s="947"/>
      <c r="DOV89" s="947"/>
      <c r="DOW89" s="947"/>
      <c r="DOX89" s="947"/>
      <c r="DOY89" s="947"/>
      <c r="DOZ89" s="947"/>
      <c r="DPA89" s="947"/>
      <c r="DPB89" s="947"/>
      <c r="DPC89" s="947"/>
      <c r="DPD89" s="947"/>
      <c r="DPE89" s="947"/>
      <c r="DPF89" s="947"/>
      <c r="DPG89" s="947"/>
      <c r="DPH89" s="947"/>
      <c r="DPI89" s="947"/>
      <c r="DPJ89" s="947"/>
      <c r="DPK89" s="947"/>
      <c r="DPL89" s="947"/>
      <c r="DPM89" s="947"/>
      <c r="DPN89" s="947"/>
      <c r="DPO89" s="947"/>
      <c r="DPP89" s="947"/>
      <c r="DPQ89" s="947"/>
      <c r="DPR89" s="947"/>
      <c r="DPS89" s="947"/>
      <c r="DPT89" s="947"/>
      <c r="DPU89" s="947"/>
      <c r="DPV89" s="947"/>
      <c r="DPW89" s="947"/>
      <c r="DPX89" s="947"/>
      <c r="DPY89" s="947"/>
      <c r="DPZ89" s="947"/>
      <c r="DQA89" s="947"/>
      <c r="DQB89" s="947"/>
      <c r="DQC89" s="947"/>
      <c r="DQD89" s="947"/>
      <c r="DQE89" s="947"/>
      <c r="DQF89" s="947"/>
      <c r="DQG89" s="947"/>
      <c r="DQH89" s="947"/>
      <c r="DQI89" s="947"/>
      <c r="DQJ89" s="947"/>
      <c r="DQK89" s="947"/>
      <c r="DQL89" s="947"/>
      <c r="DQM89" s="947"/>
      <c r="DQN89" s="947"/>
      <c r="DQO89" s="947"/>
      <c r="DQP89" s="947"/>
      <c r="DQQ89" s="947"/>
      <c r="DQR89" s="947"/>
      <c r="DQS89" s="947"/>
      <c r="DQT89" s="947"/>
      <c r="DQU89" s="947"/>
      <c r="DQV89" s="947"/>
      <c r="DQW89" s="947"/>
      <c r="DQX89" s="947"/>
      <c r="DQY89" s="947"/>
      <c r="DQZ89" s="947"/>
      <c r="DRA89" s="947"/>
      <c r="DRB89" s="947"/>
      <c r="DRC89" s="947"/>
      <c r="DRD89" s="947"/>
      <c r="DRE89" s="947"/>
      <c r="DRF89" s="947"/>
      <c r="DRG89" s="947"/>
      <c r="DRH89" s="947"/>
      <c r="DRI89" s="947"/>
      <c r="DRJ89" s="947"/>
      <c r="DRK89" s="947"/>
      <c r="DRL89" s="947"/>
      <c r="DRM89" s="947"/>
      <c r="DRN89" s="947"/>
      <c r="DRO89" s="947"/>
      <c r="DRP89" s="947"/>
      <c r="DRQ89" s="947"/>
      <c r="DRR89" s="947"/>
      <c r="DRS89" s="947"/>
      <c r="DRT89" s="947"/>
      <c r="DRU89" s="947"/>
      <c r="DRV89" s="947"/>
      <c r="DRW89" s="947"/>
      <c r="DRX89" s="947"/>
      <c r="DRY89" s="947"/>
      <c r="DRZ89" s="947"/>
      <c r="DSA89" s="947"/>
      <c r="DSB89" s="947"/>
      <c r="DSC89" s="947"/>
      <c r="DSD89" s="947"/>
      <c r="DSE89" s="947"/>
      <c r="DSF89" s="947"/>
      <c r="DSG89" s="947"/>
      <c r="DSH89" s="947"/>
      <c r="DSI89" s="947"/>
      <c r="DSJ89" s="947"/>
      <c r="DSK89" s="947"/>
      <c r="DSL89" s="947"/>
      <c r="DSM89" s="947"/>
      <c r="DSN89" s="947"/>
      <c r="DSO89" s="947"/>
      <c r="DSP89" s="947"/>
      <c r="DSQ89" s="947"/>
      <c r="DSR89" s="947"/>
      <c r="DSS89" s="947"/>
      <c r="DST89" s="947"/>
      <c r="DSU89" s="947"/>
      <c r="DSV89" s="947"/>
      <c r="DSW89" s="947"/>
      <c r="DSX89" s="947"/>
      <c r="DSY89" s="947"/>
      <c r="DSZ89" s="947"/>
      <c r="DTA89" s="947"/>
      <c r="DTB89" s="947"/>
      <c r="DTC89" s="947"/>
      <c r="DTD89" s="947"/>
      <c r="DTE89" s="947"/>
      <c r="DTF89" s="947"/>
      <c r="DTG89" s="947"/>
      <c r="DTH89" s="947"/>
      <c r="DTI89" s="947"/>
      <c r="DTJ89" s="947"/>
      <c r="DTK89" s="947"/>
      <c r="DTL89" s="947"/>
      <c r="DTM89" s="947"/>
      <c r="DTN89" s="947"/>
      <c r="DTO89" s="947"/>
      <c r="DTP89" s="947"/>
      <c r="DTQ89" s="947"/>
      <c r="DTR89" s="947"/>
      <c r="DTS89" s="947"/>
      <c r="DTT89" s="947"/>
      <c r="DTU89" s="947"/>
      <c r="DTV89" s="947"/>
      <c r="DTW89" s="947"/>
      <c r="DTX89" s="947"/>
      <c r="DTY89" s="947"/>
      <c r="DTZ89" s="947"/>
      <c r="DUA89" s="947"/>
      <c r="DUB89" s="947"/>
      <c r="DUC89" s="947"/>
      <c r="DUD89" s="947"/>
      <c r="DUE89" s="947"/>
      <c r="DUF89" s="947"/>
      <c r="DUG89" s="947"/>
      <c r="DUH89" s="947"/>
      <c r="DUI89" s="947"/>
      <c r="DUJ89" s="947"/>
      <c r="DUK89" s="947"/>
      <c r="DUL89" s="947"/>
      <c r="DUM89" s="947"/>
      <c r="DUN89" s="947"/>
      <c r="DUO89" s="947"/>
      <c r="DUP89" s="947"/>
      <c r="DUQ89" s="947"/>
      <c r="DUR89" s="947"/>
      <c r="DUS89" s="947"/>
      <c r="DUT89" s="947"/>
      <c r="DUU89" s="947"/>
      <c r="DUV89" s="947"/>
      <c r="DUW89" s="947"/>
      <c r="DUX89" s="947"/>
      <c r="DUY89" s="947"/>
      <c r="DUZ89" s="947"/>
      <c r="DVA89" s="947"/>
      <c r="DVB89" s="947"/>
      <c r="DVC89" s="947"/>
      <c r="DVD89" s="947"/>
      <c r="DVE89" s="947"/>
      <c r="DVF89" s="947"/>
      <c r="DVG89" s="947"/>
      <c r="DVH89" s="947"/>
      <c r="DVI89" s="947"/>
      <c r="DVJ89" s="947"/>
      <c r="DVK89" s="947"/>
      <c r="DVL89" s="947"/>
      <c r="DVM89" s="947"/>
      <c r="DVN89" s="947"/>
      <c r="DVO89" s="947"/>
      <c r="DVP89" s="947"/>
      <c r="DVQ89" s="947"/>
      <c r="DVR89" s="947"/>
      <c r="DVS89" s="947"/>
      <c r="DVT89" s="947"/>
      <c r="DVU89" s="947"/>
      <c r="DVV89" s="947"/>
      <c r="DVW89" s="947"/>
      <c r="DVX89" s="947"/>
      <c r="DVY89" s="947"/>
      <c r="DVZ89" s="947"/>
      <c r="DWA89" s="947"/>
      <c r="DWB89" s="947"/>
      <c r="DWC89" s="947"/>
      <c r="DWD89" s="947"/>
      <c r="DWE89" s="947"/>
      <c r="DWF89" s="947"/>
      <c r="DWG89" s="947"/>
      <c r="DWH89" s="947"/>
      <c r="DWI89" s="947"/>
      <c r="DWJ89" s="947"/>
      <c r="DWK89" s="947"/>
      <c r="DWL89" s="947"/>
      <c r="DWM89" s="947"/>
      <c r="DWN89" s="947"/>
      <c r="DWO89" s="947"/>
      <c r="DWP89" s="947"/>
      <c r="DWQ89" s="947"/>
      <c r="DWR89" s="947"/>
      <c r="DWS89" s="947"/>
      <c r="DWT89" s="947"/>
      <c r="DWU89" s="947"/>
      <c r="DWV89" s="947"/>
      <c r="DWW89" s="947"/>
      <c r="DWX89" s="947"/>
      <c r="DWY89" s="947"/>
      <c r="DWZ89" s="947"/>
      <c r="DXA89" s="947"/>
      <c r="DXB89" s="947"/>
      <c r="DXC89" s="947"/>
      <c r="DXD89" s="947"/>
      <c r="DXE89" s="947"/>
      <c r="DXF89" s="947"/>
      <c r="DXG89" s="947"/>
      <c r="DXH89" s="947"/>
      <c r="DXI89" s="947"/>
      <c r="DXJ89" s="947"/>
      <c r="DXK89" s="947"/>
      <c r="DXL89" s="947"/>
      <c r="DXM89" s="947"/>
      <c r="DXN89" s="947"/>
      <c r="DXO89" s="947"/>
      <c r="DXP89" s="947"/>
      <c r="DXQ89" s="947"/>
      <c r="DXR89" s="947"/>
      <c r="DXS89" s="947"/>
      <c r="DXT89" s="947"/>
      <c r="DXU89" s="947"/>
      <c r="DXV89" s="947"/>
      <c r="DXW89" s="947"/>
      <c r="DXX89" s="947"/>
      <c r="DXY89" s="947"/>
      <c r="DXZ89" s="947"/>
      <c r="DYA89" s="947"/>
      <c r="DYB89" s="947"/>
      <c r="DYC89" s="947"/>
      <c r="DYD89" s="947"/>
      <c r="DYE89" s="947"/>
      <c r="DYF89" s="947"/>
      <c r="DYG89" s="947"/>
      <c r="DYH89" s="947"/>
      <c r="DYI89" s="947"/>
      <c r="DYJ89" s="947"/>
      <c r="DYK89" s="947"/>
      <c r="DYL89" s="947"/>
      <c r="DYM89" s="947"/>
      <c r="DYN89" s="947"/>
      <c r="DYO89" s="947"/>
      <c r="DYP89" s="947"/>
      <c r="DYQ89" s="947"/>
      <c r="DYR89" s="947"/>
      <c r="DYS89" s="947"/>
      <c r="DYT89" s="947"/>
      <c r="DYU89" s="947"/>
      <c r="DYV89" s="947"/>
      <c r="DYW89" s="947"/>
      <c r="DYX89" s="947"/>
      <c r="DYY89" s="947"/>
      <c r="DYZ89" s="947"/>
      <c r="DZA89" s="947"/>
      <c r="DZB89" s="947"/>
      <c r="DZC89" s="947"/>
      <c r="DZD89" s="947"/>
      <c r="DZE89" s="947"/>
      <c r="DZF89" s="947"/>
      <c r="DZG89" s="947"/>
      <c r="DZH89" s="947"/>
      <c r="DZI89" s="947"/>
      <c r="DZJ89" s="947"/>
      <c r="DZK89" s="947"/>
      <c r="DZL89" s="947"/>
      <c r="DZM89" s="947"/>
      <c r="DZN89" s="947"/>
      <c r="DZO89" s="947"/>
      <c r="DZP89" s="947"/>
      <c r="DZQ89" s="947"/>
      <c r="DZR89" s="947"/>
      <c r="DZS89" s="947"/>
      <c r="DZT89" s="947"/>
      <c r="DZU89" s="947"/>
      <c r="DZV89" s="947"/>
      <c r="DZW89" s="947"/>
      <c r="DZX89" s="947"/>
      <c r="DZY89" s="947"/>
      <c r="DZZ89" s="947"/>
      <c r="EAA89" s="947"/>
      <c r="EAB89" s="947"/>
      <c r="EAC89" s="947"/>
      <c r="EAD89" s="947"/>
      <c r="EAE89" s="947"/>
      <c r="EAF89" s="947"/>
      <c r="EAG89" s="947"/>
      <c r="EAH89" s="947"/>
      <c r="EAI89" s="947"/>
      <c r="EAJ89" s="947"/>
      <c r="EAK89" s="947"/>
      <c r="EAL89" s="947"/>
      <c r="EAM89" s="947"/>
      <c r="EAN89" s="947"/>
      <c r="EAO89" s="947"/>
      <c r="EAP89" s="947"/>
      <c r="EAQ89" s="947"/>
      <c r="EAR89" s="947"/>
      <c r="EAS89" s="947"/>
      <c r="EAT89" s="947"/>
      <c r="EAU89" s="947"/>
      <c r="EAV89" s="947"/>
      <c r="EAW89" s="947"/>
      <c r="EAX89" s="947"/>
      <c r="EAY89" s="947"/>
      <c r="EAZ89" s="947"/>
      <c r="EBA89" s="947"/>
      <c r="EBB89" s="947"/>
      <c r="EBC89" s="947"/>
      <c r="EBD89" s="947"/>
      <c r="EBE89" s="947"/>
      <c r="EBF89" s="947"/>
      <c r="EBG89" s="947"/>
      <c r="EBH89" s="947"/>
      <c r="EBI89" s="947"/>
      <c r="EBJ89" s="947"/>
      <c r="EBK89" s="947"/>
      <c r="EBL89" s="947"/>
      <c r="EBM89" s="947"/>
      <c r="EBN89" s="947"/>
      <c r="EBO89" s="947"/>
      <c r="EBP89" s="947"/>
      <c r="EBQ89" s="947"/>
      <c r="EBR89" s="947"/>
      <c r="EBS89" s="947"/>
      <c r="EBT89" s="947"/>
      <c r="EBU89" s="947"/>
      <c r="EBV89" s="947"/>
      <c r="EBW89" s="947"/>
      <c r="EBX89" s="947"/>
      <c r="EBY89" s="947"/>
      <c r="EBZ89" s="947"/>
      <c r="ECA89" s="947"/>
      <c r="ECB89" s="947"/>
      <c r="ECC89" s="947"/>
      <c r="ECD89" s="947"/>
      <c r="ECE89" s="947"/>
      <c r="ECF89" s="947"/>
      <c r="ECG89" s="947"/>
      <c r="ECH89" s="947"/>
      <c r="ECI89" s="947"/>
      <c r="ECJ89" s="947"/>
      <c r="ECK89" s="947"/>
      <c r="ECL89" s="947"/>
      <c r="ECM89" s="947"/>
      <c r="ECN89" s="947"/>
      <c r="ECO89" s="947"/>
      <c r="ECP89" s="947"/>
      <c r="ECQ89" s="947"/>
      <c r="ECR89" s="947"/>
      <c r="ECS89" s="947"/>
      <c r="ECT89" s="947"/>
      <c r="ECU89" s="947"/>
      <c r="ECV89" s="947"/>
      <c r="ECW89" s="947"/>
      <c r="ECX89" s="947"/>
      <c r="ECY89" s="947"/>
      <c r="ECZ89" s="947"/>
      <c r="EDA89" s="947"/>
      <c r="EDB89" s="947"/>
      <c r="EDC89" s="947"/>
      <c r="EDD89" s="947"/>
      <c r="EDE89" s="947"/>
      <c r="EDF89" s="947"/>
      <c r="EDG89" s="947"/>
      <c r="EDH89" s="947"/>
      <c r="EDI89" s="947"/>
      <c r="EDJ89" s="947"/>
      <c r="EDK89" s="947"/>
      <c r="EDL89" s="947"/>
      <c r="EDM89" s="947"/>
      <c r="EDN89" s="947"/>
      <c r="EDO89" s="947"/>
      <c r="EDP89" s="947"/>
      <c r="EDQ89" s="947"/>
      <c r="EDR89" s="947"/>
      <c r="EDS89" s="947"/>
      <c r="EDT89" s="947"/>
      <c r="EDU89" s="947"/>
      <c r="EDV89" s="947"/>
      <c r="EDW89" s="947"/>
      <c r="EDX89" s="947"/>
      <c r="EDY89" s="947"/>
      <c r="EDZ89" s="947"/>
      <c r="EEA89" s="947"/>
      <c r="EEB89" s="947"/>
      <c r="EEC89" s="947"/>
      <c r="EED89" s="947"/>
      <c r="EEE89" s="947"/>
      <c r="EEF89" s="947"/>
      <c r="EEG89" s="947"/>
      <c r="EEH89" s="947"/>
      <c r="EEI89" s="947"/>
      <c r="EEJ89" s="947"/>
      <c r="EEK89" s="947"/>
      <c r="EEL89" s="947"/>
      <c r="EEM89" s="947"/>
      <c r="EEN89" s="947"/>
      <c r="EEO89" s="947"/>
      <c r="EEP89" s="947"/>
      <c r="EEQ89" s="947"/>
      <c r="EER89" s="947"/>
      <c r="EES89" s="947"/>
      <c r="EET89" s="947"/>
      <c r="EEU89" s="947"/>
      <c r="EEV89" s="947"/>
      <c r="EEW89" s="947"/>
      <c r="EEX89" s="947"/>
      <c r="EEY89" s="947"/>
      <c r="EEZ89" s="947"/>
      <c r="EFA89" s="947"/>
      <c r="EFB89" s="947"/>
      <c r="EFC89" s="947"/>
      <c r="EFD89" s="947"/>
      <c r="EFE89" s="947"/>
      <c r="EFF89" s="947"/>
      <c r="EFG89" s="947"/>
      <c r="EFH89" s="947"/>
      <c r="EFI89" s="947"/>
      <c r="EFJ89" s="947"/>
      <c r="EFK89" s="947"/>
      <c r="EFL89" s="947"/>
      <c r="EFM89" s="947"/>
      <c r="EFN89" s="947"/>
      <c r="EFO89" s="947"/>
      <c r="EFP89" s="947"/>
      <c r="EFQ89" s="947"/>
      <c r="EFR89" s="947"/>
      <c r="EFS89" s="947"/>
      <c r="EFT89" s="947"/>
      <c r="EFU89" s="947"/>
      <c r="EFV89" s="947"/>
      <c r="EFW89" s="947"/>
      <c r="EFX89" s="947"/>
      <c r="EFY89" s="947"/>
      <c r="EFZ89" s="947"/>
      <c r="EGA89" s="947"/>
      <c r="EGB89" s="947"/>
      <c r="EGC89" s="947"/>
      <c r="EGD89" s="947"/>
      <c r="EGE89" s="947"/>
      <c r="EGF89" s="947"/>
      <c r="EGG89" s="947"/>
      <c r="EGH89" s="947"/>
      <c r="EGI89" s="947"/>
      <c r="EGJ89" s="947"/>
      <c r="EGK89" s="947"/>
      <c r="EGL89" s="947"/>
      <c r="EGM89" s="947"/>
      <c r="EGN89" s="947"/>
      <c r="EGO89" s="947"/>
      <c r="EGP89" s="947"/>
      <c r="EGQ89" s="947"/>
      <c r="EGR89" s="947"/>
      <c r="EGS89" s="947"/>
      <c r="EGT89" s="947"/>
      <c r="EGU89" s="947"/>
      <c r="EGV89" s="947"/>
      <c r="EGW89" s="947"/>
      <c r="EGX89" s="947"/>
      <c r="EGY89" s="947"/>
      <c r="EGZ89" s="947"/>
      <c r="EHA89" s="947"/>
      <c r="EHB89" s="947"/>
      <c r="EHC89" s="947"/>
      <c r="EHD89" s="947"/>
      <c r="EHE89" s="947"/>
      <c r="EHF89" s="947"/>
      <c r="EHG89" s="947"/>
      <c r="EHH89" s="947"/>
      <c r="EHI89" s="947"/>
      <c r="EHJ89" s="947"/>
      <c r="EHK89" s="947"/>
      <c r="EHL89" s="947"/>
      <c r="EHM89" s="947"/>
      <c r="EHN89" s="947"/>
      <c r="EHO89" s="947"/>
      <c r="EHP89" s="947"/>
      <c r="EHQ89" s="947"/>
      <c r="EHR89" s="947"/>
      <c r="EHS89" s="947"/>
      <c r="EHT89" s="947"/>
      <c r="EHU89" s="947"/>
      <c r="EHV89" s="947"/>
      <c r="EHW89" s="947"/>
      <c r="EHX89" s="947"/>
      <c r="EHY89" s="947"/>
      <c r="EHZ89" s="947"/>
      <c r="EIA89" s="947"/>
      <c r="EIB89" s="947"/>
      <c r="EIC89" s="947"/>
      <c r="EID89" s="947"/>
      <c r="EIE89" s="947"/>
      <c r="EIF89" s="947"/>
      <c r="EIG89" s="947"/>
      <c r="EIH89" s="947"/>
      <c r="EII89" s="947"/>
      <c r="EIJ89" s="947"/>
      <c r="EIK89" s="947"/>
      <c r="EIL89" s="947"/>
      <c r="EIM89" s="947"/>
      <c r="EIN89" s="947"/>
      <c r="EIO89" s="947"/>
      <c r="EIP89" s="947"/>
      <c r="EIQ89" s="947"/>
      <c r="EIR89" s="947"/>
      <c r="EIS89" s="947"/>
      <c r="EIT89" s="947"/>
      <c r="EIU89" s="947"/>
      <c r="EIV89" s="947"/>
      <c r="EIW89" s="947"/>
      <c r="EIX89" s="947"/>
      <c r="EIY89" s="947"/>
      <c r="EIZ89" s="947"/>
      <c r="EJA89" s="947"/>
      <c r="EJB89" s="947"/>
      <c r="EJC89" s="947"/>
      <c r="EJD89" s="947"/>
      <c r="EJE89" s="947"/>
      <c r="EJF89" s="947"/>
      <c r="EJG89" s="947"/>
      <c r="EJH89" s="947"/>
      <c r="EJI89" s="947"/>
      <c r="EJJ89" s="947"/>
      <c r="EJK89" s="947"/>
      <c r="EJL89" s="947"/>
      <c r="EJM89" s="947"/>
      <c r="EJN89" s="947"/>
      <c r="EJO89" s="947"/>
      <c r="EJP89" s="947"/>
      <c r="EJQ89" s="947"/>
      <c r="EJR89" s="947"/>
      <c r="EJS89" s="947"/>
      <c r="EJT89" s="947"/>
      <c r="EJU89" s="947"/>
      <c r="EJV89" s="947"/>
      <c r="EJW89" s="947"/>
      <c r="EJX89" s="947"/>
      <c r="EJY89" s="947"/>
      <c r="EJZ89" s="947"/>
      <c r="EKA89" s="947"/>
      <c r="EKB89" s="947"/>
      <c r="EKC89" s="947"/>
      <c r="EKD89" s="947"/>
      <c r="EKE89" s="947"/>
      <c r="EKF89" s="947"/>
      <c r="EKG89" s="947"/>
      <c r="EKH89" s="947"/>
      <c r="EKI89" s="947"/>
      <c r="EKJ89" s="947"/>
      <c r="EKK89" s="947"/>
      <c r="EKL89" s="947"/>
      <c r="EKM89" s="947"/>
      <c r="EKN89" s="947"/>
      <c r="EKO89" s="947"/>
      <c r="EKP89" s="947"/>
      <c r="EKQ89" s="947"/>
      <c r="EKR89" s="947"/>
      <c r="EKS89" s="947"/>
      <c r="EKT89" s="947"/>
      <c r="EKU89" s="947"/>
      <c r="EKV89" s="947"/>
      <c r="EKW89" s="947"/>
      <c r="EKX89" s="947"/>
      <c r="EKY89" s="947"/>
      <c r="EKZ89" s="947"/>
      <c r="ELA89" s="947"/>
      <c r="ELB89" s="947"/>
      <c r="ELC89" s="947"/>
      <c r="ELD89" s="947"/>
      <c r="ELE89" s="947"/>
      <c r="ELF89" s="947"/>
      <c r="ELG89" s="947"/>
      <c r="ELH89" s="947"/>
      <c r="ELI89" s="947"/>
      <c r="ELJ89" s="947"/>
      <c r="ELK89" s="947"/>
      <c r="ELL89" s="947"/>
      <c r="ELM89" s="947"/>
      <c r="ELN89" s="947"/>
      <c r="ELO89" s="947"/>
      <c r="ELP89" s="947"/>
      <c r="ELQ89" s="947"/>
      <c r="ELR89" s="947"/>
      <c r="ELS89" s="947"/>
      <c r="ELT89" s="947"/>
      <c r="ELU89" s="947"/>
      <c r="ELV89" s="947"/>
      <c r="ELW89" s="947"/>
      <c r="ELX89" s="947"/>
      <c r="ELY89" s="947"/>
      <c r="ELZ89" s="947"/>
      <c r="EMA89" s="947"/>
      <c r="EMB89" s="947"/>
      <c r="EMC89" s="947"/>
      <c r="EMD89" s="947"/>
      <c r="EME89" s="947"/>
      <c r="EMF89" s="947"/>
      <c r="EMG89" s="947"/>
      <c r="EMH89" s="947"/>
      <c r="EMI89" s="947"/>
      <c r="EMJ89" s="947"/>
      <c r="EMK89" s="947"/>
      <c r="EML89" s="947"/>
      <c r="EMM89" s="947"/>
      <c r="EMN89" s="947"/>
      <c r="EMO89" s="947"/>
      <c r="EMP89" s="947"/>
      <c r="EMQ89" s="947"/>
      <c r="EMR89" s="947"/>
      <c r="EMS89" s="947"/>
      <c r="EMT89" s="947"/>
      <c r="EMU89" s="947"/>
      <c r="EMV89" s="947"/>
      <c r="EMW89" s="947"/>
      <c r="EMX89" s="947"/>
      <c r="EMY89" s="947"/>
      <c r="EMZ89" s="947"/>
      <c r="ENA89" s="947"/>
      <c r="ENB89" s="947"/>
      <c r="ENC89" s="947"/>
      <c r="END89" s="947"/>
      <c r="ENE89" s="947"/>
      <c r="ENF89" s="947"/>
      <c r="ENG89" s="947"/>
      <c r="ENH89" s="947"/>
      <c r="ENI89" s="947"/>
      <c r="ENJ89" s="947"/>
      <c r="ENK89" s="947"/>
      <c r="ENL89" s="947"/>
      <c r="ENM89" s="947"/>
      <c r="ENN89" s="947"/>
      <c r="ENO89" s="947"/>
      <c r="ENP89" s="947"/>
      <c r="ENQ89" s="947"/>
      <c r="ENR89" s="947"/>
      <c r="ENS89" s="947"/>
      <c r="ENT89" s="947"/>
      <c r="ENU89" s="947"/>
      <c r="ENV89" s="947"/>
      <c r="ENW89" s="947"/>
      <c r="ENX89" s="947"/>
      <c r="ENY89" s="947"/>
      <c r="ENZ89" s="947"/>
      <c r="EOA89" s="947"/>
      <c r="EOB89" s="947"/>
      <c r="EOC89" s="947"/>
      <c r="EOD89" s="947"/>
      <c r="EOE89" s="947"/>
      <c r="EOF89" s="947"/>
      <c r="EOG89" s="947"/>
      <c r="EOH89" s="947"/>
      <c r="EOI89" s="947"/>
      <c r="EOJ89" s="947"/>
      <c r="EOK89" s="947"/>
      <c r="EOL89" s="947"/>
      <c r="EOM89" s="947"/>
      <c r="EON89" s="947"/>
      <c r="EOO89" s="947"/>
      <c r="EOP89" s="947"/>
      <c r="EOQ89" s="947"/>
      <c r="EOR89" s="947"/>
      <c r="EOS89" s="947"/>
      <c r="EOT89" s="947"/>
      <c r="EOU89" s="947"/>
      <c r="EOV89" s="947"/>
      <c r="EOW89" s="947"/>
      <c r="EOX89" s="947"/>
      <c r="EOY89" s="947"/>
      <c r="EOZ89" s="947"/>
      <c r="EPA89" s="947"/>
      <c r="EPB89" s="947"/>
      <c r="EPC89" s="947"/>
      <c r="EPD89" s="947"/>
      <c r="EPE89" s="947"/>
      <c r="EPF89" s="947"/>
      <c r="EPG89" s="947"/>
      <c r="EPH89" s="947"/>
      <c r="EPI89" s="947"/>
      <c r="EPJ89" s="947"/>
      <c r="EPK89" s="947"/>
      <c r="EPL89" s="947"/>
      <c r="EPM89" s="947"/>
      <c r="EPN89" s="947"/>
      <c r="EPO89" s="947"/>
      <c r="EPP89" s="947"/>
      <c r="EPQ89" s="947"/>
      <c r="EPR89" s="947"/>
      <c r="EPS89" s="947"/>
      <c r="EPT89" s="947"/>
      <c r="EPU89" s="947"/>
      <c r="EPV89" s="947"/>
      <c r="EPW89" s="947"/>
      <c r="EPX89" s="947"/>
      <c r="EPY89" s="947"/>
      <c r="EPZ89" s="947"/>
      <c r="EQA89" s="947"/>
      <c r="EQB89" s="947"/>
      <c r="EQC89" s="947"/>
      <c r="EQD89" s="947"/>
      <c r="EQE89" s="947"/>
      <c r="EQF89" s="947"/>
      <c r="EQG89" s="947"/>
      <c r="EQH89" s="947"/>
      <c r="EQI89" s="947"/>
      <c r="EQJ89" s="947"/>
      <c r="EQK89" s="947"/>
      <c r="EQL89" s="947"/>
      <c r="EQM89" s="947"/>
      <c r="EQN89" s="947"/>
      <c r="EQO89" s="947"/>
      <c r="EQP89" s="947"/>
      <c r="EQQ89" s="947"/>
      <c r="EQR89" s="947"/>
      <c r="EQS89" s="947"/>
      <c r="EQT89" s="947"/>
      <c r="EQU89" s="947"/>
      <c r="EQV89" s="947"/>
      <c r="EQW89" s="947"/>
      <c r="EQX89" s="947"/>
      <c r="EQY89" s="947"/>
      <c r="EQZ89" s="947"/>
      <c r="ERA89" s="947"/>
      <c r="ERB89" s="947"/>
      <c r="ERC89" s="947"/>
      <c r="ERD89" s="947"/>
      <c r="ERE89" s="947"/>
      <c r="ERF89" s="947"/>
      <c r="ERG89" s="947"/>
      <c r="ERH89" s="947"/>
      <c r="ERI89" s="947"/>
      <c r="ERJ89" s="947"/>
      <c r="ERK89" s="947"/>
      <c r="ERL89" s="947"/>
      <c r="ERM89" s="947"/>
      <c r="ERN89" s="947"/>
      <c r="ERO89" s="947"/>
      <c r="ERP89" s="947"/>
      <c r="ERQ89" s="947"/>
      <c r="ERR89" s="947"/>
      <c r="ERS89" s="947"/>
      <c r="ERT89" s="947"/>
      <c r="ERU89" s="947"/>
      <c r="ERV89" s="947"/>
      <c r="ERW89" s="947"/>
      <c r="ERX89" s="947"/>
      <c r="ERY89" s="947"/>
      <c r="ERZ89" s="947"/>
      <c r="ESA89" s="947"/>
      <c r="ESB89" s="947"/>
      <c r="ESC89" s="947"/>
      <c r="ESD89" s="947"/>
      <c r="ESE89" s="947"/>
      <c r="ESF89" s="947"/>
      <c r="ESG89" s="947"/>
      <c r="ESH89" s="947"/>
      <c r="ESI89" s="947"/>
      <c r="ESJ89" s="947"/>
      <c r="ESK89" s="947"/>
      <c r="ESL89" s="947"/>
      <c r="ESM89" s="947"/>
      <c r="ESN89" s="947"/>
      <c r="ESO89" s="947"/>
      <c r="ESP89" s="947"/>
      <c r="ESQ89" s="947"/>
      <c r="ESR89" s="947"/>
      <c r="ESS89" s="947"/>
      <c r="EST89" s="947"/>
      <c r="ESU89" s="947"/>
      <c r="ESV89" s="947"/>
      <c r="ESW89" s="947"/>
      <c r="ESX89" s="947"/>
      <c r="ESY89" s="947"/>
      <c r="ESZ89" s="947"/>
      <c r="ETA89" s="947"/>
      <c r="ETB89" s="947"/>
      <c r="ETC89" s="947"/>
      <c r="ETD89" s="947"/>
      <c r="ETE89" s="947"/>
      <c r="ETF89" s="947"/>
      <c r="ETG89" s="947"/>
      <c r="ETH89" s="947"/>
      <c r="ETI89" s="947"/>
      <c r="ETJ89" s="947"/>
      <c r="ETK89" s="947"/>
      <c r="ETL89" s="947"/>
      <c r="ETM89" s="947"/>
      <c r="ETN89" s="947"/>
      <c r="ETO89" s="947"/>
      <c r="ETP89" s="947"/>
      <c r="ETQ89" s="947"/>
      <c r="ETR89" s="947"/>
      <c r="ETS89" s="947"/>
      <c r="ETT89" s="947"/>
      <c r="ETU89" s="947"/>
      <c r="ETV89" s="947"/>
      <c r="ETW89" s="947"/>
      <c r="ETX89" s="947"/>
      <c r="ETY89" s="947"/>
      <c r="ETZ89" s="947"/>
      <c r="EUA89" s="947"/>
      <c r="EUB89" s="947"/>
      <c r="EUC89" s="947"/>
      <c r="EUD89" s="947"/>
      <c r="EUE89" s="947"/>
      <c r="EUF89" s="947"/>
      <c r="EUG89" s="947"/>
      <c r="EUH89" s="947"/>
      <c r="EUI89" s="947"/>
      <c r="EUJ89" s="947"/>
      <c r="EUK89" s="947"/>
      <c r="EUL89" s="947"/>
      <c r="EUM89" s="947"/>
      <c r="EUN89" s="947"/>
      <c r="EUO89" s="947"/>
      <c r="EUP89" s="947"/>
      <c r="EUQ89" s="947"/>
      <c r="EUR89" s="947"/>
      <c r="EUS89" s="947"/>
      <c r="EUT89" s="947"/>
      <c r="EUU89" s="947"/>
      <c r="EUV89" s="947"/>
      <c r="EUW89" s="947"/>
      <c r="EUX89" s="947"/>
      <c r="EUY89" s="947"/>
      <c r="EUZ89" s="947"/>
      <c r="EVA89" s="947"/>
      <c r="EVB89" s="947"/>
      <c r="EVC89" s="947"/>
      <c r="EVD89" s="947"/>
      <c r="EVE89" s="947"/>
      <c r="EVF89" s="947"/>
      <c r="EVG89" s="947"/>
      <c r="EVH89" s="947"/>
      <c r="EVI89" s="947"/>
      <c r="EVJ89" s="947"/>
      <c r="EVK89" s="947"/>
      <c r="EVL89" s="947"/>
      <c r="EVM89" s="947"/>
      <c r="EVN89" s="947"/>
      <c r="EVO89" s="947"/>
      <c r="EVP89" s="947"/>
      <c r="EVQ89" s="947"/>
      <c r="EVR89" s="947"/>
      <c r="EVS89" s="947"/>
      <c r="EVT89" s="947"/>
      <c r="EVU89" s="947"/>
      <c r="EVV89" s="947"/>
      <c r="EVW89" s="947"/>
      <c r="EVX89" s="947"/>
      <c r="EVY89" s="947"/>
      <c r="EVZ89" s="947"/>
      <c r="EWA89" s="947"/>
      <c r="EWB89" s="947"/>
      <c r="EWC89" s="947"/>
      <c r="EWD89" s="947"/>
      <c r="EWE89" s="947"/>
      <c r="EWF89" s="947"/>
      <c r="EWG89" s="947"/>
      <c r="EWH89" s="947"/>
      <c r="EWI89" s="947"/>
      <c r="EWJ89" s="947"/>
      <c r="EWK89" s="947"/>
      <c r="EWL89" s="947"/>
      <c r="EWM89" s="947"/>
      <c r="EWN89" s="947"/>
      <c r="EWO89" s="947"/>
      <c r="EWP89" s="947"/>
      <c r="EWQ89" s="947"/>
      <c r="EWR89" s="947"/>
      <c r="EWS89" s="947"/>
      <c r="EWT89" s="947"/>
      <c r="EWU89" s="947"/>
      <c r="EWV89" s="947"/>
      <c r="EWW89" s="947"/>
      <c r="EWX89" s="947"/>
      <c r="EWY89" s="947"/>
      <c r="EWZ89" s="947"/>
      <c r="EXA89" s="947"/>
      <c r="EXB89" s="947"/>
      <c r="EXC89" s="947"/>
      <c r="EXD89" s="947"/>
      <c r="EXE89" s="947"/>
      <c r="EXF89" s="947"/>
      <c r="EXG89" s="947"/>
      <c r="EXH89" s="947"/>
      <c r="EXI89" s="947"/>
      <c r="EXJ89" s="947"/>
      <c r="EXK89" s="947"/>
      <c r="EXL89" s="947"/>
      <c r="EXM89" s="947"/>
      <c r="EXN89" s="947"/>
      <c r="EXO89" s="947"/>
      <c r="EXP89" s="947"/>
      <c r="EXQ89" s="947"/>
      <c r="EXR89" s="947"/>
      <c r="EXS89" s="947"/>
      <c r="EXT89" s="947"/>
      <c r="EXU89" s="947"/>
      <c r="EXV89" s="947"/>
      <c r="EXW89" s="947"/>
      <c r="EXX89" s="947"/>
      <c r="EXY89" s="947"/>
      <c r="EXZ89" s="947"/>
      <c r="EYA89" s="947"/>
      <c r="EYB89" s="947"/>
      <c r="EYC89" s="947"/>
      <c r="EYD89" s="947"/>
      <c r="EYE89" s="947"/>
      <c r="EYF89" s="947"/>
      <c r="EYG89" s="947"/>
      <c r="EYH89" s="947"/>
      <c r="EYI89" s="947"/>
      <c r="EYJ89" s="947"/>
      <c r="EYK89" s="947"/>
      <c r="EYL89" s="947"/>
      <c r="EYM89" s="947"/>
      <c r="EYN89" s="947"/>
      <c r="EYO89" s="947"/>
      <c r="EYP89" s="947"/>
      <c r="EYQ89" s="947"/>
      <c r="EYR89" s="947"/>
      <c r="EYS89" s="947"/>
      <c r="EYT89" s="947"/>
      <c r="EYU89" s="947"/>
      <c r="EYV89" s="947"/>
      <c r="EYW89" s="947"/>
      <c r="EYX89" s="947"/>
      <c r="EYY89" s="947"/>
      <c r="EYZ89" s="947"/>
      <c r="EZA89" s="947"/>
      <c r="EZB89" s="947"/>
      <c r="EZC89" s="947"/>
      <c r="EZD89" s="947"/>
      <c r="EZE89" s="947"/>
      <c r="EZF89" s="947"/>
      <c r="EZG89" s="947"/>
      <c r="EZH89" s="947"/>
      <c r="EZI89" s="947"/>
      <c r="EZJ89" s="947"/>
      <c r="EZK89" s="947"/>
      <c r="EZL89" s="947"/>
      <c r="EZM89" s="947"/>
      <c r="EZN89" s="947"/>
      <c r="EZO89" s="947"/>
      <c r="EZP89" s="947"/>
      <c r="EZQ89" s="947"/>
      <c r="EZR89" s="947"/>
      <c r="EZS89" s="947"/>
      <c r="EZT89" s="947"/>
      <c r="EZU89" s="947"/>
      <c r="EZV89" s="947"/>
      <c r="EZW89" s="947"/>
      <c r="EZX89" s="947"/>
      <c r="EZY89" s="947"/>
      <c r="EZZ89" s="947"/>
      <c r="FAA89" s="947"/>
      <c r="FAB89" s="947"/>
      <c r="FAC89" s="947"/>
      <c r="FAD89" s="947"/>
      <c r="FAE89" s="947"/>
      <c r="FAF89" s="947"/>
      <c r="FAG89" s="947"/>
      <c r="FAH89" s="947"/>
      <c r="FAI89" s="947"/>
      <c r="FAJ89" s="947"/>
      <c r="FAK89" s="947"/>
      <c r="FAL89" s="947"/>
      <c r="FAM89" s="947"/>
      <c r="FAN89" s="947"/>
      <c r="FAO89" s="947"/>
      <c r="FAP89" s="947"/>
      <c r="FAQ89" s="947"/>
      <c r="FAR89" s="947"/>
      <c r="FAS89" s="947"/>
      <c r="FAT89" s="947"/>
      <c r="FAU89" s="947"/>
      <c r="FAV89" s="947"/>
      <c r="FAW89" s="947"/>
      <c r="FAX89" s="947"/>
      <c r="FAY89" s="947"/>
      <c r="FAZ89" s="947"/>
      <c r="FBA89" s="947"/>
      <c r="FBB89" s="947"/>
      <c r="FBC89" s="947"/>
      <c r="FBD89" s="947"/>
      <c r="FBE89" s="947"/>
      <c r="FBF89" s="947"/>
      <c r="FBG89" s="947"/>
      <c r="FBH89" s="947"/>
      <c r="FBI89" s="947"/>
      <c r="FBJ89" s="947"/>
      <c r="FBK89" s="947"/>
      <c r="FBL89" s="947"/>
      <c r="FBM89" s="947"/>
      <c r="FBN89" s="947"/>
      <c r="FBO89" s="947"/>
      <c r="FBP89" s="947"/>
      <c r="FBQ89" s="947"/>
      <c r="FBR89" s="947"/>
      <c r="FBS89" s="947"/>
      <c r="FBT89" s="947"/>
      <c r="FBU89" s="947"/>
      <c r="FBV89" s="947"/>
      <c r="FBW89" s="947"/>
      <c r="FBX89" s="947"/>
      <c r="FBY89" s="947"/>
      <c r="FBZ89" s="947"/>
      <c r="FCA89" s="947"/>
      <c r="FCB89" s="947"/>
      <c r="FCC89" s="947"/>
      <c r="FCD89" s="947"/>
      <c r="FCE89" s="947"/>
      <c r="FCF89" s="947"/>
      <c r="FCG89" s="947"/>
      <c r="FCH89" s="947"/>
      <c r="FCI89" s="947"/>
      <c r="FCJ89" s="947"/>
      <c r="FCK89" s="947"/>
      <c r="FCL89" s="947"/>
      <c r="FCM89" s="947"/>
      <c r="FCN89" s="947"/>
      <c r="FCO89" s="947"/>
      <c r="FCP89" s="947"/>
      <c r="FCQ89" s="947"/>
      <c r="FCR89" s="947"/>
      <c r="FCS89" s="947"/>
      <c r="FCT89" s="947"/>
      <c r="FCU89" s="947"/>
      <c r="FCV89" s="947"/>
      <c r="FCW89" s="947"/>
      <c r="FCX89" s="947"/>
      <c r="FCY89" s="947"/>
      <c r="FCZ89" s="947"/>
      <c r="FDA89" s="947"/>
      <c r="FDB89" s="947"/>
      <c r="FDC89" s="947"/>
      <c r="FDD89" s="947"/>
      <c r="FDE89" s="947"/>
      <c r="FDF89" s="947"/>
      <c r="FDG89" s="947"/>
      <c r="FDH89" s="947"/>
      <c r="FDI89" s="947"/>
      <c r="FDJ89" s="947"/>
      <c r="FDK89" s="947"/>
      <c r="FDL89" s="947"/>
      <c r="FDM89" s="947"/>
      <c r="FDN89" s="947"/>
      <c r="FDO89" s="947"/>
      <c r="FDP89" s="947"/>
      <c r="FDQ89" s="947"/>
      <c r="FDR89" s="947"/>
      <c r="FDS89" s="947"/>
      <c r="FDT89" s="947"/>
      <c r="FDU89" s="947"/>
      <c r="FDV89" s="947"/>
      <c r="FDW89" s="947"/>
      <c r="FDX89" s="947"/>
      <c r="FDY89" s="947"/>
      <c r="FDZ89" s="947"/>
      <c r="FEA89" s="947"/>
      <c r="FEB89" s="947"/>
      <c r="FEC89" s="947"/>
      <c r="FED89" s="947"/>
      <c r="FEE89" s="947"/>
      <c r="FEF89" s="947"/>
      <c r="FEG89" s="947"/>
      <c r="FEH89" s="947"/>
      <c r="FEI89" s="947"/>
      <c r="FEJ89" s="947"/>
      <c r="FEK89" s="947"/>
      <c r="FEL89" s="947"/>
      <c r="FEM89" s="947"/>
      <c r="FEN89" s="947"/>
      <c r="FEO89" s="947"/>
      <c r="FEP89" s="947"/>
      <c r="FEQ89" s="947"/>
      <c r="FER89" s="947"/>
      <c r="FES89" s="947"/>
      <c r="FET89" s="947"/>
      <c r="FEU89" s="947"/>
      <c r="FEV89" s="947"/>
      <c r="FEW89" s="947"/>
      <c r="FEX89" s="947"/>
      <c r="FEY89" s="947"/>
      <c r="FEZ89" s="947"/>
      <c r="FFA89" s="947"/>
      <c r="FFB89" s="947"/>
      <c r="FFC89" s="947"/>
      <c r="FFD89" s="947"/>
      <c r="FFE89" s="947"/>
      <c r="FFF89" s="947"/>
      <c r="FFG89" s="947"/>
      <c r="FFH89" s="947"/>
      <c r="FFI89" s="947"/>
      <c r="FFJ89" s="947"/>
      <c r="FFK89" s="947"/>
      <c r="FFL89" s="947"/>
      <c r="FFM89" s="947"/>
      <c r="FFN89" s="947"/>
      <c r="FFO89" s="947"/>
      <c r="FFP89" s="947"/>
      <c r="FFQ89" s="947"/>
      <c r="FFR89" s="947"/>
      <c r="FFS89" s="947"/>
      <c r="FFT89" s="947"/>
      <c r="FFU89" s="947"/>
      <c r="FFV89" s="947"/>
      <c r="FFW89" s="947"/>
      <c r="FFX89" s="947"/>
      <c r="FFY89" s="947"/>
      <c r="FFZ89" s="947"/>
      <c r="FGA89" s="947"/>
      <c r="FGB89" s="947"/>
      <c r="FGC89" s="947"/>
      <c r="FGD89" s="947"/>
      <c r="FGE89" s="947"/>
      <c r="FGF89" s="947"/>
      <c r="FGG89" s="947"/>
      <c r="FGH89" s="947"/>
      <c r="FGI89" s="947"/>
      <c r="FGJ89" s="947"/>
      <c r="FGK89" s="947"/>
      <c r="FGL89" s="947"/>
      <c r="FGM89" s="947"/>
      <c r="FGN89" s="947"/>
      <c r="FGO89" s="947"/>
      <c r="FGP89" s="947"/>
      <c r="FGQ89" s="947"/>
      <c r="FGR89" s="947"/>
      <c r="FGS89" s="947"/>
      <c r="FGT89" s="947"/>
      <c r="FGU89" s="947"/>
      <c r="FGV89" s="947"/>
      <c r="FGW89" s="947"/>
      <c r="FGX89" s="947"/>
      <c r="FGY89" s="947"/>
      <c r="FGZ89" s="947"/>
      <c r="FHA89" s="947"/>
      <c r="FHB89" s="947"/>
      <c r="FHC89" s="947"/>
      <c r="FHD89" s="947"/>
      <c r="FHE89" s="947"/>
      <c r="FHF89" s="947"/>
      <c r="FHG89" s="947"/>
      <c r="FHH89" s="947"/>
      <c r="FHI89" s="947"/>
      <c r="FHJ89" s="947"/>
      <c r="FHK89" s="947"/>
      <c r="FHL89" s="947"/>
      <c r="FHM89" s="947"/>
      <c r="FHN89" s="947"/>
      <c r="FHO89" s="947"/>
      <c r="FHP89" s="947"/>
      <c r="FHQ89" s="947"/>
      <c r="FHR89" s="947"/>
      <c r="FHS89" s="947"/>
      <c r="FHT89" s="947"/>
      <c r="FHU89" s="947"/>
      <c r="FHV89" s="947"/>
      <c r="FHW89" s="947"/>
      <c r="FHX89" s="947"/>
      <c r="FHY89" s="947"/>
      <c r="FHZ89" s="947"/>
      <c r="FIA89" s="947"/>
      <c r="FIB89" s="947"/>
      <c r="FIC89" s="947"/>
      <c r="FID89" s="947"/>
      <c r="FIE89" s="947"/>
      <c r="FIF89" s="947"/>
      <c r="FIG89" s="947"/>
      <c r="FIH89" s="947"/>
      <c r="FII89" s="947"/>
      <c r="FIJ89" s="947"/>
      <c r="FIK89" s="947"/>
      <c r="FIL89" s="947"/>
      <c r="FIM89" s="947"/>
      <c r="FIN89" s="947"/>
      <c r="FIO89" s="947"/>
      <c r="FIP89" s="947"/>
      <c r="FIQ89" s="947"/>
      <c r="FIR89" s="947"/>
      <c r="FIS89" s="947"/>
      <c r="FIT89" s="947"/>
      <c r="FIU89" s="947"/>
      <c r="FIV89" s="947"/>
      <c r="FIW89" s="947"/>
      <c r="FIX89" s="947"/>
      <c r="FIY89" s="947"/>
      <c r="FIZ89" s="947"/>
      <c r="FJA89" s="947"/>
      <c r="FJB89" s="947"/>
      <c r="FJC89" s="947"/>
      <c r="FJD89" s="947"/>
      <c r="FJE89" s="947"/>
      <c r="FJF89" s="947"/>
      <c r="FJG89" s="947"/>
      <c r="FJH89" s="947"/>
      <c r="FJI89" s="947"/>
      <c r="FJJ89" s="947"/>
      <c r="FJK89" s="947"/>
      <c r="FJL89" s="947"/>
      <c r="FJM89" s="947"/>
      <c r="FJN89" s="947"/>
      <c r="FJO89" s="947"/>
      <c r="FJP89" s="947"/>
      <c r="FJQ89" s="947"/>
      <c r="FJR89" s="947"/>
      <c r="FJS89" s="947"/>
      <c r="FJT89" s="947"/>
      <c r="FJU89" s="947"/>
      <c r="FJV89" s="947"/>
      <c r="FJW89" s="947"/>
      <c r="FJX89" s="947"/>
      <c r="FJY89" s="947"/>
      <c r="FJZ89" s="947"/>
      <c r="FKA89" s="947"/>
      <c r="FKB89" s="947"/>
      <c r="FKC89" s="947"/>
      <c r="FKD89" s="947"/>
      <c r="FKE89" s="947"/>
      <c r="FKF89" s="947"/>
      <c r="FKG89" s="947"/>
      <c r="FKH89" s="947"/>
      <c r="FKI89" s="947"/>
      <c r="FKJ89" s="947"/>
      <c r="FKK89" s="947"/>
      <c r="FKL89" s="947"/>
      <c r="FKM89" s="947"/>
      <c r="FKN89" s="947"/>
      <c r="FKO89" s="947"/>
      <c r="FKP89" s="947"/>
      <c r="FKQ89" s="947"/>
      <c r="FKR89" s="947"/>
      <c r="FKS89" s="947"/>
      <c r="FKT89" s="947"/>
      <c r="FKU89" s="947"/>
      <c r="FKV89" s="947"/>
      <c r="FKW89" s="947"/>
      <c r="FKX89" s="947"/>
      <c r="FKY89" s="947"/>
      <c r="FKZ89" s="947"/>
      <c r="FLA89" s="947"/>
      <c r="FLB89" s="947"/>
      <c r="FLC89" s="947"/>
      <c r="FLD89" s="947"/>
      <c r="FLE89" s="947"/>
      <c r="FLF89" s="947"/>
      <c r="FLG89" s="947"/>
      <c r="FLH89" s="947"/>
      <c r="FLI89" s="947"/>
      <c r="FLJ89" s="947"/>
      <c r="FLK89" s="947"/>
      <c r="FLL89" s="947"/>
      <c r="FLM89" s="947"/>
      <c r="FLN89" s="947"/>
      <c r="FLO89" s="947"/>
      <c r="FLP89" s="947"/>
      <c r="FLQ89" s="947"/>
      <c r="FLR89" s="947"/>
      <c r="FLS89" s="947"/>
      <c r="FLT89" s="947"/>
      <c r="FLU89" s="947"/>
      <c r="FLV89" s="947"/>
      <c r="FLW89" s="947"/>
      <c r="FLX89" s="947"/>
      <c r="FLY89" s="947"/>
      <c r="FLZ89" s="947"/>
      <c r="FMA89" s="947"/>
      <c r="FMB89" s="947"/>
      <c r="FMC89" s="947"/>
      <c r="FMD89" s="947"/>
      <c r="FME89" s="947"/>
      <c r="FMF89" s="947"/>
      <c r="FMG89" s="947"/>
      <c r="FMH89" s="947"/>
      <c r="FMI89" s="947"/>
      <c r="FMJ89" s="947"/>
      <c r="FMK89" s="947"/>
      <c r="FML89" s="947"/>
      <c r="FMM89" s="947"/>
      <c r="FMN89" s="947"/>
      <c r="FMO89" s="947"/>
      <c r="FMP89" s="947"/>
      <c r="FMQ89" s="947"/>
      <c r="FMR89" s="947"/>
      <c r="FMS89" s="947"/>
      <c r="FMT89" s="947"/>
      <c r="FMU89" s="947"/>
      <c r="FMV89" s="947"/>
      <c r="FMW89" s="947"/>
      <c r="FMX89" s="947"/>
      <c r="FMY89" s="947"/>
      <c r="FMZ89" s="947"/>
      <c r="FNA89" s="947"/>
      <c r="FNB89" s="947"/>
      <c r="FNC89" s="947"/>
      <c r="FND89" s="947"/>
      <c r="FNE89" s="947"/>
      <c r="FNF89" s="947"/>
      <c r="FNG89" s="947"/>
      <c r="FNH89" s="947"/>
      <c r="FNI89" s="947"/>
      <c r="FNJ89" s="947"/>
      <c r="FNK89" s="947"/>
      <c r="FNL89" s="947"/>
      <c r="FNM89" s="947"/>
      <c r="FNN89" s="947"/>
      <c r="FNO89" s="947"/>
      <c r="FNP89" s="947"/>
      <c r="FNQ89" s="947"/>
      <c r="FNR89" s="947"/>
      <c r="FNS89" s="947"/>
      <c r="FNT89" s="947"/>
      <c r="FNU89" s="947"/>
      <c r="FNV89" s="947"/>
      <c r="FNW89" s="947"/>
      <c r="FNX89" s="947"/>
      <c r="FNY89" s="947"/>
      <c r="FNZ89" s="947"/>
      <c r="FOA89" s="947"/>
      <c r="FOB89" s="947"/>
      <c r="FOC89" s="947"/>
      <c r="FOD89" s="947"/>
      <c r="FOE89" s="947"/>
      <c r="FOF89" s="947"/>
      <c r="FOG89" s="947"/>
      <c r="FOH89" s="947"/>
      <c r="FOI89" s="947"/>
      <c r="FOJ89" s="947"/>
      <c r="FOK89" s="947"/>
      <c r="FOL89" s="947"/>
      <c r="FOM89" s="947"/>
      <c r="FON89" s="947"/>
      <c r="FOO89" s="947"/>
      <c r="FOP89" s="947"/>
      <c r="FOQ89" s="947"/>
      <c r="FOR89" s="947"/>
      <c r="FOS89" s="947"/>
      <c r="FOT89" s="947"/>
      <c r="FOU89" s="947"/>
      <c r="FOV89" s="947"/>
      <c r="FOW89" s="947"/>
      <c r="FOX89" s="947"/>
      <c r="FOY89" s="947"/>
      <c r="FOZ89" s="947"/>
      <c r="FPA89" s="947"/>
      <c r="FPB89" s="947"/>
      <c r="FPC89" s="947"/>
      <c r="FPD89" s="947"/>
      <c r="FPE89" s="947"/>
      <c r="FPF89" s="947"/>
      <c r="FPG89" s="947"/>
      <c r="FPH89" s="947"/>
      <c r="FPI89" s="947"/>
      <c r="FPJ89" s="947"/>
      <c r="FPK89" s="947"/>
      <c r="FPL89" s="947"/>
      <c r="FPM89" s="947"/>
      <c r="FPN89" s="947"/>
      <c r="FPO89" s="947"/>
      <c r="FPP89" s="947"/>
      <c r="FPQ89" s="947"/>
      <c r="FPR89" s="947"/>
      <c r="FPS89" s="947"/>
      <c r="FPT89" s="947"/>
      <c r="FPU89" s="947"/>
      <c r="FPV89" s="947"/>
      <c r="FPW89" s="947"/>
      <c r="FPX89" s="947"/>
      <c r="FPY89" s="947"/>
      <c r="FPZ89" s="947"/>
      <c r="FQA89" s="947"/>
      <c r="FQB89" s="947"/>
      <c r="FQC89" s="947"/>
      <c r="FQD89" s="947"/>
      <c r="FQE89" s="947"/>
      <c r="FQF89" s="947"/>
      <c r="FQG89" s="947"/>
      <c r="FQH89" s="947"/>
      <c r="FQI89" s="947"/>
      <c r="FQJ89" s="947"/>
      <c r="FQK89" s="947"/>
      <c r="FQL89" s="947"/>
      <c r="FQM89" s="947"/>
      <c r="FQN89" s="947"/>
      <c r="FQO89" s="947"/>
      <c r="FQP89" s="947"/>
      <c r="FQQ89" s="947"/>
      <c r="FQR89" s="947"/>
      <c r="FQS89" s="947"/>
      <c r="FQT89" s="947"/>
      <c r="FQU89" s="947"/>
      <c r="FQV89" s="947"/>
      <c r="FQW89" s="947"/>
      <c r="FQX89" s="947"/>
      <c r="FQY89" s="947"/>
      <c r="FQZ89" s="947"/>
      <c r="FRA89" s="947"/>
      <c r="FRB89" s="947"/>
      <c r="FRC89" s="947"/>
      <c r="FRD89" s="947"/>
      <c r="FRE89" s="947"/>
      <c r="FRF89" s="947"/>
      <c r="FRG89" s="947"/>
      <c r="FRH89" s="947"/>
      <c r="FRI89" s="947"/>
      <c r="FRJ89" s="947"/>
      <c r="FRK89" s="947"/>
      <c r="FRL89" s="947"/>
      <c r="FRM89" s="947"/>
      <c r="FRN89" s="947"/>
      <c r="FRO89" s="947"/>
      <c r="FRP89" s="947"/>
      <c r="FRQ89" s="947"/>
      <c r="FRR89" s="947"/>
      <c r="FRS89" s="947"/>
      <c r="FRT89" s="947"/>
      <c r="FRU89" s="947"/>
      <c r="FRV89" s="947"/>
      <c r="FRW89" s="947"/>
      <c r="FRX89" s="947"/>
      <c r="FRY89" s="947"/>
      <c r="FRZ89" s="947"/>
      <c r="FSA89" s="947"/>
      <c r="FSB89" s="947"/>
      <c r="FSC89" s="947"/>
      <c r="FSD89" s="947"/>
      <c r="FSE89" s="947"/>
      <c r="FSF89" s="947"/>
      <c r="FSG89" s="947"/>
      <c r="FSH89" s="947"/>
      <c r="FSI89" s="947"/>
      <c r="FSJ89" s="947"/>
      <c r="FSK89" s="947"/>
      <c r="FSL89" s="947"/>
      <c r="FSM89" s="947"/>
      <c r="FSN89" s="947"/>
      <c r="FSO89" s="947"/>
      <c r="FSP89" s="947"/>
      <c r="FSQ89" s="947"/>
      <c r="FSR89" s="947"/>
      <c r="FSS89" s="947"/>
      <c r="FST89" s="947"/>
      <c r="FSU89" s="947"/>
      <c r="FSV89" s="947"/>
      <c r="FSW89" s="947"/>
      <c r="FSX89" s="947"/>
      <c r="FSY89" s="947"/>
      <c r="FSZ89" s="947"/>
      <c r="FTA89" s="947"/>
      <c r="FTB89" s="947"/>
      <c r="FTC89" s="947"/>
      <c r="FTD89" s="947"/>
      <c r="FTE89" s="947"/>
      <c r="FTF89" s="947"/>
      <c r="FTG89" s="947"/>
      <c r="FTH89" s="947"/>
      <c r="FTI89" s="947"/>
      <c r="FTJ89" s="947"/>
      <c r="FTK89" s="947"/>
      <c r="FTL89" s="947"/>
      <c r="FTM89" s="947"/>
      <c r="FTN89" s="947"/>
      <c r="FTO89" s="947"/>
      <c r="FTP89" s="947"/>
      <c r="FTQ89" s="947"/>
      <c r="FTR89" s="947"/>
      <c r="FTS89" s="947"/>
      <c r="FTT89" s="947"/>
      <c r="FTU89" s="947"/>
      <c r="FTV89" s="947"/>
      <c r="FTW89" s="947"/>
      <c r="FTX89" s="947"/>
      <c r="FTY89" s="947"/>
      <c r="FTZ89" s="947"/>
      <c r="FUA89" s="947"/>
      <c r="FUB89" s="947"/>
      <c r="FUC89" s="947"/>
      <c r="FUD89" s="947"/>
      <c r="FUE89" s="947"/>
      <c r="FUF89" s="947"/>
      <c r="FUG89" s="947"/>
      <c r="FUH89" s="947"/>
      <c r="FUI89" s="947"/>
      <c r="FUJ89" s="947"/>
      <c r="FUK89" s="947"/>
      <c r="FUL89" s="947"/>
      <c r="FUM89" s="947"/>
      <c r="FUN89" s="947"/>
      <c r="FUO89" s="947"/>
      <c r="FUP89" s="947"/>
      <c r="FUQ89" s="947"/>
      <c r="FUR89" s="947"/>
      <c r="FUS89" s="947"/>
      <c r="FUT89" s="947"/>
      <c r="FUU89" s="947"/>
      <c r="FUV89" s="947"/>
      <c r="FUW89" s="947"/>
      <c r="FUX89" s="947"/>
      <c r="FUY89" s="947"/>
      <c r="FUZ89" s="947"/>
      <c r="FVA89" s="947"/>
      <c r="FVB89" s="947"/>
      <c r="FVC89" s="947"/>
      <c r="FVD89" s="947"/>
      <c r="FVE89" s="947"/>
      <c r="FVF89" s="947"/>
      <c r="FVG89" s="947"/>
      <c r="FVH89" s="947"/>
      <c r="FVI89" s="947"/>
      <c r="FVJ89" s="947"/>
      <c r="FVK89" s="947"/>
      <c r="FVL89" s="947"/>
      <c r="FVM89" s="947"/>
      <c r="FVN89" s="947"/>
      <c r="FVO89" s="947"/>
      <c r="FVP89" s="947"/>
      <c r="FVQ89" s="947"/>
      <c r="FVR89" s="947"/>
      <c r="FVS89" s="947"/>
      <c r="FVT89" s="947"/>
      <c r="FVU89" s="947"/>
      <c r="FVV89" s="947"/>
      <c r="FVW89" s="947"/>
      <c r="FVX89" s="947"/>
      <c r="FVY89" s="947"/>
      <c r="FVZ89" s="947"/>
      <c r="FWA89" s="947"/>
      <c r="FWB89" s="947"/>
      <c r="FWC89" s="947"/>
      <c r="FWD89" s="947"/>
      <c r="FWE89" s="947"/>
      <c r="FWF89" s="947"/>
      <c r="FWG89" s="947"/>
      <c r="FWH89" s="947"/>
      <c r="FWI89" s="947"/>
      <c r="FWJ89" s="947"/>
      <c r="FWK89" s="947"/>
      <c r="FWL89" s="947"/>
      <c r="FWM89" s="947"/>
      <c r="FWN89" s="947"/>
      <c r="FWO89" s="947"/>
      <c r="FWP89" s="947"/>
      <c r="FWQ89" s="947"/>
      <c r="FWR89" s="947"/>
      <c r="FWS89" s="947"/>
      <c r="FWT89" s="947"/>
      <c r="FWU89" s="947"/>
      <c r="FWV89" s="947"/>
      <c r="FWW89" s="947"/>
      <c r="FWX89" s="947"/>
      <c r="FWY89" s="947"/>
      <c r="FWZ89" s="947"/>
      <c r="FXA89" s="947"/>
      <c r="FXB89" s="947"/>
      <c r="FXC89" s="947"/>
      <c r="FXD89" s="947"/>
      <c r="FXE89" s="947"/>
      <c r="FXF89" s="947"/>
      <c r="FXG89" s="947"/>
      <c r="FXH89" s="947"/>
      <c r="FXI89" s="947"/>
      <c r="FXJ89" s="947"/>
      <c r="FXK89" s="947"/>
      <c r="FXL89" s="947"/>
      <c r="FXM89" s="947"/>
      <c r="FXN89" s="947"/>
      <c r="FXO89" s="947"/>
      <c r="FXP89" s="947"/>
      <c r="FXQ89" s="947"/>
      <c r="FXR89" s="947"/>
      <c r="FXS89" s="947"/>
      <c r="FXT89" s="947"/>
      <c r="FXU89" s="947"/>
      <c r="FXV89" s="947"/>
      <c r="FXW89" s="947"/>
      <c r="FXX89" s="947"/>
      <c r="FXY89" s="947"/>
      <c r="FXZ89" s="947"/>
      <c r="FYA89" s="947"/>
      <c r="FYB89" s="947"/>
      <c r="FYC89" s="947"/>
      <c r="FYD89" s="947"/>
      <c r="FYE89" s="947"/>
      <c r="FYF89" s="947"/>
      <c r="FYG89" s="947"/>
      <c r="FYH89" s="947"/>
      <c r="FYI89" s="947"/>
      <c r="FYJ89" s="947"/>
      <c r="FYK89" s="947"/>
      <c r="FYL89" s="947"/>
      <c r="FYM89" s="947"/>
      <c r="FYN89" s="947"/>
      <c r="FYO89" s="947"/>
      <c r="FYP89" s="947"/>
      <c r="FYQ89" s="947"/>
      <c r="FYR89" s="947"/>
      <c r="FYS89" s="947"/>
      <c r="FYT89" s="947"/>
      <c r="FYU89" s="947"/>
      <c r="FYV89" s="947"/>
      <c r="FYW89" s="947"/>
      <c r="FYX89" s="947"/>
      <c r="FYY89" s="947"/>
      <c r="FYZ89" s="947"/>
      <c r="FZA89" s="947"/>
      <c r="FZB89" s="947"/>
      <c r="FZC89" s="947"/>
      <c r="FZD89" s="947"/>
      <c r="FZE89" s="947"/>
      <c r="FZF89" s="947"/>
      <c r="FZG89" s="947"/>
      <c r="FZH89" s="947"/>
      <c r="FZI89" s="947"/>
      <c r="FZJ89" s="947"/>
      <c r="FZK89" s="947"/>
      <c r="FZL89" s="947"/>
      <c r="FZM89" s="947"/>
      <c r="FZN89" s="947"/>
      <c r="FZO89" s="947"/>
      <c r="FZP89" s="947"/>
      <c r="FZQ89" s="947"/>
      <c r="FZR89" s="947"/>
      <c r="FZS89" s="947"/>
      <c r="FZT89" s="947"/>
      <c r="FZU89" s="947"/>
      <c r="FZV89" s="947"/>
      <c r="FZW89" s="947"/>
      <c r="FZX89" s="947"/>
      <c r="FZY89" s="947"/>
      <c r="FZZ89" s="947"/>
      <c r="GAA89" s="947"/>
      <c r="GAB89" s="947"/>
      <c r="GAC89" s="947"/>
      <c r="GAD89" s="947"/>
      <c r="GAE89" s="947"/>
      <c r="GAF89" s="947"/>
      <c r="GAG89" s="947"/>
      <c r="GAH89" s="947"/>
      <c r="GAI89" s="947"/>
      <c r="GAJ89" s="947"/>
      <c r="GAK89" s="947"/>
      <c r="GAL89" s="947"/>
      <c r="GAM89" s="947"/>
      <c r="GAN89" s="947"/>
      <c r="GAO89" s="947"/>
      <c r="GAP89" s="947"/>
      <c r="GAQ89" s="947"/>
      <c r="GAR89" s="947"/>
      <c r="GAS89" s="947"/>
      <c r="GAT89" s="947"/>
      <c r="GAU89" s="947"/>
      <c r="GAV89" s="947"/>
      <c r="GAW89" s="947"/>
      <c r="GAX89" s="947"/>
      <c r="GAY89" s="947"/>
      <c r="GAZ89" s="947"/>
      <c r="GBA89" s="947"/>
      <c r="GBB89" s="947"/>
      <c r="GBC89" s="947"/>
      <c r="GBD89" s="947"/>
      <c r="GBE89" s="947"/>
      <c r="GBF89" s="947"/>
      <c r="GBG89" s="947"/>
      <c r="GBH89" s="947"/>
      <c r="GBI89" s="947"/>
      <c r="GBJ89" s="947"/>
      <c r="GBK89" s="947"/>
      <c r="GBL89" s="947"/>
      <c r="GBM89" s="947"/>
      <c r="GBN89" s="947"/>
      <c r="GBO89" s="947"/>
      <c r="GBP89" s="947"/>
      <c r="GBQ89" s="947"/>
      <c r="GBR89" s="947"/>
      <c r="GBS89" s="947"/>
      <c r="GBT89" s="947"/>
      <c r="GBU89" s="947"/>
      <c r="GBV89" s="947"/>
      <c r="GBW89" s="947"/>
      <c r="GBX89" s="947"/>
      <c r="GBY89" s="947"/>
      <c r="GBZ89" s="947"/>
      <c r="GCA89" s="947"/>
      <c r="GCB89" s="947"/>
      <c r="GCC89" s="947"/>
      <c r="GCD89" s="947"/>
      <c r="GCE89" s="947"/>
      <c r="GCF89" s="947"/>
      <c r="GCG89" s="947"/>
      <c r="GCH89" s="947"/>
      <c r="GCI89" s="947"/>
      <c r="GCJ89" s="947"/>
      <c r="GCK89" s="947"/>
      <c r="GCL89" s="947"/>
      <c r="GCM89" s="947"/>
      <c r="GCN89" s="947"/>
      <c r="GCO89" s="947"/>
      <c r="GCP89" s="947"/>
      <c r="GCQ89" s="947"/>
      <c r="GCR89" s="947"/>
      <c r="GCS89" s="947"/>
      <c r="GCT89" s="947"/>
      <c r="GCU89" s="947"/>
      <c r="GCV89" s="947"/>
      <c r="GCW89" s="947"/>
      <c r="GCX89" s="947"/>
      <c r="GCY89" s="947"/>
      <c r="GCZ89" s="947"/>
      <c r="GDA89" s="947"/>
      <c r="GDB89" s="947"/>
      <c r="GDC89" s="947"/>
      <c r="GDD89" s="947"/>
      <c r="GDE89" s="947"/>
      <c r="GDF89" s="947"/>
      <c r="GDG89" s="947"/>
      <c r="GDH89" s="947"/>
      <c r="GDI89" s="947"/>
      <c r="GDJ89" s="947"/>
      <c r="GDK89" s="947"/>
      <c r="GDL89" s="947"/>
      <c r="GDM89" s="947"/>
      <c r="GDN89" s="947"/>
      <c r="GDO89" s="947"/>
      <c r="GDP89" s="947"/>
      <c r="GDQ89" s="947"/>
      <c r="GDR89" s="947"/>
      <c r="GDS89" s="947"/>
      <c r="GDT89" s="947"/>
      <c r="GDU89" s="947"/>
      <c r="GDV89" s="947"/>
      <c r="GDW89" s="947"/>
      <c r="GDX89" s="947"/>
      <c r="GDY89" s="947"/>
      <c r="GDZ89" s="947"/>
      <c r="GEA89" s="947"/>
      <c r="GEB89" s="947"/>
      <c r="GEC89" s="947"/>
      <c r="GED89" s="947"/>
      <c r="GEE89" s="947"/>
      <c r="GEF89" s="947"/>
      <c r="GEG89" s="947"/>
      <c r="GEH89" s="947"/>
      <c r="GEI89" s="947"/>
      <c r="GEJ89" s="947"/>
      <c r="GEK89" s="947"/>
      <c r="GEL89" s="947"/>
      <c r="GEM89" s="947"/>
      <c r="GEN89" s="947"/>
      <c r="GEO89" s="947"/>
      <c r="GEP89" s="947"/>
      <c r="GEQ89" s="947"/>
      <c r="GER89" s="947"/>
      <c r="GES89" s="947"/>
      <c r="GET89" s="947"/>
      <c r="GEU89" s="947"/>
      <c r="GEV89" s="947"/>
      <c r="GEW89" s="947"/>
      <c r="GEX89" s="947"/>
      <c r="GEY89" s="947"/>
      <c r="GEZ89" s="947"/>
      <c r="GFA89" s="947"/>
      <c r="GFB89" s="947"/>
      <c r="GFC89" s="947"/>
      <c r="GFD89" s="947"/>
      <c r="GFE89" s="947"/>
      <c r="GFF89" s="947"/>
      <c r="GFG89" s="947"/>
      <c r="GFH89" s="947"/>
      <c r="GFI89" s="947"/>
      <c r="GFJ89" s="947"/>
      <c r="GFK89" s="947"/>
      <c r="GFL89" s="947"/>
      <c r="GFM89" s="947"/>
      <c r="GFN89" s="947"/>
      <c r="GFO89" s="947"/>
      <c r="GFP89" s="947"/>
      <c r="GFQ89" s="947"/>
      <c r="GFR89" s="947"/>
      <c r="GFS89" s="947"/>
      <c r="GFT89" s="947"/>
      <c r="GFU89" s="947"/>
      <c r="GFV89" s="947"/>
      <c r="GFW89" s="947"/>
      <c r="GFX89" s="947"/>
      <c r="GFY89" s="947"/>
      <c r="GFZ89" s="947"/>
      <c r="GGA89" s="947"/>
      <c r="GGB89" s="947"/>
      <c r="GGC89" s="947"/>
      <c r="GGD89" s="947"/>
      <c r="GGE89" s="947"/>
      <c r="GGF89" s="947"/>
      <c r="GGG89" s="947"/>
      <c r="GGH89" s="947"/>
      <c r="GGI89" s="947"/>
      <c r="GGJ89" s="947"/>
      <c r="GGK89" s="947"/>
      <c r="GGL89" s="947"/>
      <c r="GGM89" s="947"/>
      <c r="GGN89" s="947"/>
      <c r="GGO89" s="947"/>
      <c r="GGP89" s="947"/>
      <c r="GGQ89" s="947"/>
      <c r="GGR89" s="947"/>
      <c r="GGS89" s="947"/>
      <c r="GGT89" s="947"/>
      <c r="GGU89" s="947"/>
      <c r="GGV89" s="947"/>
      <c r="GGW89" s="947"/>
      <c r="GGX89" s="947"/>
      <c r="GGY89" s="947"/>
      <c r="GGZ89" s="947"/>
      <c r="GHA89" s="947"/>
      <c r="GHB89" s="947"/>
      <c r="GHC89" s="947"/>
      <c r="GHD89" s="947"/>
      <c r="GHE89" s="947"/>
      <c r="GHF89" s="947"/>
      <c r="GHG89" s="947"/>
      <c r="GHH89" s="947"/>
      <c r="GHI89" s="947"/>
      <c r="GHJ89" s="947"/>
      <c r="GHK89" s="947"/>
      <c r="GHL89" s="947"/>
      <c r="GHM89" s="947"/>
      <c r="GHN89" s="947"/>
      <c r="GHO89" s="947"/>
      <c r="GHP89" s="947"/>
      <c r="GHQ89" s="947"/>
      <c r="GHR89" s="947"/>
      <c r="GHS89" s="947"/>
      <c r="GHT89" s="947"/>
      <c r="GHU89" s="947"/>
      <c r="GHV89" s="947"/>
      <c r="GHW89" s="947"/>
      <c r="GHX89" s="947"/>
      <c r="GHY89" s="947"/>
      <c r="GHZ89" s="947"/>
      <c r="GIA89" s="947"/>
      <c r="GIB89" s="947"/>
      <c r="GIC89" s="947"/>
      <c r="GID89" s="947"/>
      <c r="GIE89" s="947"/>
      <c r="GIF89" s="947"/>
      <c r="GIG89" s="947"/>
      <c r="GIH89" s="947"/>
      <c r="GII89" s="947"/>
      <c r="GIJ89" s="947"/>
      <c r="GIK89" s="947"/>
      <c r="GIL89" s="947"/>
      <c r="GIM89" s="947"/>
      <c r="GIN89" s="947"/>
      <c r="GIO89" s="947"/>
      <c r="GIP89" s="947"/>
      <c r="GIQ89" s="947"/>
      <c r="GIR89" s="947"/>
      <c r="GIS89" s="947"/>
      <c r="GIT89" s="947"/>
      <c r="GIU89" s="947"/>
      <c r="GIV89" s="947"/>
      <c r="GIW89" s="947"/>
      <c r="GIX89" s="947"/>
      <c r="GIY89" s="947"/>
      <c r="GIZ89" s="947"/>
      <c r="GJA89" s="947"/>
      <c r="GJB89" s="947"/>
      <c r="GJC89" s="947"/>
      <c r="GJD89" s="947"/>
      <c r="GJE89" s="947"/>
      <c r="GJF89" s="947"/>
      <c r="GJG89" s="947"/>
      <c r="GJH89" s="947"/>
      <c r="GJI89" s="947"/>
      <c r="GJJ89" s="947"/>
      <c r="GJK89" s="947"/>
      <c r="GJL89" s="947"/>
      <c r="GJM89" s="947"/>
      <c r="GJN89" s="947"/>
      <c r="GJO89" s="947"/>
      <c r="GJP89" s="947"/>
      <c r="GJQ89" s="947"/>
      <c r="GJR89" s="947"/>
      <c r="GJS89" s="947"/>
      <c r="GJT89" s="947"/>
      <c r="GJU89" s="947"/>
      <c r="GJV89" s="947"/>
      <c r="GJW89" s="947"/>
      <c r="GJX89" s="947"/>
      <c r="GJY89" s="947"/>
      <c r="GJZ89" s="947"/>
      <c r="GKA89" s="947"/>
      <c r="GKB89" s="947"/>
      <c r="GKC89" s="947"/>
      <c r="GKD89" s="947"/>
      <c r="GKE89" s="947"/>
      <c r="GKF89" s="947"/>
      <c r="GKG89" s="947"/>
      <c r="GKH89" s="947"/>
      <c r="GKI89" s="947"/>
      <c r="GKJ89" s="947"/>
      <c r="GKK89" s="947"/>
      <c r="GKL89" s="947"/>
      <c r="GKM89" s="947"/>
      <c r="GKN89" s="947"/>
      <c r="GKO89" s="947"/>
      <c r="GKP89" s="947"/>
      <c r="GKQ89" s="947"/>
      <c r="GKR89" s="947"/>
      <c r="GKS89" s="947"/>
      <c r="GKT89" s="947"/>
      <c r="GKU89" s="947"/>
      <c r="GKV89" s="947"/>
      <c r="GKW89" s="947"/>
      <c r="GKX89" s="947"/>
      <c r="GKY89" s="947"/>
      <c r="GKZ89" s="947"/>
      <c r="GLA89" s="947"/>
      <c r="GLB89" s="947"/>
      <c r="GLC89" s="947"/>
      <c r="GLD89" s="947"/>
      <c r="GLE89" s="947"/>
      <c r="GLF89" s="947"/>
      <c r="GLG89" s="947"/>
      <c r="GLH89" s="947"/>
      <c r="GLI89" s="947"/>
      <c r="GLJ89" s="947"/>
      <c r="GLK89" s="947"/>
      <c r="GLL89" s="947"/>
      <c r="GLM89" s="947"/>
      <c r="GLN89" s="947"/>
      <c r="GLO89" s="947"/>
      <c r="GLP89" s="947"/>
      <c r="GLQ89" s="947"/>
      <c r="GLR89" s="947"/>
      <c r="GLS89" s="947"/>
      <c r="GLT89" s="947"/>
      <c r="GLU89" s="947"/>
      <c r="GLV89" s="947"/>
      <c r="GLW89" s="947"/>
      <c r="GLX89" s="947"/>
      <c r="GLY89" s="947"/>
      <c r="GLZ89" s="947"/>
      <c r="GMA89" s="947"/>
      <c r="GMB89" s="947"/>
      <c r="GMC89" s="947"/>
      <c r="GMD89" s="947"/>
      <c r="GME89" s="947"/>
      <c r="GMF89" s="947"/>
      <c r="GMG89" s="947"/>
      <c r="GMH89" s="947"/>
      <c r="GMI89" s="947"/>
      <c r="GMJ89" s="947"/>
      <c r="GMK89" s="947"/>
      <c r="GML89" s="947"/>
      <c r="GMM89" s="947"/>
      <c r="GMN89" s="947"/>
      <c r="GMO89" s="947"/>
      <c r="GMP89" s="947"/>
      <c r="GMQ89" s="947"/>
      <c r="GMR89" s="947"/>
      <c r="GMS89" s="947"/>
      <c r="GMT89" s="947"/>
      <c r="GMU89" s="947"/>
      <c r="GMV89" s="947"/>
      <c r="GMW89" s="947"/>
      <c r="GMX89" s="947"/>
      <c r="GMY89" s="947"/>
      <c r="GMZ89" s="947"/>
      <c r="GNA89" s="947"/>
      <c r="GNB89" s="947"/>
      <c r="GNC89" s="947"/>
      <c r="GND89" s="947"/>
      <c r="GNE89" s="947"/>
      <c r="GNF89" s="947"/>
      <c r="GNG89" s="947"/>
      <c r="GNH89" s="947"/>
      <c r="GNI89" s="947"/>
      <c r="GNJ89" s="947"/>
      <c r="GNK89" s="947"/>
      <c r="GNL89" s="947"/>
      <c r="GNM89" s="947"/>
      <c r="GNN89" s="947"/>
      <c r="GNO89" s="947"/>
      <c r="GNP89" s="947"/>
      <c r="GNQ89" s="947"/>
      <c r="GNR89" s="947"/>
      <c r="GNS89" s="947"/>
      <c r="GNT89" s="947"/>
      <c r="GNU89" s="947"/>
      <c r="GNV89" s="947"/>
      <c r="GNW89" s="947"/>
      <c r="GNX89" s="947"/>
      <c r="GNY89" s="947"/>
      <c r="GNZ89" s="947"/>
      <c r="GOA89" s="947"/>
      <c r="GOB89" s="947"/>
      <c r="GOC89" s="947"/>
      <c r="GOD89" s="947"/>
      <c r="GOE89" s="947"/>
      <c r="GOF89" s="947"/>
      <c r="GOG89" s="947"/>
      <c r="GOH89" s="947"/>
      <c r="GOI89" s="947"/>
      <c r="GOJ89" s="947"/>
      <c r="GOK89" s="947"/>
      <c r="GOL89" s="947"/>
      <c r="GOM89" s="947"/>
      <c r="GON89" s="947"/>
      <c r="GOO89" s="947"/>
      <c r="GOP89" s="947"/>
      <c r="GOQ89" s="947"/>
      <c r="GOR89" s="947"/>
      <c r="GOS89" s="947"/>
      <c r="GOT89" s="947"/>
      <c r="GOU89" s="947"/>
      <c r="GOV89" s="947"/>
      <c r="GOW89" s="947"/>
      <c r="GOX89" s="947"/>
      <c r="GOY89" s="947"/>
      <c r="GOZ89" s="947"/>
      <c r="GPA89" s="947"/>
      <c r="GPB89" s="947"/>
      <c r="GPC89" s="947"/>
      <c r="GPD89" s="947"/>
      <c r="GPE89" s="947"/>
      <c r="GPF89" s="947"/>
      <c r="GPG89" s="947"/>
      <c r="GPH89" s="947"/>
      <c r="GPI89" s="947"/>
      <c r="GPJ89" s="947"/>
      <c r="GPK89" s="947"/>
      <c r="GPL89" s="947"/>
      <c r="GPM89" s="947"/>
      <c r="GPN89" s="947"/>
      <c r="GPO89" s="947"/>
      <c r="GPP89" s="947"/>
      <c r="GPQ89" s="947"/>
      <c r="GPR89" s="947"/>
      <c r="GPS89" s="947"/>
      <c r="GPT89" s="947"/>
      <c r="GPU89" s="947"/>
      <c r="GPV89" s="947"/>
      <c r="GPW89" s="947"/>
      <c r="GPX89" s="947"/>
      <c r="GPY89" s="947"/>
      <c r="GPZ89" s="947"/>
      <c r="GQA89" s="947"/>
      <c r="GQB89" s="947"/>
      <c r="GQC89" s="947"/>
      <c r="GQD89" s="947"/>
      <c r="GQE89" s="947"/>
      <c r="GQF89" s="947"/>
      <c r="GQG89" s="947"/>
      <c r="GQH89" s="947"/>
      <c r="GQI89" s="947"/>
      <c r="GQJ89" s="947"/>
      <c r="GQK89" s="947"/>
      <c r="GQL89" s="947"/>
      <c r="GQM89" s="947"/>
      <c r="GQN89" s="947"/>
      <c r="GQO89" s="947"/>
      <c r="GQP89" s="947"/>
      <c r="GQQ89" s="947"/>
      <c r="GQR89" s="947"/>
      <c r="GQS89" s="947"/>
      <c r="GQT89" s="947"/>
      <c r="GQU89" s="947"/>
      <c r="GQV89" s="947"/>
      <c r="GQW89" s="947"/>
      <c r="GQX89" s="947"/>
      <c r="GQY89" s="947"/>
      <c r="GQZ89" s="947"/>
      <c r="GRA89" s="947"/>
      <c r="GRB89" s="947"/>
      <c r="GRC89" s="947"/>
      <c r="GRD89" s="947"/>
      <c r="GRE89" s="947"/>
      <c r="GRF89" s="947"/>
      <c r="GRG89" s="947"/>
      <c r="GRH89" s="947"/>
      <c r="GRI89" s="947"/>
      <c r="GRJ89" s="947"/>
      <c r="GRK89" s="947"/>
      <c r="GRL89" s="947"/>
      <c r="GRM89" s="947"/>
      <c r="GRN89" s="947"/>
      <c r="GRO89" s="947"/>
      <c r="GRP89" s="947"/>
      <c r="GRQ89" s="947"/>
      <c r="GRR89" s="947"/>
      <c r="GRS89" s="947"/>
      <c r="GRT89" s="947"/>
      <c r="GRU89" s="947"/>
      <c r="GRV89" s="947"/>
      <c r="GRW89" s="947"/>
      <c r="GRX89" s="947"/>
      <c r="GRY89" s="947"/>
      <c r="GRZ89" s="947"/>
      <c r="GSA89" s="947"/>
      <c r="GSB89" s="947"/>
      <c r="GSC89" s="947"/>
      <c r="GSD89" s="947"/>
      <c r="GSE89" s="947"/>
      <c r="GSF89" s="947"/>
      <c r="GSG89" s="947"/>
      <c r="GSH89" s="947"/>
      <c r="GSI89" s="947"/>
      <c r="GSJ89" s="947"/>
      <c r="GSK89" s="947"/>
      <c r="GSL89" s="947"/>
      <c r="GSM89" s="947"/>
      <c r="GSN89" s="947"/>
      <c r="GSO89" s="947"/>
      <c r="GSP89" s="947"/>
      <c r="GSQ89" s="947"/>
      <c r="GSR89" s="947"/>
      <c r="GSS89" s="947"/>
      <c r="GST89" s="947"/>
      <c r="GSU89" s="947"/>
      <c r="GSV89" s="947"/>
      <c r="GSW89" s="947"/>
      <c r="GSX89" s="947"/>
      <c r="GSY89" s="947"/>
      <c r="GSZ89" s="947"/>
      <c r="GTA89" s="947"/>
      <c r="GTB89" s="947"/>
      <c r="GTC89" s="947"/>
      <c r="GTD89" s="947"/>
      <c r="GTE89" s="947"/>
      <c r="GTF89" s="947"/>
      <c r="GTG89" s="947"/>
      <c r="GTH89" s="947"/>
      <c r="GTI89" s="947"/>
      <c r="GTJ89" s="947"/>
      <c r="GTK89" s="947"/>
      <c r="GTL89" s="947"/>
      <c r="GTM89" s="947"/>
      <c r="GTN89" s="947"/>
      <c r="GTO89" s="947"/>
      <c r="GTP89" s="947"/>
      <c r="GTQ89" s="947"/>
      <c r="GTR89" s="947"/>
      <c r="GTS89" s="947"/>
      <c r="GTT89" s="947"/>
      <c r="GTU89" s="947"/>
      <c r="GTV89" s="947"/>
      <c r="GTW89" s="947"/>
      <c r="GTX89" s="947"/>
      <c r="GTY89" s="947"/>
      <c r="GTZ89" s="947"/>
      <c r="GUA89" s="947"/>
      <c r="GUB89" s="947"/>
      <c r="GUC89" s="947"/>
      <c r="GUD89" s="947"/>
      <c r="GUE89" s="947"/>
      <c r="GUF89" s="947"/>
      <c r="GUG89" s="947"/>
      <c r="GUH89" s="947"/>
      <c r="GUI89" s="947"/>
      <c r="GUJ89" s="947"/>
      <c r="GUK89" s="947"/>
      <c r="GUL89" s="947"/>
      <c r="GUM89" s="947"/>
      <c r="GUN89" s="947"/>
      <c r="GUO89" s="947"/>
      <c r="GUP89" s="947"/>
      <c r="GUQ89" s="947"/>
      <c r="GUR89" s="947"/>
      <c r="GUS89" s="947"/>
      <c r="GUT89" s="947"/>
      <c r="GUU89" s="947"/>
      <c r="GUV89" s="947"/>
      <c r="GUW89" s="947"/>
      <c r="GUX89" s="947"/>
      <c r="GUY89" s="947"/>
      <c r="GUZ89" s="947"/>
      <c r="GVA89" s="947"/>
      <c r="GVB89" s="947"/>
      <c r="GVC89" s="947"/>
      <c r="GVD89" s="947"/>
      <c r="GVE89" s="947"/>
      <c r="GVF89" s="947"/>
      <c r="GVG89" s="947"/>
      <c r="GVH89" s="947"/>
      <c r="GVI89" s="947"/>
      <c r="GVJ89" s="947"/>
      <c r="GVK89" s="947"/>
      <c r="GVL89" s="947"/>
      <c r="GVM89" s="947"/>
      <c r="GVN89" s="947"/>
      <c r="GVO89" s="947"/>
      <c r="GVP89" s="947"/>
      <c r="GVQ89" s="947"/>
      <c r="GVR89" s="947"/>
      <c r="GVS89" s="947"/>
      <c r="GVT89" s="947"/>
      <c r="GVU89" s="947"/>
      <c r="GVV89" s="947"/>
      <c r="GVW89" s="947"/>
      <c r="GVX89" s="947"/>
      <c r="GVY89" s="947"/>
      <c r="GVZ89" s="947"/>
      <c r="GWA89" s="947"/>
      <c r="GWB89" s="947"/>
      <c r="GWC89" s="947"/>
      <c r="GWD89" s="947"/>
      <c r="GWE89" s="947"/>
      <c r="GWF89" s="947"/>
      <c r="GWG89" s="947"/>
      <c r="GWH89" s="947"/>
      <c r="GWI89" s="947"/>
      <c r="GWJ89" s="947"/>
      <c r="GWK89" s="947"/>
      <c r="GWL89" s="947"/>
      <c r="GWM89" s="947"/>
      <c r="GWN89" s="947"/>
      <c r="GWO89" s="947"/>
      <c r="GWP89" s="947"/>
      <c r="GWQ89" s="947"/>
      <c r="GWR89" s="947"/>
      <c r="GWS89" s="947"/>
      <c r="GWT89" s="947"/>
      <c r="GWU89" s="947"/>
      <c r="GWV89" s="947"/>
      <c r="GWW89" s="947"/>
      <c r="GWX89" s="947"/>
      <c r="GWY89" s="947"/>
      <c r="GWZ89" s="947"/>
      <c r="GXA89" s="947"/>
      <c r="GXB89" s="947"/>
      <c r="GXC89" s="947"/>
      <c r="GXD89" s="947"/>
      <c r="GXE89" s="947"/>
      <c r="GXF89" s="947"/>
      <c r="GXG89" s="947"/>
      <c r="GXH89" s="947"/>
      <c r="GXI89" s="947"/>
      <c r="GXJ89" s="947"/>
      <c r="GXK89" s="947"/>
      <c r="GXL89" s="947"/>
      <c r="GXM89" s="947"/>
      <c r="GXN89" s="947"/>
      <c r="GXO89" s="947"/>
      <c r="GXP89" s="947"/>
      <c r="GXQ89" s="947"/>
      <c r="GXR89" s="947"/>
      <c r="GXS89" s="947"/>
      <c r="GXT89" s="947"/>
      <c r="GXU89" s="947"/>
      <c r="GXV89" s="947"/>
      <c r="GXW89" s="947"/>
      <c r="GXX89" s="947"/>
      <c r="GXY89" s="947"/>
      <c r="GXZ89" s="947"/>
      <c r="GYA89" s="947"/>
      <c r="GYB89" s="947"/>
      <c r="GYC89" s="947"/>
      <c r="GYD89" s="947"/>
      <c r="GYE89" s="947"/>
      <c r="GYF89" s="947"/>
      <c r="GYG89" s="947"/>
      <c r="GYH89" s="947"/>
      <c r="GYI89" s="947"/>
      <c r="GYJ89" s="947"/>
      <c r="GYK89" s="947"/>
      <c r="GYL89" s="947"/>
      <c r="GYM89" s="947"/>
      <c r="GYN89" s="947"/>
      <c r="GYO89" s="947"/>
      <c r="GYP89" s="947"/>
      <c r="GYQ89" s="947"/>
      <c r="GYR89" s="947"/>
      <c r="GYS89" s="947"/>
      <c r="GYT89" s="947"/>
      <c r="GYU89" s="947"/>
      <c r="GYV89" s="947"/>
      <c r="GYW89" s="947"/>
      <c r="GYX89" s="947"/>
      <c r="GYY89" s="947"/>
      <c r="GYZ89" s="947"/>
      <c r="GZA89" s="947"/>
      <c r="GZB89" s="947"/>
      <c r="GZC89" s="947"/>
      <c r="GZD89" s="947"/>
      <c r="GZE89" s="947"/>
      <c r="GZF89" s="947"/>
      <c r="GZG89" s="947"/>
      <c r="GZH89" s="947"/>
      <c r="GZI89" s="947"/>
      <c r="GZJ89" s="947"/>
      <c r="GZK89" s="947"/>
      <c r="GZL89" s="947"/>
      <c r="GZM89" s="947"/>
      <c r="GZN89" s="947"/>
      <c r="GZO89" s="947"/>
      <c r="GZP89" s="947"/>
      <c r="GZQ89" s="947"/>
      <c r="GZR89" s="947"/>
      <c r="GZS89" s="947"/>
      <c r="GZT89" s="947"/>
      <c r="GZU89" s="947"/>
      <c r="GZV89" s="947"/>
      <c r="GZW89" s="947"/>
      <c r="GZX89" s="947"/>
      <c r="GZY89" s="947"/>
      <c r="GZZ89" s="947"/>
      <c r="HAA89" s="947"/>
      <c r="HAB89" s="947"/>
      <c r="HAC89" s="947"/>
      <c r="HAD89" s="947"/>
      <c r="HAE89" s="947"/>
      <c r="HAF89" s="947"/>
      <c r="HAG89" s="947"/>
      <c r="HAH89" s="947"/>
      <c r="HAI89" s="947"/>
      <c r="HAJ89" s="947"/>
      <c r="HAK89" s="947"/>
      <c r="HAL89" s="947"/>
      <c r="HAM89" s="947"/>
      <c r="HAN89" s="947"/>
      <c r="HAO89" s="947"/>
      <c r="HAP89" s="947"/>
      <c r="HAQ89" s="947"/>
      <c r="HAR89" s="947"/>
      <c r="HAS89" s="947"/>
      <c r="HAT89" s="947"/>
      <c r="HAU89" s="947"/>
      <c r="HAV89" s="947"/>
      <c r="HAW89" s="947"/>
      <c r="HAX89" s="947"/>
      <c r="HAY89" s="947"/>
      <c r="HAZ89" s="947"/>
      <c r="HBA89" s="947"/>
      <c r="HBB89" s="947"/>
      <c r="HBC89" s="947"/>
      <c r="HBD89" s="947"/>
      <c r="HBE89" s="947"/>
      <c r="HBF89" s="947"/>
      <c r="HBG89" s="947"/>
      <c r="HBH89" s="947"/>
      <c r="HBI89" s="947"/>
      <c r="HBJ89" s="947"/>
      <c r="HBK89" s="947"/>
      <c r="HBL89" s="947"/>
      <c r="HBM89" s="947"/>
      <c r="HBN89" s="947"/>
      <c r="HBO89" s="947"/>
      <c r="HBP89" s="947"/>
      <c r="HBQ89" s="947"/>
      <c r="HBR89" s="947"/>
      <c r="HBS89" s="947"/>
      <c r="HBT89" s="947"/>
      <c r="HBU89" s="947"/>
      <c r="HBV89" s="947"/>
      <c r="HBW89" s="947"/>
      <c r="HBX89" s="947"/>
      <c r="HBY89" s="947"/>
      <c r="HBZ89" s="947"/>
      <c r="HCA89" s="947"/>
      <c r="HCB89" s="947"/>
      <c r="HCC89" s="947"/>
      <c r="HCD89" s="947"/>
      <c r="HCE89" s="947"/>
      <c r="HCF89" s="947"/>
      <c r="HCG89" s="947"/>
      <c r="HCH89" s="947"/>
      <c r="HCI89" s="947"/>
      <c r="HCJ89" s="947"/>
      <c r="HCK89" s="947"/>
      <c r="HCL89" s="947"/>
      <c r="HCM89" s="947"/>
      <c r="HCN89" s="947"/>
      <c r="HCO89" s="947"/>
      <c r="HCP89" s="947"/>
      <c r="HCQ89" s="947"/>
      <c r="HCR89" s="947"/>
      <c r="HCS89" s="947"/>
      <c r="HCT89" s="947"/>
      <c r="HCU89" s="947"/>
      <c r="HCV89" s="947"/>
      <c r="HCW89" s="947"/>
      <c r="HCX89" s="947"/>
      <c r="HCY89" s="947"/>
      <c r="HCZ89" s="947"/>
      <c r="HDA89" s="947"/>
      <c r="HDB89" s="947"/>
      <c r="HDC89" s="947"/>
      <c r="HDD89" s="947"/>
      <c r="HDE89" s="947"/>
      <c r="HDF89" s="947"/>
      <c r="HDG89" s="947"/>
      <c r="HDH89" s="947"/>
      <c r="HDI89" s="947"/>
      <c r="HDJ89" s="947"/>
      <c r="HDK89" s="947"/>
      <c r="HDL89" s="947"/>
      <c r="HDM89" s="947"/>
      <c r="HDN89" s="947"/>
      <c r="HDO89" s="947"/>
      <c r="HDP89" s="947"/>
      <c r="HDQ89" s="947"/>
      <c r="HDR89" s="947"/>
      <c r="HDS89" s="947"/>
      <c r="HDT89" s="947"/>
      <c r="HDU89" s="947"/>
      <c r="HDV89" s="947"/>
      <c r="HDW89" s="947"/>
      <c r="HDX89" s="947"/>
      <c r="HDY89" s="947"/>
      <c r="HDZ89" s="947"/>
      <c r="HEA89" s="947"/>
      <c r="HEB89" s="947"/>
      <c r="HEC89" s="947"/>
      <c r="HED89" s="947"/>
      <c r="HEE89" s="947"/>
      <c r="HEF89" s="947"/>
      <c r="HEG89" s="947"/>
      <c r="HEH89" s="947"/>
      <c r="HEI89" s="947"/>
      <c r="HEJ89" s="947"/>
      <c r="HEK89" s="947"/>
      <c r="HEL89" s="947"/>
      <c r="HEM89" s="947"/>
      <c r="HEN89" s="947"/>
      <c r="HEO89" s="947"/>
      <c r="HEP89" s="947"/>
      <c r="HEQ89" s="947"/>
      <c r="HER89" s="947"/>
      <c r="HES89" s="947"/>
      <c r="HET89" s="947"/>
      <c r="HEU89" s="947"/>
      <c r="HEV89" s="947"/>
      <c r="HEW89" s="947"/>
      <c r="HEX89" s="947"/>
      <c r="HEY89" s="947"/>
      <c r="HEZ89" s="947"/>
      <c r="HFA89" s="947"/>
      <c r="HFB89" s="947"/>
      <c r="HFC89" s="947"/>
      <c r="HFD89" s="947"/>
      <c r="HFE89" s="947"/>
      <c r="HFF89" s="947"/>
      <c r="HFG89" s="947"/>
      <c r="HFH89" s="947"/>
      <c r="HFI89" s="947"/>
      <c r="HFJ89" s="947"/>
      <c r="HFK89" s="947"/>
      <c r="HFL89" s="947"/>
      <c r="HFM89" s="947"/>
      <c r="HFN89" s="947"/>
      <c r="HFO89" s="947"/>
      <c r="HFP89" s="947"/>
      <c r="HFQ89" s="947"/>
      <c r="HFR89" s="947"/>
      <c r="HFS89" s="947"/>
      <c r="HFT89" s="947"/>
      <c r="HFU89" s="947"/>
      <c r="HFV89" s="947"/>
      <c r="HFW89" s="947"/>
      <c r="HFX89" s="947"/>
      <c r="HFY89" s="947"/>
      <c r="HFZ89" s="947"/>
      <c r="HGA89" s="947"/>
      <c r="HGB89" s="947"/>
      <c r="HGC89" s="947"/>
      <c r="HGD89" s="947"/>
      <c r="HGE89" s="947"/>
      <c r="HGF89" s="947"/>
      <c r="HGG89" s="947"/>
      <c r="HGH89" s="947"/>
      <c r="HGI89" s="947"/>
      <c r="HGJ89" s="947"/>
      <c r="HGK89" s="947"/>
      <c r="HGL89" s="947"/>
      <c r="HGM89" s="947"/>
      <c r="HGN89" s="947"/>
      <c r="HGO89" s="947"/>
      <c r="HGP89" s="947"/>
      <c r="HGQ89" s="947"/>
      <c r="HGR89" s="947"/>
      <c r="HGS89" s="947"/>
      <c r="HGT89" s="947"/>
      <c r="HGU89" s="947"/>
      <c r="HGV89" s="947"/>
      <c r="HGW89" s="947"/>
      <c r="HGX89" s="947"/>
      <c r="HGY89" s="947"/>
      <c r="HGZ89" s="947"/>
      <c r="HHA89" s="947"/>
      <c r="HHB89" s="947"/>
      <c r="HHC89" s="947"/>
      <c r="HHD89" s="947"/>
      <c r="HHE89" s="947"/>
      <c r="HHF89" s="947"/>
      <c r="HHG89" s="947"/>
      <c r="HHH89" s="947"/>
      <c r="HHI89" s="947"/>
      <c r="HHJ89" s="947"/>
      <c r="HHK89" s="947"/>
      <c r="HHL89" s="947"/>
      <c r="HHM89" s="947"/>
      <c r="HHN89" s="947"/>
      <c r="HHO89" s="947"/>
      <c r="HHP89" s="947"/>
      <c r="HHQ89" s="947"/>
      <c r="HHR89" s="947"/>
      <c r="HHS89" s="947"/>
      <c r="HHT89" s="947"/>
      <c r="HHU89" s="947"/>
      <c r="HHV89" s="947"/>
      <c r="HHW89" s="947"/>
      <c r="HHX89" s="947"/>
      <c r="HHY89" s="947"/>
      <c r="HHZ89" s="947"/>
      <c r="HIA89" s="947"/>
      <c r="HIB89" s="947"/>
      <c r="HIC89" s="947"/>
      <c r="HID89" s="947"/>
      <c r="HIE89" s="947"/>
      <c r="HIF89" s="947"/>
      <c r="HIG89" s="947"/>
      <c r="HIH89" s="947"/>
      <c r="HII89" s="947"/>
      <c r="HIJ89" s="947"/>
      <c r="HIK89" s="947"/>
      <c r="HIL89" s="947"/>
      <c r="HIM89" s="947"/>
      <c r="HIN89" s="947"/>
      <c r="HIO89" s="947"/>
      <c r="HIP89" s="947"/>
      <c r="HIQ89" s="947"/>
      <c r="HIR89" s="947"/>
      <c r="HIS89" s="947"/>
      <c r="HIT89" s="947"/>
      <c r="HIU89" s="947"/>
      <c r="HIV89" s="947"/>
      <c r="HIW89" s="947"/>
      <c r="HIX89" s="947"/>
      <c r="HIY89" s="947"/>
      <c r="HIZ89" s="947"/>
      <c r="HJA89" s="947"/>
      <c r="HJB89" s="947"/>
      <c r="HJC89" s="947"/>
      <c r="HJD89" s="947"/>
      <c r="HJE89" s="947"/>
      <c r="HJF89" s="947"/>
      <c r="HJG89" s="947"/>
      <c r="HJH89" s="947"/>
      <c r="HJI89" s="947"/>
      <c r="HJJ89" s="947"/>
      <c r="HJK89" s="947"/>
      <c r="HJL89" s="947"/>
      <c r="HJM89" s="947"/>
      <c r="HJN89" s="947"/>
      <c r="HJO89" s="947"/>
      <c r="HJP89" s="947"/>
      <c r="HJQ89" s="947"/>
      <c r="HJR89" s="947"/>
      <c r="HJS89" s="947"/>
      <c r="HJT89" s="947"/>
      <c r="HJU89" s="947"/>
      <c r="HJV89" s="947"/>
      <c r="HJW89" s="947"/>
      <c r="HJX89" s="947"/>
      <c r="HJY89" s="947"/>
      <c r="HJZ89" s="947"/>
      <c r="HKA89" s="947"/>
      <c r="HKB89" s="947"/>
      <c r="HKC89" s="947"/>
      <c r="HKD89" s="947"/>
      <c r="HKE89" s="947"/>
      <c r="HKF89" s="947"/>
      <c r="HKG89" s="947"/>
      <c r="HKH89" s="947"/>
      <c r="HKI89" s="947"/>
      <c r="HKJ89" s="947"/>
      <c r="HKK89" s="947"/>
      <c r="HKL89" s="947"/>
      <c r="HKM89" s="947"/>
      <c r="HKN89" s="947"/>
      <c r="HKO89" s="947"/>
      <c r="HKP89" s="947"/>
      <c r="HKQ89" s="947"/>
      <c r="HKR89" s="947"/>
      <c r="HKS89" s="947"/>
      <c r="HKT89" s="947"/>
      <c r="HKU89" s="947"/>
      <c r="HKV89" s="947"/>
      <c r="HKW89" s="947"/>
      <c r="HKX89" s="947"/>
      <c r="HKY89" s="947"/>
      <c r="HKZ89" s="947"/>
      <c r="HLA89" s="947"/>
      <c r="HLB89" s="947"/>
      <c r="HLC89" s="947"/>
      <c r="HLD89" s="947"/>
      <c r="HLE89" s="947"/>
      <c r="HLF89" s="947"/>
      <c r="HLG89" s="947"/>
      <c r="HLH89" s="947"/>
      <c r="HLI89" s="947"/>
      <c r="HLJ89" s="947"/>
      <c r="HLK89" s="947"/>
      <c r="HLL89" s="947"/>
      <c r="HLM89" s="947"/>
      <c r="HLN89" s="947"/>
      <c r="HLO89" s="947"/>
      <c r="HLP89" s="947"/>
      <c r="HLQ89" s="947"/>
      <c r="HLR89" s="947"/>
      <c r="HLS89" s="947"/>
      <c r="HLT89" s="947"/>
      <c r="HLU89" s="947"/>
      <c r="HLV89" s="947"/>
      <c r="HLW89" s="947"/>
      <c r="HLX89" s="947"/>
      <c r="HLY89" s="947"/>
      <c r="HLZ89" s="947"/>
      <c r="HMA89" s="947"/>
      <c r="HMB89" s="947"/>
      <c r="HMC89" s="947"/>
      <c r="HMD89" s="947"/>
      <c r="HME89" s="947"/>
      <c r="HMF89" s="947"/>
      <c r="HMG89" s="947"/>
      <c r="HMH89" s="947"/>
      <c r="HMI89" s="947"/>
      <c r="HMJ89" s="947"/>
      <c r="HMK89" s="947"/>
      <c r="HML89" s="947"/>
      <c r="HMM89" s="947"/>
      <c r="HMN89" s="947"/>
      <c r="HMO89" s="947"/>
      <c r="HMP89" s="947"/>
      <c r="HMQ89" s="947"/>
      <c r="HMR89" s="947"/>
      <c r="HMS89" s="947"/>
      <c r="HMT89" s="947"/>
      <c r="HMU89" s="947"/>
      <c r="HMV89" s="947"/>
      <c r="HMW89" s="947"/>
      <c r="HMX89" s="947"/>
      <c r="HMY89" s="947"/>
      <c r="HMZ89" s="947"/>
      <c r="HNA89" s="947"/>
      <c r="HNB89" s="947"/>
      <c r="HNC89" s="947"/>
      <c r="HND89" s="947"/>
      <c r="HNE89" s="947"/>
      <c r="HNF89" s="947"/>
      <c r="HNG89" s="947"/>
      <c r="HNH89" s="947"/>
      <c r="HNI89" s="947"/>
      <c r="HNJ89" s="947"/>
      <c r="HNK89" s="947"/>
      <c r="HNL89" s="947"/>
      <c r="HNM89" s="947"/>
      <c r="HNN89" s="947"/>
      <c r="HNO89" s="947"/>
      <c r="HNP89" s="947"/>
      <c r="HNQ89" s="947"/>
      <c r="HNR89" s="947"/>
      <c r="HNS89" s="947"/>
      <c r="HNT89" s="947"/>
      <c r="HNU89" s="947"/>
      <c r="HNV89" s="947"/>
      <c r="HNW89" s="947"/>
      <c r="HNX89" s="947"/>
      <c r="HNY89" s="947"/>
      <c r="HNZ89" s="947"/>
      <c r="HOA89" s="947"/>
      <c r="HOB89" s="947"/>
      <c r="HOC89" s="947"/>
      <c r="HOD89" s="947"/>
      <c r="HOE89" s="947"/>
      <c r="HOF89" s="947"/>
      <c r="HOG89" s="947"/>
      <c r="HOH89" s="947"/>
      <c r="HOI89" s="947"/>
      <c r="HOJ89" s="947"/>
      <c r="HOK89" s="947"/>
      <c r="HOL89" s="947"/>
      <c r="HOM89" s="947"/>
      <c r="HON89" s="947"/>
      <c r="HOO89" s="947"/>
      <c r="HOP89" s="947"/>
      <c r="HOQ89" s="947"/>
      <c r="HOR89" s="947"/>
      <c r="HOS89" s="947"/>
      <c r="HOT89" s="947"/>
      <c r="HOU89" s="947"/>
      <c r="HOV89" s="947"/>
      <c r="HOW89" s="947"/>
      <c r="HOX89" s="947"/>
      <c r="HOY89" s="947"/>
      <c r="HOZ89" s="947"/>
      <c r="HPA89" s="947"/>
      <c r="HPB89" s="947"/>
      <c r="HPC89" s="947"/>
      <c r="HPD89" s="947"/>
      <c r="HPE89" s="947"/>
      <c r="HPF89" s="947"/>
      <c r="HPG89" s="947"/>
      <c r="HPH89" s="947"/>
      <c r="HPI89" s="947"/>
      <c r="HPJ89" s="947"/>
      <c r="HPK89" s="947"/>
      <c r="HPL89" s="947"/>
      <c r="HPM89" s="947"/>
      <c r="HPN89" s="947"/>
      <c r="HPO89" s="947"/>
      <c r="HPP89" s="947"/>
      <c r="HPQ89" s="947"/>
      <c r="HPR89" s="947"/>
      <c r="HPS89" s="947"/>
      <c r="HPT89" s="947"/>
      <c r="HPU89" s="947"/>
      <c r="HPV89" s="947"/>
      <c r="HPW89" s="947"/>
      <c r="HPX89" s="947"/>
      <c r="HPY89" s="947"/>
      <c r="HPZ89" s="947"/>
      <c r="HQA89" s="947"/>
      <c r="HQB89" s="947"/>
      <c r="HQC89" s="947"/>
      <c r="HQD89" s="947"/>
      <c r="HQE89" s="947"/>
      <c r="HQF89" s="947"/>
      <c r="HQG89" s="947"/>
      <c r="HQH89" s="947"/>
      <c r="HQI89" s="947"/>
      <c r="HQJ89" s="947"/>
      <c r="HQK89" s="947"/>
      <c r="HQL89" s="947"/>
      <c r="HQM89" s="947"/>
      <c r="HQN89" s="947"/>
      <c r="HQO89" s="947"/>
      <c r="HQP89" s="947"/>
      <c r="HQQ89" s="947"/>
      <c r="HQR89" s="947"/>
      <c r="HQS89" s="947"/>
      <c r="HQT89" s="947"/>
      <c r="HQU89" s="947"/>
      <c r="HQV89" s="947"/>
      <c r="HQW89" s="947"/>
      <c r="HQX89" s="947"/>
      <c r="HQY89" s="947"/>
      <c r="HQZ89" s="947"/>
      <c r="HRA89" s="947"/>
      <c r="HRB89" s="947"/>
      <c r="HRC89" s="947"/>
      <c r="HRD89" s="947"/>
      <c r="HRE89" s="947"/>
      <c r="HRF89" s="947"/>
      <c r="HRG89" s="947"/>
      <c r="HRH89" s="947"/>
      <c r="HRI89" s="947"/>
      <c r="HRJ89" s="947"/>
      <c r="HRK89" s="947"/>
      <c r="HRL89" s="947"/>
      <c r="HRM89" s="947"/>
      <c r="HRN89" s="947"/>
      <c r="HRO89" s="947"/>
      <c r="HRP89" s="947"/>
      <c r="HRQ89" s="947"/>
      <c r="HRR89" s="947"/>
      <c r="HRS89" s="947"/>
      <c r="HRT89" s="947"/>
      <c r="HRU89" s="947"/>
      <c r="HRV89" s="947"/>
      <c r="HRW89" s="947"/>
      <c r="HRX89" s="947"/>
      <c r="HRY89" s="947"/>
      <c r="HRZ89" s="947"/>
      <c r="HSA89" s="947"/>
      <c r="HSB89" s="947"/>
      <c r="HSC89" s="947"/>
      <c r="HSD89" s="947"/>
      <c r="HSE89" s="947"/>
      <c r="HSF89" s="947"/>
      <c r="HSG89" s="947"/>
      <c r="HSH89" s="947"/>
      <c r="HSI89" s="947"/>
      <c r="HSJ89" s="947"/>
      <c r="HSK89" s="947"/>
      <c r="HSL89" s="947"/>
      <c r="HSM89" s="947"/>
      <c r="HSN89" s="947"/>
      <c r="HSO89" s="947"/>
      <c r="HSP89" s="947"/>
      <c r="HSQ89" s="947"/>
      <c r="HSR89" s="947"/>
      <c r="HSS89" s="947"/>
      <c r="HST89" s="947"/>
      <c r="HSU89" s="947"/>
      <c r="HSV89" s="947"/>
      <c r="HSW89" s="947"/>
      <c r="HSX89" s="947"/>
      <c r="HSY89" s="947"/>
      <c r="HSZ89" s="947"/>
      <c r="HTA89" s="947"/>
      <c r="HTB89" s="947"/>
      <c r="HTC89" s="947"/>
      <c r="HTD89" s="947"/>
      <c r="HTE89" s="947"/>
      <c r="HTF89" s="947"/>
      <c r="HTG89" s="947"/>
      <c r="HTH89" s="947"/>
      <c r="HTI89" s="947"/>
      <c r="HTJ89" s="947"/>
      <c r="HTK89" s="947"/>
      <c r="HTL89" s="947"/>
      <c r="HTM89" s="947"/>
      <c r="HTN89" s="947"/>
      <c r="HTO89" s="947"/>
      <c r="HTP89" s="947"/>
      <c r="HTQ89" s="947"/>
      <c r="HTR89" s="947"/>
      <c r="HTS89" s="947"/>
      <c r="HTT89" s="947"/>
      <c r="HTU89" s="947"/>
      <c r="HTV89" s="947"/>
      <c r="HTW89" s="947"/>
      <c r="HTX89" s="947"/>
      <c r="HTY89" s="947"/>
      <c r="HTZ89" s="947"/>
      <c r="HUA89" s="947"/>
      <c r="HUB89" s="947"/>
      <c r="HUC89" s="947"/>
      <c r="HUD89" s="947"/>
      <c r="HUE89" s="947"/>
      <c r="HUF89" s="947"/>
      <c r="HUG89" s="947"/>
      <c r="HUH89" s="947"/>
      <c r="HUI89" s="947"/>
      <c r="HUJ89" s="947"/>
      <c r="HUK89" s="947"/>
      <c r="HUL89" s="947"/>
      <c r="HUM89" s="947"/>
      <c r="HUN89" s="947"/>
      <c r="HUO89" s="947"/>
      <c r="HUP89" s="947"/>
      <c r="HUQ89" s="947"/>
      <c r="HUR89" s="947"/>
      <c r="HUS89" s="947"/>
      <c r="HUT89" s="947"/>
      <c r="HUU89" s="947"/>
      <c r="HUV89" s="947"/>
      <c r="HUW89" s="947"/>
      <c r="HUX89" s="947"/>
      <c r="HUY89" s="947"/>
      <c r="HUZ89" s="947"/>
      <c r="HVA89" s="947"/>
      <c r="HVB89" s="947"/>
      <c r="HVC89" s="947"/>
      <c r="HVD89" s="947"/>
      <c r="HVE89" s="947"/>
      <c r="HVF89" s="947"/>
      <c r="HVG89" s="947"/>
      <c r="HVH89" s="947"/>
      <c r="HVI89" s="947"/>
      <c r="HVJ89" s="947"/>
      <c r="HVK89" s="947"/>
      <c r="HVL89" s="947"/>
      <c r="HVM89" s="947"/>
      <c r="HVN89" s="947"/>
      <c r="HVO89" s="947"/>
      <c r="HVP89" s="947"/>
      <c r="HVQ89" s="947"/>
      <c r="HVR89" s="947"/>
      <c r="HVS89" s="947"/>
      <c r="HVT89" s="947"/>
      <c r="HVU89" s="947"/>
      <c r="HVV89" s="947"/>
      <c r="HVW89" s="947"/>
      <c r="HVX89" s="947"/>
      <c r="HVY89" s="947"/>
      <c r="HVZ89" s="947"/>
      <c r="HWA89" s="947"/>
      <c r="HWB89" s="947"/>
      <c r="HWC89" s="947"/>
      <c r="HWD89" s="947"/>
      <c r="HWE89" s="947"/>
      <c r="HWF89" s="947"/>
      <c r="HWG89" s="947"/>
      <c r="HWH89" s="947"/>
      <c r="HWI89" s="947"/>
      <c r="HWJ89" s="947"/>
      <c r="HWK89" s="947"/>
      <c r="HWL89" s="947"/>
      <c r="HWM89" s="947"/>
      <c r="HWN89" s="947"/>
      <c r="HWO89" s="947"/>
      <c r="HWP89" s="947"/>
      <c r="HWQ89" s="947"/>
      <c r="HWR89" s="947"/>
      <c r="HWS89" s="947"/>
      <c r="HWT89" s="947"/>
      <c r="HWU89" s="947"/>
      <c r="HWV89" s="947"/>
      <c r="HWW89" s="947"/>
      <c r="HWX89" s="947"/>
      <c r="HWY89" s="947"/>
      <c r="HWZ89" s="947"/>
      <c r="HXA89" s="947"/>
      <c r="HXB89" s="947"/>
      <c r="HXC89" s="947"/>
      <c r="HXD89" s="947"/>
      <c r="HXE89" s="947"/>
      <c r="HXF89" s="947"/>
      <c r="HXG89" s="947"/>
      <c r="HXH89" s="947"/>
      <c r="HXI89" s="947"/>
      <c r="HXJ89" s="947"/>
      <c r="HXK89" s="947"/>
      <c r="HXL89" s="947"/>
      <c r="HXM89" s="947"/>
      <c r="HXN89" s="947"/>
      <c r="HXO89" s="947"/>
      <c r="HXP89" s="947"/>
      <c r="HXQ89" s="947"/>
      <c r="HXR89" s="947"/>
      <c r="HXS89" s="947"/>
      <c r="HXT89" s="947"/>
      <c r="HXU89" s="947"/>
      <c r="HXV89" s="947"/>
      <c r="HXW89" s="947"/>
      <c r="HXX89" s="947"/>
      <c r="HXY89" s="947"/>
      <c r="HXZ89" s="947"/>
      <c r="HYA89" s="947"/>
      <c r="HYB89" s="947"/>
      <c r="HYC89" s="947"/>
      <c r="HYD89" s="947"/>
      <c r="HYE89" s="947"/>
      <c r="HYF89" s="947"/>
      <c r="HYG89" s="947"/>
      <c r="HYH89" s="947"/>
      <c r="HYI89" s="947"/>
      <c r="HYJ89" s="947"/>
      <c r="HYK89" s="947"/>
      <c r="HYL89" s="947"/>
      <c r="HYM89" s="947"/>
      <c r="HYN89" s="947"/>
      <c r="HYO89" s="947"/>
      <c r="HYP89" s="947"/>
      <c r="HYQ89" s="947"/>
      <c r="HYR89" s="947"/>
      <c r="HYS89" s="947"/>
      <c r="HYT89" s="947"/>
      <c r="HYU89" s="947"/>
      <c r="HYV89" s="947"/>
      <c r="HYW89" s="947"/>
      <c r="HYX89" s="947"/>
      <c r="HYY89" s="947"/>
      <c r="HYZ89" s="947"/>
      <c r="HZA89" s="947"/>
      <c r="HZB89" s="947"/>
      <c r="HZC89" s="947"/>
      <c r="HZD89" s="947"/>
      <c r="HZE89" s="947"/>
      <c r="HZF89" s="947"/>
      <c r="HZG89" s="947"/>
      <c r="HZH89" s="947"/>
      <c r="HZI89" s="947"/>
      <c r="HZJ89" s="947"/>
      <c r="HZK89" s="947"/>
      <c r="HZL89" s="947"/>
      <c r="HZM89" s="947"/>
      <c r="HZN89" s="947"/>
      <c r="HZO89" s="947"/>
      <c r="HZP89" s="947"/>
      <c r="HZQ89" s="947"/>
      <c r="HZR89" s="947"/>
      <c r="HZS89" s="947"/>
      <c r="HZT89" s="947"/>
      <c r="HZU89" s="947"/>
      <c r="HZV89" s="947"/>
      <c r="HZW89" s="947"/>
      <c r="HZX89" s="947"/>
      <c r="HZY89" s="947"/>
      <c r="HZZ89" s="947"/>
      <c r="IAA89" s="947"/>
      <c r="IAB89" s="947"/>
      <c r="IAC89" s="947"/>
      <c r="IAD89" s="947"/>
      <c r="IAE89" s="947"/>
      <c r="IAF89" s="947"/>
      <c r="IAG89" s="947"/>
      <c r="IAH89" s="947"/>
      <c r="IAI89" s="947"/>
      <c r="IAJ89" s="947"/>
      <c r="IAK89" s="947"/>
      <c r="IAL89" s="947"/>
      <c r="IAM89" s="947"/>
      <c r="IAN89" s="947"/>
      <c r="IAO89" s="947"/>
      <c r="IAP89" s="947"/>
      <c r="IAQ89" s="947"/>
      <c r="IAR89" s="947"/>
      <c r="IAS89" s="947"/>
      <c r="IAT89" s="947"/>
      <c r="IAU89" s="947"/>
      <c r="IAV89" s="947"/>
      <c r="IAW89" s="947"/>
      <c r="IAX89" s="947"/>
      <c r="IAY89" s="947"/>
      <c r="IAZ89" s="947"/>
      <c r="IBA89" s="947"/>
      <c r="IBB89" s="947"/>
      <c r="IBC89" s="947"/>
      <c r="IBD89" s="947"/>
      <c r="IBE89" s="947"/>
      <c r="IBF89" s="947"/>
      <c r="IBG89" s="947"/>
      <c r="IBH89" s="947"/>
      <c r="IBI89" s="947"/>
      <c r="IBJ89" s="947"/>
      <c r="IBK89" s="947"/>
      <c r="IBL89" s="947"/>
      <c r="IBM89" s="947"/>
      <c r="IBN89" s="947"/>
      <c r="IBO89" s="947"/>
      <c r="IBP89" s="947"/>
      <c r="IBQ89" s="947"/>
      <c r="IBR89" s="947"/>
      <c r="IBS89" s="947"/>
      <c r="IBT89" s="947"/>
      <c r="IBU89" s="947"/>
      <c r="IBV89" s="947"/>
      <c r="IBW89" s="947"/>
      <c r="IBX89" s="947"/>
      <c r="IBY89" s="947"/>
      <c r="IBZ89" s="947"/>
      <c r="ICA89" s="947"/>
      <c r="ICB89" s="947"/>
      <c r="ICC89" s="947"/>
      <c r="ICD89" s="947"/>
      <c r="ICE89" s="947"/>
      <c r="ICF89" s="947"/>
      <c r="ICG89" s="947"/>
      <c r="ICH89" s="947"/>
      <c r="ICI89" s="947"/>
      <c r="ICJ89" s="947"/>
      <c r="ICK89" s="947"/>
      <c r="ICL89" s="947"/>
      <c r="ICM89" s="947"/>
      <c r="ICN89" s="947"/>
      <c r="ICO89" s="947"/>
      <c r="ICP89" s="947"/>
      <c r="ICQ89" s="947"/>
      <c r="ICR89" s="947"/>
      <c r="ICS89" s="947"/>
      <c r="ICT89" s="947"/>
      <c r="ICU89" s="947"/>
      <c r="ICV89" s="947"/>
      <c r="ICW89" s="947"/>
      <c r="ICX89" s="947"/>
      <c r="ICY89" s="947"/>
      <c r="ICZ89" s="947"/>
      <c r="IDA89" s="947"/>
      <c r="IDB89" s="947"/>
      <c r="IDC89" s="947"/>
      <c r="IDD89" s="947"/>
      <c r="IDE89" s="947"/>
      <c r="IDF89" s="947"/>
      <c r="IDG89" s="947"/>
      <c r="IDH89" s="947"/>
      <c r="IDI89" s="947"/>
      <c r="IDJ89" s="947"/>
      <c r="IDK89" s="947"/>
      <c r="IDL89" s="947"/>
      <c r="IDM89" s="947"/>
      <c r="IDN89" s="947"/>
      <c r="IDO89" s="947"/>
      <c r="IDP89" s="947"/>
      <c r="IDQ89" s="947"/>
      <c r="IDR89" s="947"/>
      <c r="IDS89" s="947"/>
      <c r="IDT89" s="947"/>
      <c r="IDU89" s="947"/>
      <c r="IDV89" s="947"/>
      <c r="IDW89" s="947"/>
      <c r="IDX89" s="947"/>
      <c r="IDY89" s="947"/>
      <c r="IDZ89" s="947"/>
      <c r="IEA89" s="947"/>
      <c r="IEB89" s="947"/>
      <c r="IEC89" s="947"/>
      <c r="IED89" s="947"/>
      <c r="IEE89" s="947"/>
      <c r="IEF89" s="947"/>
      <c r="IEG89" s="947"/>
      <c r="IEH89" s="947"/>
      <c r="IEI89" s="947"/>
      <c r="IEJ89" s="947"/>
      <c r="IEK89" s="947"/>
      <c r="IEL89" s="947"/>
      <c r="IEM89" s="947"/>
      <c r="IEN89" s="947"/>
      <c r="IEO89" s="947"/>
      <c r="IEP89" s="947"/>
      <c r="IEQ89" s="947"/>
      <c r="IER89" s="947"/>
      <c r="IES89" s="947"/>
      <c r="IET89" s="947"/>
      <c r="IEU89" s="947"/>
      <c r="IEV89" s="947"/>
      <c r="IEW89" s="947"/>
      <c r="IEX89" s="947"/>
      <c r="IEY89" s="947"/>
      <c r="IEZ89" s="947"/>
      <c r="IFA89" s="947"/>
      <c r="IFB89" s="947"/>
      <c r="IFC89" s="947"/>
      <c r="IFD89" s="947"/>
      <c r="IFE89" s="947"/>
      <c r="IFF89" s="947"/>
      <c r="IFG89" s="947"/>
      <c r="IFH89" s="947"/>
      <c r="IFI89" s="947"/>
      <c r="IFJ89" s="947"/>
      <c r="IFK89" s="947"/>
      <c r="IFL89" s="947"/>
      <c r="IFM89" s="947"/>
      <c r="IFN89" s="947"/>
      <c r="IFO89" s="947"/>
      <c r="IFP89" s="947"/>
      <c r="IFQ89" s="947"/>
      <c r="IFR89" s="947"/>
      <c r="IFS89" s="947"/>
      <c r="IFT89" s="947"/>
      <c r="IFU89" s="947"/>
      <c r="IFV89" s="947"/>
      <c r="IFW89" s="947"/>
      <c r="IFX89" s="947"/>
      <c r="IFY89" s="947"/>
      <c r="IFZ89" s="947"/>
      <c r="IGA89" s="947"/>
      <c r="IGB89" s="947"/>
      <c r="IGC89" s="947"/>
      <c r="IGD89" s="947"/>
      <c r="IGE89" s="947"/>
      <c r="IGF89" s="947"/>
      <c r="IGG89" s="947"/>
      <c r="IGH89" s="947"/>
      <c r="IGI89" s="947"/>
      <c r="IGJ89" s="947"/>
      <c r="IGK89" s="947"/>
      <c r="IGL89" s="947"/>
      <c r="IGM89" s="947"/>
      <c r="IGN89" s="947"/>
      <c r="IGO89" s="947"/>
      <c r="IGP89" s="947"/>
      <c r="IGQ89" s="947"/>
      <c r="IGR89" s="947"/>
      <c r="IGS89" s="947"/>
      <c r="IGT89" s="947"/>
      <c r="IGU89" s="947"/>
      <c r="IGV89" s="947"/>
      <c r="IGW89" s="947"/>
      <c r="IGX89" s="947"/>
      <c r="IGY89" s="947"/>
      <c r="IGZ89" s="947"/>
      <c r="IHA89" s="947"/>
      <c r="IHB89" s="947"/>
      <c r="IHC89" s="947"/>
      <c r="IHD89" s="947"/>
      <c r="IHE89" s="947"/>
      <c r="IHF89" s="947"/>
      <c r="IHG89" s="947"/>
      <c r="IHH89" s="947"/>
      <c r="IHI89" s="947"/>
      <c r="IHJ89" s="947"/>
      <c r="IHK89" s="947"/>
      <c r="IHL89" s="947"/>
      <c r="IHM89" s="947"/>
      <c r="IHN89" s="947"/>
      <c r="IHO89" s="947"/>
      <c r="IHP89" s="947"/>
      <c r="IHQ89" s="947"/>
      <c r="IHR89" s="947"/>
      <c r="IHS89" s="947"/>
      <c r="IHT89" s="947"/>
      <c r="IHU89" s="947"/>
      <c r="IHV89" s="947"/>
      <c r="IHW89" s="947"/>
      <c r="IHX89" s="947"/>
      <c r="IHY89" s="947"/>
      <c r="IHZ89" s="947"/>
      <c r="IIA89" s="947"/>
      <c r="IIB89" s="947"/>
      <c r="IIC89" s="947"/>
      <c r="IID89" s="947"/>
      <c r="IIE89" s="947"/>
      <c r="IIF89" s="947"/>
      <c r="IIG89" s="947"/>
      <c r="IIH89" s="947"/>
      <c r="III89" s="947"/>
      <c r="IIJ89" s="947"/>
      <c r="IIK89" s="947"/>
      <c r="IIL89" s="947"/>
      <c r="IIM89" s="947"/>
      <c r="IIN89" s="947"/>
      <c r="IIO89" s="947"/>
      <c r="IIP89" s="947"/>
      <c r="IIQ89" s="947"/>
      <c r="IIR89" s="947"/>
      <c r="IIS89" s="947"/>
      <c r="IIT89" s="947"/>
      <c r="IIU89" s="947"/>
      <c r="IIV89" s="947"/>
      <c r="IIW89" s="947"/>
      <c r="IIX89" s="947"/>
      <c r="IIY89" s="947"/>
      <c r="IIZ89" s="947"/>
      <c r="IJA89" s="947"/>
      <c r="IJB89" s="947"/>
      <c r="IJC89" s="947"/>
      <c r="IJD89" s="947"/>
      <c r="IJE89" s="947"/>
      <c r="IJF89" s="947"/>
      <c r="IJG89" s="947"/>
      <c r="IJH89" s="947"/>
      <c r="IJI89" s="947"/>
      <c r="IJJ89" s="947"/>
      <c r="IJK89" s="947"/>
      <c r="IJL89" s="947"/>
      <c r="IJM89" s="947"/>
      <c r="IJN89" s="947"/>
      <c r="IJO89" s="947"/>
      <c r="IJP89" s="947"/>
      <c r="IJQ89" s="947"/>
      <c r="IJR89" s="947"/>
      <c r="IJS89" s="947"/>
      <c r="IJT89" s="947"/>
      <c r="IJU89" s="947"/>
      <c r="IJV89" s="947"/>
      <c r="IJW89" s="947"/>
      <c r="IJX89" s="947"/>
      <c r="IJY89" s="947"/>
      <c r="IJZ89" s="947"/>
      <c r="IKA89" s="947"/>
      <c r="IKB89" s="947"/>
      <c r="IKC89" s="947"/>
      <c r="IKD89" s="947"/>
      <c r="IKE89" s="947"/>
      <c r="IKF89" s="947"/>
      <c r="IKG89" s="947"/>
      <c r="IKH89" s="947"/>
      <c r="IKI89" s="947"/>
      <c r="IKJ89" s="947"/>
      <c r="IKK89" s="947"/>
      <c r="IKL89" s="947"/>
      <c r="IKM89" s="947"/>
      <c r="IKN89" s="947"/>
      <c r="IKO89" s="947"/>
      <c r="IKP89" s="947"/>
      <c r="IKQ89" s="947"/>
      <c r="IKR89" s="947"/>
      <c r="IKS89" s="947"/>
      <c r="IKT89" s="947"/>
      <c r="IKU89" s="947"/>
      <c r="IKV89" s="947"/>
      <c r="IKW89" s="947"/>
      <c r="IKX89" s="947"/>
      <c r="IKY89" s="947"/>
      <c r="IKZ89" s="947"/>
      <c r="ILA89" s="947"/>
      <c r="ILB89" s="947"/>
      <c r="ILC89" s="947"/>
      <c r="ILD89" s="947"/>
      <c r="ILE89" s="947"/>
      <c r="ILF89" s="947"/>
      <c r="ILG89" s="947"/>
      <c r="ILH89" s="947"/>
      <c r="ILI89" s="947"/>
      <c r="ILJ89" s="947"/>
      <c r="ILK89" s="947"/>
      <c r="ILL89" s="947"/>
      <c r="ILM89" s="947"/>
      <c r="ILN89" s="947"/>
      <c r="ILO89" s="947"/>
      <c r="ILP89" s="947"/>
      <c r="ILQ89" s="947"/>
      <c r="ILR89" s="947"/>
      <c r="ILS89" s="947"/>
      <c r="ILT89" s="947"/>
      <c r="ILU89" s="947"/>
      <c r="ILV89" s="947"/>
      <c r="ILW89" s="947"/>
      <c r="ILX89" s="947"/>
      <c r="ILY89" s="947"/>
      <c r="ILZ89" s="947"/>
      <c r="IMA89" s="947"/>
      <c r="IMB89" s="947"/>
      <c r="IMC89" s="947"/>
      <c r="IMD89" s="947"/>
      <c r="IME89" s="947"/>
      <c r="IMF89" s="947"/>
      <c r="IMG89" s="947"/>
      <c r="IMH89" s="947"/>
      <c r="IMI89" s="947"/>
      <c r="IMJ89" s="947"/>
      <c r="IMK89" s="947"/>
      <c r="IML89" s="947"/>
      <c r="IMM89" s="947"/>
      <c r="IMN89" s="947"/>
      <c r="IMO89" s="947"/>
      <c r="IMP89" s="947"/>
      <c r="IMQ89" s="947"/>
      <c r="IMR89" s="947"/>
      <c r="IMS89" s="947"/>
      <c r="IMT89" s="947"/>
      <c r="IMU89" s="947"/>
      <c r="IMV89" s="947"/>
      <c r="IMW89" s="947"/>
      <c r="IMX89" s="947"/>
      <c r="IMY89" s="947"/>
      <c r="IMZ89" s="947"/>
      <c r="INA89" s="947"/>
      <c r="INB89" s="947"/>
      <c r="INC89" s="947"/>
      <c r="IND89" s="947"/>
      <c r="INE89" s="947"/>
      <c r="INF89" s="947"/>
      <c r="ING89" s="947"/>
      <c r="INH89" s="947"/>
      <c r="INI89" s="947"/>
      <c r="INJ89" s="947"/>
      <c r="INK89" s="947"/>
      <c r="INL89" s="947"/>
      <c r="INM89" s="947"/>
      <c r="INN89" s="947"/>
      <c r="INO89" s="947"/>
      <c r="INP89" s="947"/>
      <c r="INQ89" s="947"/>
      <c r="INR89" s="947"/>
      <c r="INS89" s="947"/>
      <c r="INT89" s="947"/>
      <c r="INU89" s="947"/>
      <c r="INV89" s="947"/>
      <c r="INW89" s="947"/>
      <c r="INX89" s="947"/>
      <c r="INY89" s="947"/>
      <c r="INZ89" s="947"/>
      <c r="IOA89" s="947"/>
      <c r="IOB89" s="947"/>
      <c r="IOC89" s="947"/>
      <c r="IOD89" s="947"/>
      <c r="IOE89" s="947"/>
      <c r="IOF89" s="947"/>
      <c r="IOG89" s="947"/>
      <c r="IOH89" s="947"/>
      <c r="IOI89" s="947"/>
      <c r="IOJ89" s="947"/>
      <c r="IOK89" s="947"/>
      <c r="IOL89" s="947"/>
      <c r="IOM89" s="947"/>
      <c r="ION89" s="947"/>
      <c r="IOO89" s="947"/>
      <c r="IOP89" s="947"/>
      <c r="IOQ89" s="947"/>
      <c r="IOR89" s="947"/>
      <c r="IOS89" s="947"/>
      <c r="IOT89" s="947"/>
      <c r="IOU89" s="947"/>
      <c r="IOV89" s="947"/>
      <c r="IOW89" s="947"/>
      <c r="IOX89" s="947"/>
      <c r="IOY89" s="947"/>
      <c r="IOZ89" s="947"/>
      <c r="IPA89" s="947"/>
      <c r="IPB89" s="947"/>
      <c r="IPC89" s="947"/>
      <c r="IPD89" s="947"/>
      <c r="IPE89" s="947"/>
      <c r="IPF89" s="947"/>
      <c r="IPG89" s="947"/>
      <c r="IPH89" s="947"/>
      <c r="IPI89" s="947"/>
      <c r="IPJ89" s="947"/>
      <c r="IPK89" s="947"/>
      <c r="IPL89" s="947"/>
      <c r="IPM89" s="947"/>
      <c r="IPN89" s="947"/>
      <c r="IPO89" s="947"/>
      <c r="IPP89" s="947"/>
      <c r="IPQ89" s="947"/>
      <c r="IPR89" s="947"/>
      <c r="IPS89" s="947"/>
      <c r="IPT89" s="947"/>
      <c r="IPU89" s="947"/>
      <c r="IPV89" s="947"/>
      <c r="IPW89" s="947"/>
      <c r="IPX89" s="947"/>
      <c r="IPY89" s="947"/>
      <c r="IPZ89" s="947"/>
      <c r="IQA89" s="947"/>
      <c r="IQB89" s="947"/>
      <c r="IQC89" s="947"/>
      <c r="IQD89" s="947"/>
      <c r="IQE89" s="947"/>
      <c r="IQF89" s="947"/>
      <c r="IQG89" s="947"/>
      <c r="IQH89" s="947"/>
      <c r="IQI89" s="947"/>
      <c r="IQJ89" s="947"/>
      <c r="IQK89" s="947"/>
      <c r="IQL89" s="947"/>
      <c r="IQM89" s="947"/>
      <c r="IQN89" s="947"/>
      <c r="IQO89" s="947"/>
      <c r="IQP89" s="947"/>
      <c r="IQQ89" s="947"/>
      <c r="IQR89" s="947"/>
      <c r="IQS89" s="947"/>
      <c r="IQT89" s="947"/>
      <c r="IQU89" s="947"/>
      <c r="IQV89" s="947"/>
      <c r="IQW89" s="947"/>
      <c r="IQX89" s="947"/>
      <c r="IQY89" s="947"/>
      <c r="IQZ89" s="947"/>
      <c r="IRA89" s="947"/>
      <c r="IRB89" s="947"/>
      <c r="IRC89" s="947"/>
      <c r="IRD89" s="947"/>
      <c r="IRE89" s="947"/>
      <c r="IRF89" s="947"/>
      <c r="IRG89" s="947"/>
      <c r="IRH89" s="947"/>
      <c r="IRI89" s="947"/>
      <c r="IRJ89" s="947"/>
      <c r="IRK89" s="947"/>
      <c r="IRL89" s="947"/>
      <c r="IRM89" s="947"/>
      <c r="IRN89" s="947"/>
      <c r="IRO89" s="947"/>
      <c r="IRP89" s="947"/>
      <c r="IRQ89" s="947"/>
      <c r="IRR89" s="947"/>
      <c r="IRS89" s="947"/>
      <c r="IRT89" s="947"/>
      <c r="IRU89" s="947"/>
      <c r="IRV89" s="947"/>
      <c r="IRW89" s="947"/>
      <c r="IRX89" s="947"/>
      <c r="IRY89" s="947"/>
      <c r="IRZ89" s="947"/>
      <c r="ISA89" s="947"/>
      <c r="ISB89" s="947"/>
      <c r="ISC89" s="947"/>
      <c r="ISD89" s="947"/>
      <c r="ISE89" s="947"/>
      <c r="ISF89" s="947"/>
      <c r="ISG89" s="947"/>
      <c r="ISH89" s="947"/>
      <c r="ISI89" s="947"/>
      <c r="ISJ89" s="947"/>
      <c r="ISK89" s="947"/>
      <c r="ISL89" s="947"/>
      <c r="ISM89" s="947"/>
      <c r="ISN89" s="947"/>
      <c r="ISO89" s="947"/>
      <c r="ISP89" s="947"/>
      <c r="ISQ89" s="947"/>
      <c r="ISR89" s="947"/>
      <c r="ISS89" s="947"/>
      <c r="IST89" s="947"/>
      <c r="ISU89" s="947"/>
      <c r="ISV89" s="947"/>
      <c r="ISW89" s="947"/>
      <c r="ISX89" s="947"/>
      <c r="ISY89" s="947"/>
      <c r="ISZ89" s="947"/>
      <c r="ITA89" s="947"/>
      <c r="ITB89" s="947"/>
      <c r="ITC89" s="947"/>
      <c r="ITD89" s="947"/>
      <c r="ITE89" s="947"/>
      <c r="ITF89" s="947"/>
      <c r="ITG89" s="947"/>
      <c r="ITH89" s="947"/>
      <c r="ITI89" s="947"/>
      <c r="ITJ89" s="947"/>
      <c r="ITK89" s="947"/>
      <c r="ITL89" s="947"/>
      <c r="ITM89" s="947"/>
      <c r="ITN89" s="947"/>
      <c r="ITO89" s="947"/>
      <c r="ITP89" s="947"/>
      <c r="ITQ89" s="947"/>
      <c r="ITR89" s="947"/>
      <c r="ITS89" s="947"/>
      <c r="ITT89" s="947"/>
      <c r="ITU89" s="947"/>
      <c r="ITV89" s="947"/>
      <c r="ITW89" s="947"/>
      <c r="ITX89" s="947"/>
      <c r="ITY89" s="947"/>
      <c r="ITZ89" s="947"/>
      <c r="IUA89" s="947"/>
      <c r="IUB89" s="947"/>
      <c r="IUC89" s="947"/>
      <c r="IUD89" s="947"/>
      <c r="IUE89" s="947"/>
      <c r="IUF89" s="947"/>
      <c r="IUG89" s="947"/>
      <c r="IUH89" s="947"/>
      <c r="IUI89" s="947"/>
      <c r="IUJ89" s="947"/>
      <c r="IUK89" s="947"/>
      <c r="IUL89" s="947"/>
      <c r="IUM89" s="947"/>
      <c r="IUN89" s="947"/>
      <c r="IUO89" s="947"/>
      <c r="IUP89" s="947"/>
      <c r="IUQ89" s="947"/>
      <c r="IUR89" s="947"/>
      <c r="IUS89" s="947"/>
      <c r="IUT89" s="947"/>
      <c r="IUU89" s="947"/>
      <c r="IUV89" s="947"/>
      <c r="IUW89" s="947"/>
      <c r="IUX89" s="947"/>
      <c r="IUY89" s="947"/>
      <c r="IUZ89" s="947"/>
      <c r="IVA89" s="947"/>
      <c r="IVB89" s="947"/>
      <c r="IVC89" s="947"/>
      <c r="IVD89" s="947"/>
      <c r="IVE89" s="947"/>
      <c r="IVF89" s="947"/>
      <c r="IVG89" s="947"/>
      <c r="IVH89" s="947"/>
      <c r="IVI89" s="947"/>
      <c r="IVJ89" s="947"/>
      <c r="IVK89" s="947"/>
      <c r="IVL89" s="947"/>
      <c r="IVM89" s="947"/>
      <c r="IVN89" s="947"/>
      <c r="IVO89" s="947"/>
      <c r="IVP89" s="947"/>
      <c r="IVQ89" s="947"/>
      <c r="IVR89" s="947"/>
      <c r="IVS89" s="947"/>
      <c r="IVT89" s="947"/>
      <c r="IVU89" s="947"/>
      <c r="IVV89" s="947"/>
      <c r="IVW89" s="947"/>
      <c r="IVX89" s="947"/>
      <c r="IVY89" s="947"/>
      <c r="IVZ89" s="947"/>
      <c r="IWA89" s="947"/>
      <c r="IWB89" s="947"/>
      <c r="IWC89" s="947"/>
      <c r="IWD89" s="947"/>
      <c r="IWE89" s="947"/>
      <c r="IWF89" s="947"/>
      <c r="IWG89" s="947"/>
      <c r="IWH89" s="947"/>
      <c r="IWI89" s="947"/>
      <c r="IWJ89" s="947"/>
      <c r="IWK89" s="947"/>
      <c r="IWL89" s="947"/>
      <c r="IWM89" s="947"/>
      <c r="IWN89" s="947"/>
      <c r="IWO89" s="947"/>
      <c r="IWP89" s="947"/>
      <c r="IWQ89" s="947"/>
      <c r="IWR89" s="947"/>
      <c r="IWS89" s="947"/>
      <c r="IWT89" s="947"/>
      <c r="IWU89" s="947"/>
      <c r="IWV89" s="947"/>
      <c r="IWW89" s="947"/>
      <c r="IWX89" s="947"/>
      <c r="IWY89" s="947"/>
      <c r="IWZ89" s="947"/>
      <c r="IXA89" s="947"/>
      <c r="IXB89" s="947"/>
      <c r="IXC89" s="947"/>
      <c r="IXD89" s="947"/>
      <c r="IXE89" s="947"/>
      <c r="IXF89" s="947"/>
      <c r="IXG89" s="947"/>
      <c r="IXH89" s="947"/>
      <c r="IXI89" s="947"/>
      <c r="IXJ89" s="947"/>
      <c r="IXK89" s="947"/>
      <c r="IXL89" s="947"/>
      <c r="IXM89" s="947"/>
      <c r="IXN89" s="947"/>
      <c r="IXO89" s="947"/>
      <c r="IXP89" s="947"/>
      <c r="IXQ89" s="947"/>
      <c r="IXR89" s="947"/>
      <c r="IXS89" s="947"/>
      <c r="IXT89" s="947"/>
      <c r="IXU89" s="947"/>
      <c r="IXV89" s="947"/>
      <c r="IXW89" s="947"/>
      <c r="IXX89" s="947"/>
      <c r="IXY89" s="947"/>
      <c r="IXZ89" s="947"/>
      <c r="IYA89" s="947"/>
      <c r="IYB89" s="947"/>
      <c r="IYC89" s="947"/>
      <c r="IYD89" s="947"/>
      <c r="IYE89" s="947"/>
      <c r="IYF89" s="947"/>
      <c r="IYG89" s="947"/>
      <c r="IYH89" s="947"/>
      <c r="IYI89" s="947"/>
      <c r="IYJ89" s="947"/>
      <c r="IYK89" s="947"/>
      <c r="IYL89" s="947"/>
      <c r="IYM89" s="947"/>
      <c r="IYN89" s="947"/>
      <c r="IYO89" s="947"/>
      <c r="IYP89" s="947"/>
      <c r="IYQ89" s="947"/>
      <c r="IYR89" s="947"/>
      <c r="IYS89" s="947"/>
      <c r="IYT89" s="947"/>
      <c r="IYU89" s="947"/>
      <c r="IYV89" s="947"/>
      <c r="IYW89" s="947"/>
      <c r="IYX89" s="947"/>
      <c r="IYY89" s="947"/>
      <c r="IYZ89" s="947"/>
      <c r="IZA89" s="947"/>
      <c r="IZB89" s="947"/>
      <c r="IZC89" s="947"/>
      <c r="IZD89" s="947"/>
      <c r="IZE89" s="947"/>
      <c r="IZF89" s="947"/>
      <c r="IZG89" s="947"/>
      <c r="IZH89" s="947"/>
      <c r="IZI89" s="947"/>
      <c r="IZJ89" s="947"/>
      <c r="IZK89" s="947"/>
      <c r="IZL89" s="947"/>
      <c r="IZM89" s="947"/>
      <c r="IZN89" s="947"/>
      <c r="IZO89" s="947"/>
      <c r="IZP89" s="947"/>
      <c r="IZQ89" s="947"/>
      <c r="IZR89" s="947"/>
      <c r="IZS89" s="947"/>
      <c r="IZT89" s="947"/>
      <c r="IZU89" s="947"/>
      <c r="IZV89" s="947"/>
      <c r="IZW89" s="947"/>
      <c r="IZX89" s="947"/>
      <c r="IZY89" s="947"/>
      <c r="IZZ89" s="947"/>
      <c r="JAA89" s="947"/>
      <c r="JAB89" s="947"/>
      <c r="JAC89" s="947"/>
      <c r="JAD89" s="947"/>
      <c r="JAE89" s="947"/>
      <c r="JAF89" s="947"/>
      <c r="JAG89" s="947"/>
      <c r="JAH89" s="947"/>
      <c r="JAI89" s="947"/>
      <c r="JAJ89" s="947"/>
      <c r="JAK89" s="947"/>
      <c r="JAL89" s="947"/>
      <c r="JAM89" s="947"/>
      <c r="JAN89" s="947"/>
      <c r="JAO89" s="947"/>
      <c r="JAP89" s="947"/>
      <c r="JAQ89" s="947"/>
      <c r="JAR89" s="947"/>
      <c r="JAS89" s="947"/>
      <c r="JAT89" s="947"/>
      <c r="JAU89" s="947"/>
      <c r="JAV89" s="947"/>
      <c r="JAW89" s="947"/>
      <c r="JAX89" s="947"/>
      <c r="JAY89" s="947"/>
      <c r="JAZ89" s="947"/>
      <c r="JBA89" s="947"/>
      <c r="JBB89" s="947"/>
      <c r="JBC89" s="947"/>
      <c r="JBD89" s="947"/>
      <c r="JBE89" s="947"/>
      <c r="JBF89" s="947"/>
      <c r="JBG89" s="947"/>
      <c r="JBH89" s="947"/>
      <c r="JBI89" s="947"/>
      <c r="JBJ89" s="947"/>
      <c r="JBK89" s="947"/>
      <c r="JBL89" s="947"/>
      <c r="JBM89" s="947"/>
      <c r="JBN89" s="947"/>
      <c r="JBO89" s="947"/>
      <c r="JBP89" s="947"/>
      <c r="JBQ89" s="947"/>
      <c r="JBR89" s="947"/>
      <c r="JBS89" s="947"/>
      <c r="JBT89" s="947"/>
      <c r="JBU89" s="947"/>
      <c r="JBV89" s="947"/>
      <c r="JBW89" s="947"/>
      <c r="JBX89" s="947"/>
      <c r="JBY89" s="947"/>
      <c r="JBZ89" s="947"/>
      <c r="JCA89" s="947"/>
      <c r="JCB89" s="947"/>
      <c r="JCC89" s="947"/>
      <c r="JCD89" s="947"/>
      <c r="JCE89" s="947"/>
      <c r="JCF89" s="947"/>
      <c r="JCG89" s="947"/>
      <c r="JCH89" s="947"/>
      <c r="JCI89" s="947"/>
      <c r="JCJ89" s="947"/>
      <c r="JCK89" s="947"/>
      <c r="JCL89" s="947"/>
      <c r="JCM89" s="947"/>
      <c r="JCN89" s="947"/>
      <c r="JCO89" s="947"/>
      <c r="JCP89" s="947"/>
      <c r="JCQ89" s="947"/>
      <c r="JCR89" s="947"/>
      <c r="JCS89" s="947"/>
      <c r="JCT89" s="947"/>
      <c r="JCU89" s="947"/>
      <c r="JCV89" s="947"/>
      <c r="JCW89" s="947"/>
      <c r="JCX89" s="947"/>
      <c r="JCY89" s="947"/>
      <c r="JCZ89" s="947"/>
      <c r="JDA89" s="947"/>
      <c r="JDB89" s="947"/>
      <c r="JDC89" s="947"/>
      <c r="JDD89" s="947"/>
      <c r="JDE89" s="947"/>
      <c r="JDF89" s="947"/>
      <c r="JDG89" s="947"/>
      <c r="JDH89" s="947"/>
      <c r="JDI89" s="947"/>
      <c r="JDJ89" s="947"/>
      <c r="JDK89" s="947"/>
      <c r="JDL89" s="947"/>
      <c r="JDM89" s="947"/>
      <c r="JDN89" s="947"/>
      <c r="JDO89" s="947"/>
      <c r="JDP89" s="947"/>
      <c r="JDQ89" s="947"/>
      <c r="JDR89" s="947"/>
      <c r="JDS89" s="947"/>
      <c r="JDT89" s="947"/>
      <c r="JDU89" s="947"/>
      <c r="JDV89" s="947"/>
      <c r="JDW89" s="947"/>
      <c r="JDX89" s="947"/>
      <c r="JDY89" s="947"/>
      <c r="JDZ89" s="947"/>
      <c r="JEA89" s="947"/>
      <c r="JEB89" s="947"/>
      <c r="JEC89" s="947"/>
      <c r="JED89" s="947"/>
      <c r="JEE89" s="947"/>
      <c r="JEF89" s="947"/>
      <c r="JEG89" s="947"/>
      <c r="JEH89" s="947"/>
      <c r="JEI89" s="947"/>
      <c r="JEJ89" s="947"/>
      <c r="JEK89" s="947"/>
      <c r="JEL89" s="947"/>
      <c r="JEM89" s="947"/>
      <c r="JEN89" s="947"/>
      <c r="JEO89" s="947"/>
      <c r="JEP89" s="947"/>
      <c r="JEQ89" s="947"/>
      <c r="JER89" s="947"/>
      <c r="JES89" s="947"/>
      <c r="JET89" s="947"/>
      <c r="JEU89" s="947"/>
      <c r="JEV89" s="947"/>
      <c r="JEW89" s="947"/>
      <c r="JEX89" s="947"/>
      <c r="JEY89" s="947"/>
      <c r="JEZ89" s="947"/>
      <c r="JFA89" s="947"/>
      <c r="JFB89" s="947"/>
      <c r="JFC89" s="947"/>
      <c r="JFD89" s="947"/>
      <c r="JFE89" s="947"/>
      <c r="JFF89" s="947"/>
      <c r="JFG89" s="947"/>
      <c r="JFH89" s="947"/>
      <c r="JFI89" s="947"/>
      <c r="JFJ89" s="947"/>
      <c r="JFK89" s="947"/>
      <c r="JFL89" s="947"/>
      <c r="JFM89" s="947"/>
      <c r="JFN89" s="947"/>
      <c r="JFO89" s="947"/>
      <c r="JFP89" s="947"/>
      <c r="JFQ89" s="947"/>
      <c r="JFR89" s="947"/>
      <c r="JFS89" s="947"/>
      <c r="JFT89" s="947"/>
      <c r="JFU89" s="947"/>
      <c r="JFV89" s="947"/>
      <c r="JFW89" s="947"/>
      <c r="JFX89" s="947"/>
      <c r="JFY89" s="947"/>
      <c r="JFZ89" s="947"/>
      <c r="JGA89" s="947"/>
      <c r="JGB89" s="947"/>
      <c r="JGC89" s="947"/>
      <c r="JGD89" s="947"/>
      <c r="JGE89" s="947"/>
      <c r="JGF89" s="947"/>
      <c r="JGG89" s="947"/>
      <c r="JGH89" s="947"/>
      <c r="JGI89" s="947"/>
      <c r="JGJ89" s="947"/>
      <c r="JGK89" s="947"/>
      <c r="JGL89" s="947"/>
      <c r="JGM89" s="947"/>
      <c r="JGN89" s="947"/>
      <c r="JGO89" s="947"/>
      <c r="JGP89" s="947"/>
      <c r="JGQ89" s="947"/>
      <c r="JGR89" s="947"/>
      <c r="JGS89" s="947"/>
      <c r="JGT89" s="947"/>
      <c r="JGU89" s="947"/>
      <c r="JGV89" s="947"/>
      <c r="JGW89" s="947"/>
      <c r="JGX89" s="947"/>
      <c r="JGY89" s="947"/>
      <c r="JGZ89" s="947"/>
      <c r="JHA89" s="947"/>
      <c r="JHB89" s="947"/>
      <c r="JHC89" s="947"/>
      <c r="JHD89" s="947"/>
      <c r="JHE89" s="947"/>
      <c r="JHF89" s="947"/>
      <c r="JHG89" s="947"/>
      <c r="JHH89" s="947"/>
      <c r="JHI89" s="947"/>
      <c r="JHJ89" s="947"/>
      <c r="JHK89" s="947"/>
      <c r="JHL89" s="947"/>
      <c r="JHM89" s="947"/>
      <c r="JHN89" s="947"/>
      <c r="JHO89" s="947"/>
      <c r="JHP89" s="947"/>
      <c r="JHQ89" s="947"/>
      <c r="JHR89" s="947"/>
      <c r="JHS89" s="947"/>
      <c r="JHT89" s="947"/>
      <c r="JHU89" s="947"/>
      <c r="JHV89" s="947"/>
      <c r="JHW89" s="947"/>
      <c r="JHX89" s="947"/>
      <c r="JHY89" s="947"/>
      <c r="JHZ89" s="947"/>
      <c r="JIA89" s="947"/>
      <c r="JIB89" s="947"/>
      <c r="JIC89" s="947"/>
      <c r="JID89" s="947"/>
      <c r="JIE89" s="947"/>
      <c r="JIF89" s="947"/>
      <c r="JIG89" s="947"/>
      <c r="JIH89" s="947"/>
      <c r="JII89" s="947"/>
      <c r="JIJ89" s="947"/>
      <c r="JIK89" s="947"/>
      <c r="JIL89" s="947"/>
      <c r="JIM89" s="947"/>
      <c r="JIN89" s="947"/>
      <c r="JIO89" s="947"/>
      <c r="JIP89" s="947"/>
      <c r="JIQ89" s="947"/>
      <c r="JIR89" s="947"/>
      <c r="JIS89" s="947"/>
      <c r="JIT89" s="947"/>
      <c r="JIU89" s="947"/>
      <c r="JIV89" s="947"/>
      <c r="JIW89" s="947"/>
      <c r="JIX89" s="947"/>
      <c r="JIY89" s="947"/>
      <c r="JIZ89" s="947"/>
      <c r="JJA89" s="947"/>
      <c r="JJB89" s="947"/>
      <c r="JJC89" s="947"/>
      <c r="JJD89" s="947"/>
      <c r="JJE89" s="947"/>
      <c r="JJF89" s="947"/>
      <c r="JJG89" s="947"/>
      <c r="JJH89" s="947"/>
      <c r="JJI89" s="947"/>
      <c r="JJJ89" s="947"/>
      <c r="JJK89" s="947"/>
      <c r="JJL89" s="947"/>
      <c r="JJM89" s="947"/>
      <c r="JJN89" s="947"/>
      <c r="JJO89" s="947"/>
      <c r="JJP89" s="947"/>
      <c r="JJQ89" s="947"/>
      <c r="JJR89" s="947"/>
      <c r="JJS89" s="947"/>
      <c r="JJT89" s="947"/>
      <c r="JJU89" s="947"/>
      <c r="JJV89" s="947"/>
      <c r="JJW89" s="947"/>
      <c r="JJX89" s="947"/>
      <c r="JJY89" s="947"/>
      <c r="JJZ89" s="947"/>
      <c r="JKA89" s="947"/>
      <c r="JKB89" s="947"/>
      <c r="JKC89" s="947"/>
      <c r="JKD89" s="947"/>
      <c r="JKE89" s="947"/>
      <c r="JKF89" s="947"/>
      <c r="JKG89" s="947"/>
      <c r="JKH89" s="947"/>
      <c r="JKI89" s="947"/>
      <c r="JKJ89" s="947"/>
      <c r="JKK89" s="947"/>
      <c r="JKL89" s="947"/>
      <c r="JKM89" s="947"/>
      <c r="JKN89" s="947"/>
      <c r="JKO89" s="947"/>
      <c r="JKP89" s="947"/>
      <c r="JKQ89" s="947"/>
      <c r="JKR89" s="947"/>
      <c r="JKS89" s="947"/>
      <c r="JKT89" s="947"/>
      <c r="JKU89" s="947"/>
      <c r="JKV89" s="947"/>
      <c r="JKW89" s="947"/>
      <c r="JKX89" s="947"/>
      <c r="JKY89" s="947"/>
      <c r="JKZ89" s="947"/>
      <c r="JLA89" s="947"/>
      <c r="JLB89" s="947"/>
      <c r="JLC89" s="947"/>
      <c r="JLD89" s="947"/>
      <c r="JLE89" s="947"/>
      <c r="JLF89" s="947"/>
      <c r="JLG89" s="947"/>
      <c r="JLH89" s="947"/>
      <c r="JLI89" s="947"/>
      <c r="JLJ89" s="947"/>
      <c r="JLK89" s="947"/>
      <c r="JLL89" s="947"/>
      <c r="JLM89" s="947"/>
      <c r="JLN89" s="947"/>
      <c r="JLO89" s="947"/>
      <c r="JLP89" s="947"/>
      <c r="JLQ89" s="947"/>
      <c r="JLR89" s="947"/>
      <c r="JLS89" s="947"/>
      <c r="JLT89" s="947"/>
      <c r="JLU89" s="947"/>
      <c r="JLV89" s="947"/>
      <c r="JLW89" s="947"/>
      <c r="JLX89" s="947"/>
      <c r="JLY89" s="947"/>
      <c r="JLZ89" s="947"/>
      <c r="JMA89" s="947"/>
      <c r="JMB89" s="947"/>
      <c r="JMC89" s="947"/>
      <c r="JMD89" s="947"/>
      <c r="JME89" s="947"/>
      <c r="JMF89" s="947"/>
      <c r="JMG89" s="947"/>
      <c r="JMH89" s="947"/>
      <c r="JMI89" s="947"/>
      <c r="JMJ89" s="947"/>
      <c r="JMK89" s="947"/>
      <c r="JML89" s="947"/>
      <c r="JMM89" s="947"/>
      <c r="JMN89" s="947"/>
      <c r="JMO89" s="947"/>
      <c r="JMP89" s="947"/>
      <c r="JMQ89" s="947"/>
      <c r="JMR89" s="947"/>
      <c r="JMS89" s="947"/>
      <c r="JMT89" s="947"/>
      <c r="JMU89" s="947"/>
      <c r="JMV89" s="947"/>
      <c r="JMW89" s="947"/>
      <c r="JMX89" s="947"/>
      <c r="JMY89" s="947"/>
      <c r="JMZ89" s="947"/>
      <c r="JNA89" s="947"/>
      <c r="JNB89" s="947"/>
      <c r="JNC89" s="947"/>
      <c r="JND89" s="947"/>
      <c r="JNE89" s="947"/>
      <c r="JNF89" s="947"/>
      <c r="JNG89" s="947"/>
      <c r="JNH89" s="947"/>
      <c r="JNI89" s="947"/>
      <c r="JNJ89" s="947"/>
      <c r="JNK89" s="947"/>
      <c r="JNL89" s="947"/>
      <c r="JNM89" s="947"/>
      <c r="JNN89" s="947"/>
      <c r="JNO89" s="947"/>
      <c r="JNP89" s="947"/>
      <c r="JNQ89" s="947"/>
      <c r="JNR89" s="947"/>
      <c r="JNS89" s="947"/>
      <c r="JNT89" s="947"/>
      <c r="JNU89" s="947"/>
      <c r="JNV89" s="947"/>
      <c r="JNW89" s="947"/>
      <c r="JNX89" s="947"/>
      <c r="JNY89" s="947"/>
      <c r="JNZ89" s="947"/>
      <c r="JOA89" s="947"/>
      <c r="JOB89" s="947"/>
      <c r="JOC89" s="947"/>
      <c r="JOD89" s="947"/>
      <c r="JOE89" s="947"/>
      <c r="JOF89" s="947"/>
      <c r="JOG89" s="947"/>
      <c r="JOH89" s="947"/>
      <c r="JOI89" s="947"/>
      <c r="JOJ89" s="947"/>
      <c r="JOK89" s="947"/>
      <c r="JOL89" s="947"/>
      <c r="JOM89" s="947"/>
      <c r="JON89" s="947"/>
      <c r="JOO89" s="947"/>
      <c r="JOP89" s="947"/>
      <c r="JOQ89" s="947"/>
      <c r="JOR89" s="947"/>
      <c r="JOS89" s="947"/>
      <c r="JOT89" s="947"/>
      <c r="JOU89" s="947"/>
      <c r="JOV89" s="947"/>
      <c r="JOW89" s="947"/>
      <c r="JOX89" s="947"/>
      <c r="JOY89" s="947"/>
      <c r="JOZ89" s="947"/>
      <c r="JPA89" s="947"/>
      <c r="JPB89" s="947"/>
      <c r="JPC89" s="947"/>
      <c r="JPD89" s="947"/>
      <c r="JPE89" s="947"/>
      <c r="JPF89" s="947"/>
      <c r="JPG89" s="947"/>
      <c r="JPH89" s="947"/>
      <c r="JPI89" s="947"/>
      <c r="JPJ89" s="947"/>
      <c r="JPK89" s="947"/>
      <c r="JPL89" s="947"/>
      <c r="JPM89" s="947"/>
      <c r="JPN89" s="947"/>
      <c r="JPO89" s="947"/>
      <c r="JPP89" s="947"/>
      <c r="JPQ89" s="947"/>
      <c r="JPR89" s="947"/>
      <c r="JPS89" s="947"/>
      <c r="JPT89" s="947"/>
      <c r="JPU89" s="947"/>
      <c r="JPV89" s="947"/>
      <c r="JPW89" s="947"/>
      <c r="JPX89" s="947"/>
      <c r="JPY89" s="947"/>
      <c r="JPZ89" s="947"/>
      <c r="JQA89" s="947"/>
      <c r="JQB89" s="947"/>
      <c r="JQC89" s="947"/>
      <c r="JQD89" s="947"/>
      <c r="JQE89" s="947"/>
      <c r="JQF89" s="947"/>
      <c r="JQG89" s="947"/>
      <c r="JQH89" s="947"/>
      <c r="JQI89" s="947"/>
      <c r="JQJ89" s="947"/>
      <c r="JQK89" s="947"/>
      <c r="JQL89" s="947"/>
      <c r="JQM89" s="947"/>
      <c r="JQN89" s="947"/>
      <c r="JQO89" s="947"/>
      <c r="JQP89" s="947"/>
      <c r="JQQ89" s="947"/>
      <c r="JQR89" s="947"/>
      <c r="JQS89" s="947"/>
      <c r="JQT89" s="947"/>
      <c r="JQU89" s="947"/>
      <c r="JQV89" s="947"/>
      <c r="JQW89" s="947"/>
      <c r="JQX89" s="947"/>
      <c r="JQY89" s="947"/>
      <c r="JQZ89" s="947"/>
      <c r="JRA89" s="947"/>
      <c r="JRB89" s="947"/>
      <c r="JRC89" s="947"/>
      <c r="JRD89" s="947"/>
      <c r="JRE89" s="947"/>
      <c r="JRF89" s="947"/>
      <c r="JRG89" s="947"/>
      <c r="JRH89" s="947"/>
      <c r="JRI89" s="947"/>
      <c r="JRJ89" s="947"/>
      <c r="JRK89" s="947"/>
      <c r="JRL89" s="947"/>
      <c r="JRM89" s="947"/>
      <c r="JRN89" s="947"/>
      <c r="JRO89" s="947"/>
      <c r="JRP89" s="947"/>
      <c r="JRQ89" s="947"/>
      <c r="JRR89" s="947"/>
      <c r="JRS89" s="947"/>
      <c r="JRT89" s="947"/>
      <c r="JRU89" s="947"/>
      <c r="JRV89" s="947"/>
      <c r="JRW89" s="947"/>
      <c r="JRX89" s="947"/>
      <c r="JRY89" s="947"/>
      <c r="JRZ89" s="947"/>
      <c r="JSA89" s="947"/>
      <c r="JSB89" s="947"/>
      <c r="JSC89" s="947"/>
      <c r="JSD89" s="947"/>
      <c r="JSE89" s="947"/>
      <c r="JSF89" s="947"/>
      <c r="JSG89" s="947"/>
      <c r="JSH89" s="947"/>
      <c r="JSI89" s="947"/>
      <c r="JSJ89" s="947"/>
      <c r="JSK89" s="947"/>
      <c r="JSL89" s="947"/>
      <c r="JSM89" s="947"/>
      <c r="JSN89" s="947"/>
      <c r="JSO89" s="947"/>
      <c r="JSP89" s="947"/>
      <c r="JSQ89" s="947"/>
      <c r="JSR89" s="947"/>
      <c r="JSS89" s="947"/>
      <c r="JST89" s="947"/>
      <c r="JSU89" s="947"/>
      <c r="JSV89" s="947"/>
      <c r="JSW89" s="947"/>
      <c r="JSX89" s="947"/>
      <c r="JSY89" s="947"/>
      <c r="JSZ89" s="947"/>
      <c r="JTA89" s="947"/>
      <c r="JTB89" s="947"/>
      <c r="JTC89" s="947"/>
      <c r="JTD89" s="947"/>
      <c r="JTE89" s="947"/>
      <c r="JTF89" s="947"/>
      <c r="JTG89" s="947"/>
      <c r="JTH89" s="947"/>
      <c r="JTI89" s="947"/>
      <c r="JTJ89" s="947"/>
      <c r="JTK89" s="947"/>
      <c r="JTL89" s="947"/>
      <c r="JTM89" s="947"/>
      <c r="JTN89" s="947"/>
      <c r="JTO89" s="947"/>
      <c r="JTP89" s="947"/>
      <c r="JTQ89" s="947"/>
      <c r="JTR89" s="947"/>
      <c r="JTS89" s="947"/>
      <c r="JTT89" s="947"/>
      <c r="JTU89" s="947"/>
      <c r="JTV89" s="947"/>
      <c r="JTW89" s="947"/>
      <c r="JTX89" s="947"/>
      <c r="JTY89" s="947"/>
      <c r="JTZ89" s="947"/>
      <c r="JUA89" s="947"/>
      <c r="JUB89" s="947"/>
      <c r="JUC89" s="947"/>
      <c r="JUD89" s="947"/>
      <c r="JUE89" s="947"/>
      <c r="JUF89" s="947"/>
      <c r="JUG89" s="947"/>
      <c r="JUH89" s="947"/>
      <c r="JUI89" s="947"/>
      <c r="JUJ89" s="947"/>
      <c r="JUK89" s="947"/>
      <c r="JUL89" s="947"/>
      <c r="JUM89" s="947"/>
      <c r="JUN89" s="947"/>
      <c r="JUO89" s="947"/>
      <c r="JUP89" s="947"/>
      <c r="JUQ89" s="947"/>
      <c r="JUR89" s="947"/>
      <c r="JUS89" s="947"/>
      <c r="JUT89" s="947"/>
      <c r="JUU89" s="947"/>
      <c r="JUV89" s="947"/>
      <c r="JUW89" s="947"/>
      <c r="JUX89" s="947"/>
      <c r="JUY89" s="947"/>
      <c r="JUZ89" s="947"/>
      <c r="JVA89" s="947"/>
      <c r="JVB89" s="947"/>
      <c r="JVC89" s="947"/>
      <c r="JVD89" s="947"/>
      <c r="JVE89" s="947"/>
      <c r="JVF89" s="947"/>
      <c r="JVG89" s="947"/>
      <c r="JVH89" s="947"/>
      <c r="JVI89" s="947"/>
      <c r="JVJ89" s="947"/>
      <c r="JVK89" s="947"/>
      <c r="JVL89" s="947"/>
      <c r="JVM89" s="947"/>
      <c r="JVN89" s="947"/>
      <c r="JVO89" s="947"/>
      <c r="JVP89" s="947"/>
      <c r="JVQ89" s="947"/>
      <c r="JVR89" s="947"/>
      <c r="JVS89" s="947"/>
      <c r="JVT89" s="947"/>
      <c r="JVU89" s="947"/>
      <c r="JVV89" s="947"/>
      <c r="JVW89" s="947"/>
      <c r="JVX89" s="947"/>
      <c r="JVY89" s="947"/>
      <c r="JVZ89" s="947"/>
      <c r="JWA89" s="947"/>
      <c r="JWB89" s="947"/>
      <c r="JWC89" s="947"/>
      <c r="JWD89" s="947"/>
      <c r="JWE89" s="947"/>
      <c r="JWF89" s="947"/>
      <c r="JWG89" s="947"/>
      <c r="JWH89" s="947"/>
      <c r="JWI89" s="947"/>
      <c r="JWJ89" s="947"/>
      <c r="JWK89" s="947"/>
      <c r="JWL89" s="947"/>
      <c r="JWM89" s="947"/>
      <c r="JWN89" s="947"/>
      <c r="JWO89" s="947"/>
      <c r="JWP89" s="947"/>
      <c r="JWQ89" s="947"/>
      <c r="JWR89" s="947"/>
      <c r="JWS89" s="947"/>
      <c r="JWT89" s="947"/>
      <c r="JWU89" s="947"/>
      <c r="JWV89" s="947"/>
      <c r="JWW89" s="947"/>
      <c r="JWX89" s="947"/>
      <c r="JWY89" s="947"/>
      <c r="JWZ89" s="947"/>
      <c r="JXA89" s="947"/>
      <c r="JXB89" s="947"/>
      <c r="JXC89" s="947"/>
      <c r="JXD89" s="947"/>
      <c r="JXE89" s="947"/>
      <c r="JXF89" s="947"/>
      <c r="JXG89" s="947"/>
      <c r="JXH89" s="947"/>
      <c r="JXI89" s="947"/>
      <c r="JXJ89" s="947"/>
      <c r="JXK89" s="947"/>
      <c r="JXL89" s="947"/>
      <c r="JXM89" s="947"/>
      <c r="JXN89" s="947"/>
      <c r="JXO89" s="947"/>
      <c r="JXP89" s="947"/>
      <c r="JXQ89" s="947"/>
      <c r="JXR89" s="947"/>
      <c r="JXS89" s="947"/>
      <c r="JXT89" s="947"/>
      <c r="JXU89" s="947"/>
      <c r="JXV89" s="947"/>
      <c r="JXW89" s="947"/>
      <c r="JXX89" s="947"/>
      <c r="JXY89" s="947"/>
      <c r="JXZ89" s="947"/>
      <c r="JYA89" s="947"/>
      <c r="JYB89" s="947"/>
      <c r="JYC89" s="947"/>
      <c r="JYD89" s="947"/>
      <c r="JYE89" s="947"/>
      <c r="JYF89" s="947"/>
      <c r="JYG89" s="947"/>
      <c r="JYH89" s="947"/>
      <c r="JYI89" s="947"/>
      <c r="JYJ89" s="947"/>
      <c r="JYK89" s="947"/>
      <c r="JYL89" s="947"/>
      <c r="JYM89" s="947"/>
      <c r="JYN89" s="947"/>
      <c r="JYO89" s="947"/>
      <c r="JYP89" s="947"/>
      <c r="JYQ89" s="947"/>
      <c r="JYR89" s="947"/>
      <c r="JYS89" s="947"/>
      <c r="JYT89" s="947"/>
      <c r="JYU89" s="947"/>
      <c r="JYV89" s="947"/>
      <c r="JYW89" s="947"/>
      <c r="JYX89" s="947"/>
      <c r="JYY89" s="947"/>
      <c r="JYZ89" s="947"/>
      <c r="JZA89" s="947"/>
      <c r="JZB89" s="947"/>
      <c r="JZC89" s="947"/>
      <c r="JZD89" s="947"/>
      <c r="JZE89" s="947"/>
      <c r="JZF89" s="947"/>
      <c r="JZG89" s="947"/>
      <c r="JZH89" s="947"/>
      <c r="JZI89" s="947"/>
      <c r="JZJ89" s="947"/>
      <c r="JZK89" s="947"/>
      <c r="JZL89" s="947"/>
      <c r="JZM89" s="947"/>
      <c r="JZN89" s="947"/>
      <c r="JZO89" s="947"/>
      <c r="JZP89" s="947"/>
      <c r="JZQ89" s="947"/>
      <c r="JZR89" s="947"/>
      <c r="JZS89" s="947"/>
      <c r="JZT89" s="947"/>
      <c r="JZU89" s="947"/>
      <c r="JZV89" s="947"/>
      <c r="JZW89" s="947"/>
      <c r="JZX89" s="947"/>
      <c r="JZY89" s="947"/>
      <c r="JZZ89" s="947"/>
      <c r="KAA89" s="947"/>
      <c r="KAB89" s="947"/>
      <c r="KAC89" s="947"/>
      <c r="KAD89" s="947"/>
      <c r="KAE89" s="947"/>
      <c r="KAF89" s="947"/>
      <c r="KAG89" s="947"/>
      <c r="KAH89" s="947"/>
      <c r="KAI89" s="947"/>
      <c r="KAJ89" s="947"/>
      <c r="KAK89" s="947"/>
      <c r="KAL89" s="947"/>
      <c r="KAM89" s="947"/>
      <c r="KAN89" s="947"/>
      <c r="KAO89" s="947"/>
      <c r="KAP89" s="947"/>
      <c r="KAQ89" s="947"/>
      <c r="KAR89" s="947"/>
      <c r="KAS89" s="947"/>
      <c r="KAT89" s="947"/>
      <c r="KAU89" s="947"/>
      <c r="KAV89" s="947"/>
      <c r="KAW89" s="947"/>
      <c r="KAX89" s="947"/>
      <c r="KAY89" s="947"/>
      <c r="KAZ89" s="947"/>
      <c r="KBA89" s="947"/>
      <c r="KBB89" s="947"/>
      <c r="KBC89" s="947"/>
      <c r="KBD89" s="947"/>
      <c r="KBE89" s="947"/>
      <c r="KBF89" s="947"/>
      <c r="KBG89" s="947"/>
      <c r="KBH89" s="947"/>
      <c r="KBI89" s="947"/>
      <c r="KBJ89" s="947"/>
      <c r="KBK89" s="947"/>
      <c r="KBL89" s="947"/>
      <c r="KBM89" s="947"/>
      <c r="KBN89" s="947"/>
      <c r="KBO89" s="947"/>
      <c r="KBP89" s="947"/>
      <c r="KBQ89" s="947"/>
      <c r="KBR89" s="947"/>
      <c r="KBS89" s="947"/>
      <c r="KBT89" s="947"/>
      <c r="KBU89" s="947"/>
      <c r="KBV89" s="947"/>
      <c r="KBW89" s="947"/>
      <c r="KBX89" s="947"/>
      <c r="KBY89" s="947"/>
      <c r="KBZ89" s="947"/>
      <c r="KCA89" s="947"/>
      <c r="KCB89" s="947"/>
      <c r="KCC89" s="947"/>
      <c r="KCD89" s="947"/>
      <c r="KCE89" s="947"/>
      <c r="KCF89" s="947"/>
      <c r="KCG89" s="947"/>
      <c r="KCH89" s="947"/>
      <c r="KCI89" s="947"/>
      <c r="KCJ89" s="947"/>
      <c r="KCK89" s="947"/>
      <c r="KCL89" s="947"/>
      <c r="KCM89" s="947"/>
      <c r="KCN89" s="947"/>
      <c r="KCO89" s="947"/>
      <c r="KCP89" s="947"/>
      <c r="KCQ89" s="947"/>
      <c r="KCR89" s="947"/>
      <c r="KCS89" s="947"/>
      <c r="KCT89" s="947"/>
      <c r="KCU89" s="947"/>
      <c r="KCV89" s="947"/>
      <c r="KCW89" s="947"/>
      <c r="KCX89" s="947"/>
      <c r="KCY89" s="947"/>
      <c r="KCZ89" s="947"/>
      <c r="KDA89" s="947"/>
      <c r="KDB89" s="947"/>
      <c r="KDC89" s="947"/>
      <c r="KDD89" s="947"/>
      <c r="KDE89" s="947"/>
      <c r="KDF89" s="947"/>
      <c r="KDG89" s="947"/>
      <c r="KDH89" s="947"/>
      <c r="KDI89" s="947"/>
      <c r="KDJ89" s="947"/>
      <c r="KDK89" s="947"/>
      <c r="KDL89" s="947"/>
      <c r="KDM89" s="947"/>
      <c r="KDN89" s="947"/>
      <c r="KDO89" s="947"/>
      <c r="KDP89" s="947"/>
      <c r="KDQ89" s="947"/>
      <c r="KDR89" s="947"/>
      <c r="KDS89" s="947"/>
      <c r="KDT89" s="947"/>
      <c r="KDU89" s="947"/>
      <c r="KDV89" s="947"/>
      <c r="KDW89" s="947"/>
      <c r="KDX89" s="947"/>
      <c r="KDY89" s="947"/>
      <c r="KDZ89" s="947"/>
      <c r="KEA89" s="947"/>
      <c r="KEB89" s="947"/>
      <c r="KEC89" s="947"/>
      <c r="KED89" s="947"/>
      <c r="KEE89" s="947"/>
      <c r="KEF89" s="947"/>
      <c r="KEG89" s="947"/>
      <c r="KEH89" s="947"/>
      <c r="KEI89" s="947"/>
      <c r="KEJ89" s="947"/>
      <c r="KEK89" s="947"/>
      <c r="KEL89" s="947"/>
      <c r="KEM89" s="947"/>
      <c r="KEN89" s="947"/>
      <c r="KEO89" s="947"/>
      <c r="KEP89" s="947"/>
      <c r="KEQ89" s="947"/>
      <c r="KER89" s="947"/>
      <c r="KES89" s="947"/>
      <c r="KET89" s="947"/>
      <c r="KEU89" s="947"/>
      <c r="KEV89" s="947"/>
      <c r="KEW89" s="947"/>
      <c r="KEX89" s="947"/>
      <c r="KEY89" s="947"/>
      <c r="KEZ89" s="947"/>
      <c r="KFA89" s="947"/>
      <c r="KFB89" s="947"/>
      <c r="KFC89" s="947"/>
      <c r="KFD89" s="947"/>
      <c r="KFE89" s="947"/>
      <c r="KFF89" s="947"/>
      <c r="KFG89" s="947"/>
      <c r="KFH89" s="947"/>
      <c r="KFI89" s="947"/>
      <c r="KFJ89" s="947"/>
      <c r="KFK89" s="947"/>
      <c r="KFL89" s="947"/>
      <c r="KFM89" s="947"/>
      <c r="KFN89" s="947"/>
      <c r="KFO89" s="947"/>
      <c r="KFP89" s="947"/>
      <c r="KFQ89" s="947"/>
      <c r="KFR89" s="947"/>
      <c r="KFS89" s="947"/>
      <c r="KFT89" s="947"/>
      <c r="KFU89" s="947"/>
      <c r="KFV89" s="947"/>
      <c r="KFW89" s="947"/>
      <c r="KFX89" s="947"/>
      <c r="KFY89" s="947"/>
      <c r="KFZ89" s="947"/>
      <c r="KGA89" s="947"/>
      <c r="KGB89" s="947"/>
      <c r="KGC89" s="947"/>
      <c r="KGD89" s="947"/>
      <c r="KGE89" s="947"/>
      <c r="KGF89" s="947"/>
      <c r="KGG89" s="947"/>
      <c r="KGH89" s="947"/>
      <c r="KGI89" s="947"/>
      <c r="KGJ89" s="947"/>
      <c r="KGK89" s="947"/>
      <c r="KGL89" s="947"/>
      <c r="KGM89" s="947"/>
      <c r="KGN89" s="947"/>
      <c r="KGO89" s="947"/>
      <c r="KGP89" s="947"/>
      <c r="KGQ89" s="947"/>
      <c r="KGR89" s="947"/>
      <c r="KGS89" s="947"/>
      <c r="KGT89" s="947"/>
      <c r="KGU89" s="947"/>
      <c r="KGV89" s="947"/>
      <c r="KGW89" s="947"/>
      <c r="KGX89" s="947"/>
      <c r="KGY89" s="947"/>
      <c r="KGZ89" s="947"/>
      <c r="KHA89" s="947"/>
      <c r="KHB89" s="947"/>
      <c r="KHC89" s="947"/>
      <c r="KHD89" s="947"/>
      <c r="KHE89" s="947"/>
      <c r="KHF89" s="947"/>
      <c r="KHG89" s="947"/>
      <c r="KHH89" s="947"/>
      <c r="KHI89" s="947"/>
      <c r="KHJ89" s="947"/>
      <c r="KHK89" s="947"/>
      <c r="KHL89" s="947"/>
      <c r="KHM89" s="947"/>
      <c r="KHN89" s="947"/>
      <c r="KHO89" s="947"/>
      <c r="KHP89" s="947"/>
      <c r="KHQ89" s="947"/>
      <c r="KHR89" s="947"/>
      <c r="KHS89" s="947"/>
      <c r="KHT89" s="947"/>
      <c r="KHU89" s="947"/>
      <c r="KHV89" s="947"/>
      <c r="KHW89" s="947"/>
      <c r="KHX89" s="947"/>
      <c r="KHY89" s="947"/>
      <c r="KHZ89" s="947"/>
      <c r="KIA89" s="947"/>
      <c r="KIB89" s="947"/>
      <c r="KIC89" s="947"/>
      <c r="KID89" s="947"/>
      <c r="KIE89" s="947"/>
      <c r="KIF89" s="947"/>
      <c r="KIG89" s="947"/>
      <c r="KIH89" s="947"/>
      <c r="KII89" s="947"/>
      <c r="KIJ89" s="947"/>
      <c r="KIK89" s="947"/>
      <c r="KIL89" s="947"/>
      <c r="KIM89" s="947"/>
      <c r="KIN89" s="947"/>
      <c r="KIO89" s="947"/>
      <c r="KIP89" s="947"/>
      <c r="KIQ89" s="947"/>
      <c r="KIR89" s="947"/>
      <c r="KIS89" s="947"/>
      <c r="KIT89" s="947"/>
      <c r="KIU89" s="947"/>
      <c r="KIV89" s="947"/>
      <c r="KIW89" s="947"/>
      <c r="KIX89" s="947"/>
      <c r="KIY89" s="947"/>
      <c r="KIZ89" s="947"/>
      <c r="KJA89" s="947"/>
      <c r="KJB89" s="947"/>
      <c r="KJC89" s="947"/>
      <c r="KJD89" s="947"/>
      <c r="KJE89" s="947"/>
      <c r="KJF89" s="947"/>
      <c r="KJG89" s="947"/>
      <c r="KJH89" s="947"/>
      <c r="KJI89" s="947"/>
      <c r="KJJ89" s="947"/>
      <c r="KJK89" s="947"/>
      <c r="KJL89" s="947"/>
      <c r="KJM89" s="947"/>
      <c r="KJN89" s="947"/>
      <c r="KJO89" s="947"/>
      <c r="KJP89" s="947"/>
      <c r="KJQ89" s="947"/>
      <c r="KJR89" s="947"/>
      <c r="KJS89" s="947"/>
      <c r="KJT89" s="947"/>
      <c r="KJU89" s="947"/>
      <c r="KJV89" s="947"/>
      <c r="KJW89" s="947"/>
      <c r="KJX89" s="947"/>
      <c r="KJY89" s="947"/>
      <c r="KJZ89" s="947"/>
      <c r="KKA89" s="947"/>
      <c r="KKB89" s="947"/>
      <c r="KKC89" s="947"/>
      <c r="KKD89" s="947"/>
      <c r="KKE89" s="947"/>
      <c r="KKF89" s="947"/>
      <c r="KKG89" s="947"/>
      <c r="KKH89" s="947"/>
      <c r="KKI89" s="947"/>
      <c r="KKJ89" s="947"/>
      <c r="KKK89" s="947"/>
      <c r="KKL89" s="947"/>
      <c r="KKM89" s="947"/>
      <c r="KKN89" s="947"/>
      <c r="KKO89" s="947"/>
      <c r="KKP89" s="947"/>
      <c r="KKQ89" s="947"/>
      <c r="KKR89" s="947"/>
      <c r="KKS89" s="947"/>
      <c r="KKT89" s="947"/>
      <c r="KKU89" s="947"/>
      <c r="KKV89" s="947"/>
      <c r="KKW89" s="947"/>
      <c r="KKX89" s="947"/>
      <c r="KKY89" s="947"/>
      <c r="KKZ89" s="947"/>
      <c r="KLA89" s="947"/>
      <c r="KLB89" s="947"/>
      <c r="KLC89" s="947"/>
      <c r="KLD89" s="947"/>
      <c r="KLE89" s="947"/>
      <c r="KLF89" s="947"/>
      <c r="KLG89" s="947"/>
      <c r="KLH89" s="947"/>
      <c r="KLI89" s="947"/>
      <c r="KLJ89" s="947"/>
      <c r="KLK89" s="947"/>
      <c r="KLL89" s="947"/>
      <c r="KLM89" s="947"/>
      <c r="KLN89" s="947"/>
      <c r="KLO89" s="947"/>
      <c r="KLP89" s="947"/>
      <c r="KLQ89" s="947"/>
      <c r="KLR89" s="947"/>
      <c r="KLS89" s="947"/>
      <c r="KLT89" s="947"/>
      <c r="KLU89" s="947"/>
      <c r="KLV89" s="947"/>
      <c r="KLW89" s="947"/>
      <c r="KLX89" s="947"/>
      <c r="KLY89" s="947"/>
      <c r="KLZ89" s="947"/>
      <c r="KMA89" s="947"/>
      <c r="KMB89" s="947"/>
      <c r="KMC89" s="947"/>
      <c r="KMD89" s="947"/>
      <c r="KME89" s="947"/>
      <c r="KMF89" s="947"/>
      <c r="KMG89" s="947"/>
      <c r="KMH89" s="947"/>
      <c r="KMI89" s="947"/>
      <c r="KMJ89" s="947"/>
      <c r="KMK89" s="947"/>
      <c r="KML89" s="947"/>
      <c r="KMM89" s="947"/>
      <c r="KMN89" s="947"/>
      <c r="KMO89" s="947"/>
      <c r="KMP89" s="947"/>
      <c r="KMQ89" s="947"/>
      <c r="KMR89" s="947"/>
      <c r="KMS89" s="947"/>
      <c r="KMT89" s="947"/>
      <c r="KMU89" s="947"/>
      <c r="KMV89" s="947"/>
      <c r="KMW89" s="947"/>
      <c r="KMX89" s="947"/>
      <c r="KMY89" s="947"/>
      <c r="KMZ89" s="947"/>
      <c r="KNA89" s="947"/>
      <c r="KNB89" s="947"/>
      <c r="KNC89" s="947"/>
      <c r="KND89" s="947"/>
      <c r="KNE89" s="947"/>
      <c r="KNF89" s="947"/>
      <c r="KNG89" s="947"/>
      <c r="KNH89" s="947"/>
      <c r="KNI89" s="947"/>
      <c r="KNJ89" s="947"/>
      <c r="KNK89" s="947"/>
      <c r="KNL89" s="947"/>
      <c r="KNM89" s="947"/>
      <c r="KNN89" s="947"/>
      <c r="KNO89" s="947"/>
      <c r="KNP89" s="947"/>
      <c r="KNQ89" s="947"/>
      <c r="KNR89" s="947"/>
      <c r="KNS89" s="947"/>
      <c r="KNT89" s="947"/>
      <c r="KNU89" s="947"/>
      <c r="KNV89" s="947"/>
      <c r="KNW89" s="947"/>
      <c r="KNX89" s="947"/>
      <c r="KNY89" s="947"/>
      <c r="KNZ89" s="947"/>
      <c r="KOA89" s="947"/>
      <c r="KOB89" s="947"/>
      <c r="KOC89" s="947"/>
      <c r="KOD89" s="947"/>
      <c r="KOE89" s="947"/>
      <c r="KOF89" s="947"/>
      <c r="KOG89" s="947"/>
      <c r="KOH89" s="947"/>
      <c r="KOI89" s="947"/>
      <c r="KOJ89" s="947"/>
      <c r="KOK89" s="947"/>
      <c r="KOL89" s="947"/>
      <c r="KOM89" s="947"/>
      <c r="KON89" s="947"/>
      <c r="KOO89" s="947"/>
      <c r="KOP89" s="947"/>
      <c r="KOQ89" s="947"/>
      <c r="KOR89" s="947"/>
      <c r="KOS89" s="947"/>
      <c r="KOT89" s="947"/>
      <c r="KOU89" s="947"/>
      <c r="KOV89" s="947"/>
      <c r="KOW89" s="947"/>
      <c r="KOX89" s="947"/>
      <c r="KOY89" s="947"/>
      <c r="KOZ89" s="947"/>
      <c r="KPA89" s="947"/>
      <c r="KPB89" s="947"/>
      <c r="KPC89" s="947"/>
      <c r="KPD89" s="947"/>
      <c r="KPE89" s="947"/>
      <c r="KPF89" s="947"/>
      <c r="KPG89" s="947"/>
      <c r="KPH89" s="947"/>
      <c r="KPI89" s="947"/>
      <c r="KPJ89" s="947"/>
      <c r="KPK89" s="947"/>
      <c r="KPL89" s="947"/>
      <c r="KPM89" s="947"/>
      <c r="KPN89" s="947"/>
      <c r="KPO89" s="947"/>
      <c r="KPP89" s="947"/>
      <c r="KPQ89" s="947"/>
      <c r="KPR89" s="947"/>
      <c r="KPS89" s="947"/>
      <c r="KPT89" s="947"/>
      <c r="KPU89" s="947"/>
      <c r="KPV89" s="947"/>
      <c r="KPW89" s="947"/>
      <c r="KPX89" s="947"/>
      <c r="KPY89" s="947"/>
      <c r="KPZ89" s="947"/>
      <c r="KQA89" s="947"/>
      <c r="KQB89" s="947"/>
      <c r="KQC89" s="947"/>
      <c r="KQD89" s="947"/>
      <c r="KQE89" s="947"/>
      <c r="KQF89" s="947"/>
      <c r="KQG89" s="947"/>
      <c r="KQH89" s="947"/>
      <c r="KQI89" s="947"/>
      <c r="KQJ89" s="947"/>
      <c r="KQK89" s="947"/>
      <c r="KQL89" s="947"/>
      <c r="KQM89" s="947"/>
      <c r="KQN89" s="947"/>
      <c r="KQO89" s="947"/>
      <c r="KQP89" s="947"/>
      <c r="KQQ89" s="947"/>
      <c r="KQR89" s="947"/>
      <c r="KQS89" s="947"/>
      <c r="KQT89" s="947"/>
      <c r="KQU89" s="947"/>
      <c r="KQV89" s="947"/>
      <c r="KQW89" s="947"/>
      <c r="KQX89" s="947"/>
      <c r="KQY89" s="947"/>
      <c r="KQZ89" s="947"/>
      <c r="KRA89" s="947"/>
      <c r="KRB89" s="947"/>
      <c r="KRC89" s="947"/>
      <c r="KRD89" s="947"/>
      <c r="KRE89" s="947"/>
      <c r="KRF89" s="947"/>
      <c r="KRG89" s="947"/>
      <c r="KRH89" s="947"/>
      <c r="KRI89" s="947"/>
      <c r="KRJ89" s="947"/>
      <c r="KRK89" s="947"/>
      <c r="KRL89" s="947"/>
      <c r="KRM89" s="947"/>
      <c r="KRN89" s="947"/>
      <c r="KRO89" s="947"/>
      <c r="KRP89" s="947"/>
      <c r="KRQ89" s="947"/>
      <c r="KRR89" s="947"/>
      <c r="KRS89" s="947"/>
      <c r="KRT89" s="947"/>
      <c r="KRU89" s="947"/>
      <c r="KRV89" s="947"/>
      <c r="KRW89" s="947"/>
      <c r="KRX89" s="947"/>
      <c r="KRY89" s="947"/>
      <c r="KRZ89" s="947"/>
      <c r="KSA89" s="947"/>
      <c r="KSB89" s="947"/>
      <c r="KSC89" s="947"/>
      <c r="KSD89" s="947"/>
      <c r="KSE89" s="947"/>
      <c r="KSF89" s="947"/>
      <c r="KSG89" s="947"/>
      <c r="KSH89" s="947"/>
      <c r="KSI89" s="947"/>
      <c r="KSJ89" s="947"/>
      <c r="KSK89" s="947"/>
      <c r="KSL89" s="947"/>
      <c r="KSM89" s="947"/>
      <c r="KSN89" s="947"/>
      <c r="KSO89" s="947"/>
      <c r="KSP89" s="947"/>
      <c r="KSQ89" s="947"/>
      <c r="KSR89" s="947"/>
      <c r="KSS89" s="947"/>
      <c r="KST89" s="947"/>
      <c r="KSU89" s="947"/>
      <c r="KSV89" s="947"/>
      <c r="KSW89" s="947"/>
      <c r="KSX89" s="947"/>
      <c r="KSY89" s="947"/>
      <c r="KSZ89" s="947"/>
      <c r="KTA89" s="947"/>
      <c r="KTB89" s="947"/>
      <c r="KTC89" s="947"/>
      <c r="KTD89" s="947"/>
      <c r="KTE89" s="947"/>
      <c r="KTF89" s="947"/>
      <c r="KTG89" s="947"/>
      <c r="KTH89" s="947"/>
      <c r="KTI89" s="947"/>
      <c r="KTJ89" s="947"/>
      <c r="KTK89" s="947"/>
      <c r="KTL89" s="947"/>
      <c r="KTM89" s="947"/>
      <c r="KTN89" s="947"/>
      <c r="KTO89" s="947"/>
      <c r="KTP89" s="947"/>
      <c r="KTQ89" s="947"/>
      <c r="KTR89" s="947"/>
      <c r="KTS89" s="947"/>
      <c r="KTT89" s="947"/>
      <c r="KTU89" s="947"/>
      <c r="KTV89" s="947"/>
      <c r="KTW89" s="947"/>
      <c r="KTX89" s="947"/>
      <c r="KTY89" s="947"/>
      <c r="KTZ89" s="947"/>
      <c r="KUA89" s="947"/>
      <c r="KUB89" s="947"/>
      <c r="KUC89" s="947"/>
      <c r="KUD89" s="947"/>
      <c r="KUE89" s="947"/>
      <c r="KUF89" s="947"/>
      <c r="KUG89" s="947"/>
      <c r="KUH89" s="947"/>
      <c r="KUI89" s="947"/>
      <c r="KUJ89" s="947"/>
      <c r="KUK89" s="947"/>
      <c r="KUL89" s="947"/>
      <c r="KUM89" s="947"/>
      <c r="KUN89" s="947"/>
      <c r="KUO89" s="947"/>
      <c r="KUP89" s="947"/>
      <c r="KUQ89" s="947"/>
      <c r="KUR89" s="947"/>
      <c r="KUS89" s="947"/>
      <c r="KUT89" s="947"/>
      <c r="KUU89" s="947"/>
      <c r="KUV89" s="947"/>
      <c r="KUW89" s="947"/>
      <c r="KUX89" s="947"/>
      <c r="KUY89" s="947"/>
      <c r="KUZ89" s="947"/>
      <c r="KVA89" s="947"/>
      <c r="KVB89" s="947"/>
      <c r="KVC89" s="947"/>
      <c r="KVD89" s="947"/>
      <c r="KVE89" s="947"/>
      <c r="KVF89" s="947"/>
      <c r="KVG89" s="947"/>
      <c r="KVH89" s="947"/>
      <c r="KVI89" s="947"/>
      <c r="KVJ89" s="947"/>
      <c r="KVK89" s="947"/>
      <c r="KVL89" s="947"/>
      <c r="KVM89" s="947"/>
      <c r="KVN89" s="947"/>
      <c r="KVO89" s="947"/>
      <c r="KVP89" s="947"/>
      <c r="KVQ89" s="947"/>
      <c r="KVR89" s="947"/>
      <c r="KVS89" s="947"/>
      <c r="KVT89" s="947"/>
      <c r="KVU89" s="947"/>
      <c r="KVV89" s="947"/>
      <c r="KVW89" s="947"/>
      <c r="KVX89" s="947"/>
      <c r="KVY89" s="947"/>
      <c r="KVZ89" s="947"/>
      <c r="KWA89" s="947"/>
      <c r="KWB89" s="947"/>
      <c r="KWC89" s="947"/>
      <c r="KWD89" s="947"/>
      <c r="KWE89" s="947"/>
      <c r="KWF89" s="947"/>
      <c r="KWG89" s="947"/>
      <c r="KWH89" s="947"/>
      <c r="KWI89" s="947"/>
      <c r="KWJ89" s="947"/>
      <c r="KWK89" s="947"/>
      <c r="KWL89" s="947"/>
      <c r="KWM89" s="947"/>
      <c r="KWN89" s="947"/>
      <c r="KWO89" s="947"/>
      <c r="KWP89" s="947"/>
      <c r="KWQ89" s="947"/>
      <c r="KWR89" s="947"/>
      <c r="KWS89" s="947"/>
      <c r="KWT89" s="947"/>
      <c r="KWU89" s="947"/>
      <c r="KWV89" s="947"/>
      <c r="KWW89" s="947"/>
      <c r="KWX89" s="947"/>
      <c r="KWY89" s="947"/>
      <c r="KWZ89" s="947"/>
      <c r="KXA89" s="947"/>
      <c r="KXB89" s="947"/>
      <c r="KXC89" s="947"/>
      <c r="KXD89" s="947"/>
      <c r="KXE89" s="947"/>
      <c r="KXF89" s="947"/>
      <c r="KXG89" s="947"/>
      <c r="KXH89" s="947"/>
      <c r="KXI89" s="947"/>
      <c r="KXJ89" s="947"/>
      <c r="KXK89" s="947"/>
      <c r="KXL89" s="947"/>
      <c r="KXM89" s="947"/>
      <c r="KXN89" s="947"/>
      <c r="KXO89" s="947"/>
      <c r="KXP89" s="947"/>
      <c r="KXQ89" s="947"/>
      <c r="KXR89" s="947"/>
      <c r="KXS89" s="947"/>
      <c r="KXT89" s="947"/>
      <c r="KXU89" s="947"/>
      <c r="KXV89" s="947"/>
      <c r="KXW89" s="947"/>
      <c r="KXX89" s="947"/>
      <c r="KXY89" s="947"/>
      <c r="KXZ89" s="947"/>
      <c r="KYA89" s="947"/>
      <c r="KYB89" s="947"/>
      <c r="KYC89" s="947"/>
      <c r="KYD89" s="947"/>
      <c r="KYE89" s="947"/>
      <c r="KYF89" s="947"/>
      <c r="KYG89" s="947"/>
      <c r="KYH89" s="947"/>
      <c r="KYI89" s="947"/>
      <c r="KYJ89" s="947"/>
      <c r="KYK89" s="947"/>
      <c r="KYL89" s="947"/>
      <c r="KYM89" s="947"/>
      <c r="KYN89" s="947"/>
      <c r="KYO89" s="947"/>
      <c r="KYP89" s="947"/>
      <c r="KYQ89" s="947"/>
      <c r="KYR89" s="947"/>
      <c r="KYS89" s="947"/>
      <c r="KYT89" s="947"/>
      <c r="KYU89" s="947"/>
      <c r="KYV89" s="947"/>
      <c r="KYW89" s="947"/>
      <c r="KYX89" s="947"/>
      <c r="KYY89" s="947"/>
      <c r="KYZ89" s="947"/>
      <c r="KZA89" s="947"/>
      <c r="KZB89" s="947"/>
      <c r="KZC89" s="947"/>
      <c r="KZD89" s="947"/>
      <c r="KZE89" s="947"/>
      <c r="KZF89" s="947"/>
      <c r="KZG89" s="947"/>
      <c r="KZH89" s="947"/>
      <c r="KZI89" s="947"/>
      <c r="KZJ89" s="947"/>
      <c r="KZK89" s="947"/>
      <c r="KZL89" s="947"/>
      <c r="KZM89" s="947"/>
      <c r="KZN89" s="947"/>
      <c r="KZO89" s="947"/>
      <c r="KZP89" s="947"/>
      <c r="KZQ89" s="947"/>
      <c r="KZR89" s="947"/>
      <c r="KZS89" s="947"/>
      <c r="KZT89" s="947"/>
      <c r="KZU89" s="947"/>
      <c r="KZV89" s="947"/>
      <c r="KZW89" s="947"/>
      <c r="KZX89" s="947"/>
      <c r="KZY89" s="947"/>
      <c r="KZZ89" s="947"/>
      <c r="LAA89" s="947"/>
      <c r="LAB89" s="947"/>
      <c r="LAC89" s="947"/>
      <c r="LAD89" s="947"/>
      <c r="LAE89" s="947"/>
      <c r="LAF89" s="947"/>
      <c r="LAG89" s="947"/>
      <c r="LAH89" s="947"/>
      <c r="LAI89" s="947"/>
      <c r="LAJ89" s="947"/>
      <c r="LAK89" s="947"/>
      <c r="LAL89" s="947"/>
      <c r="LAM89" s="947"/>
      <c r="LAN89" s="947"/>
      <c r="LAO89" s="947"/>
      <c r="LAP89" s="947"/>
      <c r="LAQ89" s="947"/>
      <c r="LAR89" s="947"/>
      <c r="LAS89" s="947"/>
      <c r="LAT89" s="947"/>
      <c r="LAU89" s="947"/>
      <c r="LAV89" s="947"/>
      <c r="LAW89" s="947"/>
      <c r="LAX89" s="947"/>
      <c r="LAY89" s="947"/>
      <c r="LAZ89" s="947"/>
      <c r="LBA89" s="947"/>
      <c r="LBB89" s="947"/>
      <c r="LBC89" s="947"/>
      <c r="LBD89" s="947"/>
      <c r="LBE89" s="947"/>
      <c r="LBF89" s="947"/>
      <c r="LBG89" s="947"/>
      <c r="LBH89" s="947"/>
      <c r="LBI89" s="947"/>
      <c r="LBJ89" s="947"/>
      <c r="LBK89" s="947"/>
      <c r="LBL89" s="947"/>
      <c r="LBM89" s="947"/>
      <c r="LBN89" s="947"/>
      <c r="LBO89" s="947"/>
      <c r="LBP89" s="947"/>
      <c r="LBQ89" s="947"/>
      <c r="LBR89" s="947"/>
      <c r="LBS89" s="947"/>
      <c r="LBT89" s="947"/>
      <c r="LBU89" s="947"/>
      <c r="LBV89" s="947"/>
      <c r="LBW89" s="947"/>
      <c r="LBX89" s="947"/>
      <c r="LBY89" s="947"/>
      <c r="LBZ89" s="947"/>
      <c r="LCA89" s="947"/>
      <c r="LCB89" s="947"/>
      <c r="LCC89" s="947"/>
      <c r="LCD89" s="947"/>
      <c r="LCE89" s="947"/>
      <c r="LCF89" s="947"/>
      <c r="LCG89" s="947"/>
      <c r="LCH89" s="947"/>
      <c r="LCI89" s="947"/>
      <c r="LCJ89" s="947"/>
      <c r="LCK89" s="947"/>
      <c r="LCL89" s="947"/>
      <c r="LCM89" s="947"/>
      <c r="LCN89" s="947"/>
      <c r="LCO89" s="947"/>
      <c r="LCP89" s="947"/>
      <c r="LCQ89" s="947"/>
      <c r="LCR89" s="947"/>
      <c r="LCS89" s="947"/>
      <c r="LCT89" s="947"/>
      <c r="LCU89" s="947"/>
      <c r="LCV89" s="947"/>
      <c r="LCW89" s="947"/>
      <c r="LCX89" s="947"/>
      <c r="LCY89" s="947"/>
      <c r="LCZ89" s="947"/>
      <c r="LDA89" s="947"/>
      <c r="LDB89" s="947"/>
      <c r="LDC89" s="947"/>
      <c r="LDD89" s="947"/>
      <c r="LDE89" s="947"/>
      <c r="LDF89" s="947"/>
      <c r="LDG89" s="947"/>
      <c r="LDH89" s="947"/>
      <c r="LDI89" s="947"/>
      <c r="LDJ89" s="947"/>
      <c r="LDK89" s="947"/>
      <c r="LDL89" s="947"/>
      <c r="LDM89" s="947"/>
      <c r="LDN89" s="947"/>
      <c r="LDO89" s="947"/>
      <c r="LDP89" s="947"/>
      <c r="LDQ89" s="947"/>
      <c r="LDR89" s="947"/>
      <c r="LDS89" s="947"/>
      <c r="LDT89" s="947"/>
      <c r="LDU89" s="947"/>
      <c r="LDV89" s="947"/>
      <c r="LDW89" s="947"/>
      <c r="LDX89" s="947"/>
      <c r="LDY89" s="947"/>
      <c r="LDZ89" s="947"/>
      <c r="LEA89" s="947"/>
      <c r="LEB89" s="947"/>
      <c r="LEC89" s="947"/>
      <c r="LED89" s="947"/>
      <c r="LEE89" s="947"/>
      <c r="LEF89" s="947"/>
      <c r="LEG89" s="947"/>
      <c r="LEH89" s="947"/>
      <c r="LEI89" s="947"/>
      <c r="LEJ89" s="947"/>
      <c r="LEK89" s="947"/>
      <c r="LEL89" s="947"/>
      <c r="LEM89" s="947"/>
      <c r="LEN89" s="947"/>
      <c r="LEO89" s="947"/>
      <c r="LEP89" s="947"/>
      <c r="LEQ89" s="947"/>
      <c r="LER89" s="947"/>
      <c r="LES89" s="947"/>
      <c r="LET89" s="947"/>
      <c r="LEU89" s="947"/>
      <c r="LEV89" s="947"/>
      <c r="LEW89" s="947"/>
      <c r="LEX89" s="947"/>
      <c r="LEY89" s="947"/>
      <c r="LEZ89" s="947"/>
      <c r="LFA89" s="947"/>
      <c r="LFB89" s="947"/>
      <c r="LFC89" s="947"/>
      <c r="LFD89" s="947"/>
      <c r="LFE89" s="947"/>
      <c r="LFF89" s="947"/>
      <c r="LFG89" s="947"/>
      <c r="LFH89" s="947"/>
      <c r="LFI89" s="947"/>
      <c r="LFJ89" s="947"/>
      <c r="LFK89" s="947"/>
      <c r="LFL89" s="947"/>
      <c r="LFM89" s="947"/>
      <c r="LFN89" s="947"/>
      <c r="LFO89" s="947"/>
      <c r="LFP89" s="947"/>
      <c r="LFQ89" s="947"/>
      <c r="LFR89" s="947"/>
      <c r="LFS89" s="947"/>
      <c r="LFT89" s="947"/>
      <c r="LFU89" s="947"/>
      <c r="LFV89" s="947"/>
      <c r="LFW89" s="947"/>
      <c r="LFX89" s="947"/>
      <c r="LFY89" s="947"/>
      <c r="LFZ89" s="947"/>
      <c r="LGA89" s="947"/>
      <c r="LGB89" s="947"/>
      <c r="LGC89" s="947"/>
      <c r="LGD89" s="947"/>
      <c r="LGE89" s="947"/>
      <c r="LGF89" s="947"/>
      <c r="LGG89" s="947"/>
      <c r="LGH89" s="947"/>
      <c r="LGI89" s="947"/>
      <c r="LGJ89" s="947"/>
      <c r="LGK89" s="947"/>
      <c r="LGL89" s="947"/>
      <c r="LGM89" s="947"/>
      <c r="LGN89" s="947"/>
      <c r="LGO89" s="947"/>
      <c r="LGP89" s="947"/>
      <c r="LGQ89" s="947"/>
      <c r="LGR89" s="947"/>
      <c r="LGS89" s="947"/>
      <c r="LGT89" s="947"/>
      <c r="LGU89" s="947"/>
      <c r="LGV89" s="947"/>
      <c r="LGW89" s="947"/>
      <c r="LGX89" s="947"/>
      <c r="LGY89" s="947"/>
      <c r="LGZ89" s="947"/>
      <c r="LHA89" s="947"/>
      <c r="LHB89" s="947"/>
      <c r="LHC89" s="947"/>
      <c r="LHD89" s="947"/>
      <c r="LHE89" s="947"/>
      <c r="LHF89" s="947"/>
      <c r="LHG89" s="947"/>
      <c r="LHH89" s="947"/>
      <c r="LHI89" s="947"/>
      <c r="LHJ89" s="947"/>
      <c r="LHK89" s="947"/>
      <c r="LHL89" s="947"/>
      <c r="LHM89" s="947"/>
      <c r="LHN89" s="947"/>
      <c r="LHO89" s="947"/>
      <c r="LHP89" s="947"/>
      <c r="LHQ89" s="947"/>
      <c r="LHR89" s="947"/>
      <c r="LHS89" s="947"/>
      <c r="LHT89" s="947"/>
      <c r="LHU89" s="947"/>
      <c r="LHV89" s="947"/>
      <c r="LHW89" s="947"/>
      <c r="LHX89" s="947"/>
      <c r="LHY89" s="947"/>
      <c r="LHZ89" s="947"/>
      <c r="LIA89" s="947"/>
      <c r="LIB89" s="947"/>
      <c r="LIC89" s="947"/>
      <c r="LID89" s="947"/>
      <c r="LIE89" s="947"/>
      <c r="LIF89" s="947"/>
      <c r="LIG89" s="947"/>
      <c r="LIH89" s="947"/>
      <c r="LII89" s="947"/>
      <c r="LIJ89" s="947"/>
      <c r="LIK89" s="947"/>
      <c r="LIL89" s="947"/>
      <c r="LIM89" s="947"/>
      <c r="LIN89" s="947"/>
      <c r="LIO89" s="947"/>
      <c r="LIP89" s="947"/>
      <c r="LIQ89" s="947"/>
      <c r="LIR89" s="947"/>
      <c r="LIS89" s="947"/>
      <c r="LIT89" s="947"/>
      <c r="LIU89" s="947"/>
      <c r="LIV89" s="947"/>
      <c r="LIW89" s="947"/>
      <c r="LIX89" s="947"/>
      <c r="LIY89" s="947"/>
      <c r="LIZ89" s="947"/>
      <c r="LJA89" s="947"/>
      <c r="LJB89" s="947"/>
      <c r="LJC89" s="947"/>
      <c r="LJD89" s="947"/>
      <c r="LJE89" s="947"/>
      <c r="LJF89" s="947"/>
      <c r="LJG89" s="947"/>
      <c r="LJH89" s="947"/>
      <c r="LJI89" s="947"/>
      <c r="LJJ89" s="947"/>
      <c r="LJK89" s="947"/>
      <c r="LJL89" s="947"/>
      <c r="LJM89" s="947"/>
      <c r="LJN89" s="947"/>
      <c r="LJO89" s="947"/>
      <c r="LJP89" s="947"/>
      <c r="LJQ89" s="947"/>
      <c r="LJR89" s="947"/>
      <c r="LJS89" s="947"/>
      <c r="LJT89" s="947"/>
      <c r="LJU89" s="947"/>
      <c r="LJV89" s="947"/>
      <c r="LJW89" s="947"/>
      <c r="LJX89" s="947"/>
      <c r="LJY89" s="947"/>
      <c r="LJZ89" s="947"/>
      <c r="LKA89" s="947"/>
      <c r="LKB89" s="947"/>
      <c r="LKC89" s="947"/>
      <c r="LKD89" s="947"/>
      <c r="LKE89" s="947"/>
      <c r="LKF89" s="947"/>
      <c r="LKG89" s="947"/>
      <c r="LKH89" s="947"/>
      <c r="LKI89" s="947"/>
      <c r="LKJ89" s="947"/>
      <c r="LKK89" s="947"/>
      <c r="LKL89" s="947"/>
      <c r="LKM89" s="947"/>
      <c r="LKN89" s="947"/>
      <c r="LKO89" s="947"/>
      <c r="LKP89" s="947"/>
      <c r="LKQ89" s="947"/>
      <c r="LKR89" s="947"/>
      <c r="LKS89" s="947"/>
      <c r="LKT89" s="947"/>
      <c r="LKU89" s="947"/>
      <c r="LKV89" s="947"/>
      <c r="LKW89" s="947"/>
      <c r="LKX89" s="947"/>
      <c r="LKY89" s="947"/>
      <c r="LKZ89" s="947"/>
      <c r="LLA89" s="947"/>
      <c r="LLB89" s="947"/>
      <c r="LLC89" s="947"/>
      <c r="LLD89" s="947"/>
      <c r="LLE89" s="947"/>
      <c r="LLF89" s="947"/>
      <c r="LLG89" s="947"/>
      <c r="LLH89" s="947"/>
      <c r="LLI89" s="947"/>
      <c r="LLJ89" s="947"/>
      <c r="LLK89" s="947"/>
      <c r="LLL89" s="947"/>
      <c r="LLM89" s="947"/>
      <c r="LLN89" s="947"/>
      <c r="LLO89" s="947"/>
      <c r="LLP89" s="947"/>
      <c r="LLQ89" s="947"/>
      <c r="LLR89" s="947"/>
      <c r="LLS89" s="947"/>
      <c r="LLT89" s="947"/>
      <c r="LLU89" s="947"/>
      <c r="LLV89" s="947"/>
      <c r="LLW89" s="947"/>
      <c r="LLX89" s="947"/>
      <c r="LLY89" s="947"/>
      <c r="LLZ89" s="947"/>
      <c r="LMA89" s="947"/>
      <c r="LMB89" s="947"/>
      <c r="LMC89" s="947"/>
      <c r="LMD89" s="947"/>
      <c r="LME89" s="947"/>
      <c r="LMF89" s="947"/>
      <c r="LMG89" s="947"/>
      <c r="LMH89" s="947"/>
      <c r="LMI89" s="947"/>
      <c r="LMJ89" s="947"/>
      <c r="LMK89" s="947"/>
      <c r="LML89" s="947"/>
      <c r="LMM89" s="947"/>
      <c r="LMN89" s="947"/>
      <c r="LMO89" s="947"/>
      <c r="LMP89" s="947"/>
      <c r="LMQ89" s="947"/>
      <c r="LMR89" s="947"/>
      <c r="LMS89" s="947"/>
      <c r="LMT89" s="947"/>
      <c r="LMU89" s="947"/>
      <c r="LMV89" s="947"/>
      <c r="LMW89" s="947"/>
      <c r="LMX89" s="947"/>
      <c r="LMY89" s="947"/>
      <c r="LMZ89" s="947"/>
      <c r="LNA89" s="947"/>
      <c r="LNB89" s="947"/>
      <c r="LNC89" s="947"/>
      <c r="LND89" s="947"/>
      <c r="LNE89" s="947"/>
      <c r="LNF89" s="947"/>
      <c r="LNG89" s="947"/>
      <c r="LNH89" s="947"/>
      <c r="LNI89" s="947"/>
      <c r="LNJ89" s="947"/>
      <c r="LNK89" s="947"/>
      <c r="LNL89" s="947"/>
      <c r="LNM89" s="947"/>
      <c r="LNN89" s="947"/>
      <c r="LNO89" s="947"/>
      <c r="LNP89" s="947"/>
      <c r="LNQ89" s="947"/>
      <c r="LNR89" s="947"/>
      <c r="LNS89" s="947"/>
      <c r="LNT89" s="947"/>
      <c r="LNU89" s="947"/>
      <c r="LNV89" s="947"/>
      <c r="LNW89" s="947"/>
      <c r="LNX89" s="947"/>
      <c r="LNY89" s="947"/>
      <c r="LNZ89" s="947"/>
      <c r="LOA89" s="947"/>
      <c r="LOB89" s="947"/>
      <c r="LOC89" s="947"/>
      <c r="LOD89" s="947"/>
      <c r="LOE89" s="947"/>
      <c r="LOF89" s="947"/>
      <c r="LOG89" s="947"/>
      <c r="LOH89" s="947"/>
      <c r="LOI89" s="947"/>
      <c r="LOJ89" s="947"/>
      <c r="LOK89" s="947"/>
      <c r="LOL89" s="947"/>
      <c r="LOM89" s="947"/>
      <c r="LON89" s="947"/>
      <c r="LOO89" s="947"/>
      <c r="LOP89" s="947"/>
      <c r="LOQ89" s="947"/>
      <c r="LOR89" s="947"/>
      <c r="LOS89" s="947"/>
      <c r="LOT89" s="947"/>
      <c r="LOU89" s="947"/>
      <c r="LOV89" s="947"/>
      <c r="LOW89" s="947"/>
      <c r="LOX89" s="947"/>
      <c r="LOY89" s="947"/>
      <c r="LOZ89" s="947"/>
      <c r="LPA89" s="947"/>
      <c r="LPB89" s="947"/>
      <c r="LPC89" s="947"/>
      <c r="LPD89" s="947"/>
      <c r="LPE89" s="947"/>
      <c r="LPF89" s="947"/>
      <c r="LPG89" s="947"/>
      <c r="LPH89" s="947"/>
      <c r="LPI89" s="947"/>
      <c r="LPJ89" s="947"/>
      <c r="LPK89" s="947"/>
      <c r="LPL89" s="947"/>
      <c r="LPM89" s="947"/>
      <c r="LPN89" s="947"/>
      <c r="LPO89" s="947"/>
      <c r="LPP89" s="947"/>
      <c r="LPQ89" s="947"/>
      <c r="LPR89" s="947"/>
      <c r="LPS89" s="947"/>
      <c r="LPT89" s="947"/>
      <c r="LPU89" s="947"/>
      <c r="LPV89" s="947"/>
      <c r="LPW89" s="947"/>
      <c r="LPX89" s="947"/>
      <c r="LPY89" s="947"/>
      <c r="LPZ89" s="947"/>
      <c r="LQA89" s="947"/>
      <c r="LQB89" s="947"/>
      <c r="LQC89" s="947"/>
      <c r="LQD89" s="947"/>
      <c r="LQE89" s="947"/>
      <c r="LQF89" s="947"/>
      <c r="LQG89" s="947"/>
      <c r="LQH89" s="947"/>
      <c r="LQI89" s="947"/>
      <c r="LQJ89" s="947"/>
      <c r="LQK89" s="947"/>
      <c r="LQL89" s="947"/>
      <c r="LQM89" s="947"/>
      <c r="LQN89" s="947"/>
      <c r="LQO89" s="947"/>
      <c r="LQP89" s="947"/>
      <c r="LQQ89" s="947"/>
      <c r="LQR89" s="947"/>
      <c r="LQS89" s="947"/>
      <c r="LQT89" s="947"/>
      <c r="LQU89" s="947"/>
      <c r="LQV89" s="947"/>
      <c r="LQW89" s="947"/>
      <c r="LQX89" s="947"/>
      <c r="LQY89" s="947"/>
      <c r="LQZ89" s="947"/>
      <c r="LRA89" s="947"/>
      <c r="LRB89" s="947"/>
      <c r="LRC89" s="947"/>
      <c r="LRD89" s="947"/>
      <c r="LRE89" s="947"/>
      <c r="LRF89" s="947"/>
      <c r="LRG89" s="947"/>
      <c r="LRH89" s="947"/>
      <c r="LRI89" s="947"/>
      <c r="LRJ89" s="947"/>
      <c r="LRK89" s="947"/>
      <c r="LRL89" s="947"/>
      <c r="LRM89" s="947"/>
      <c r="LRN89" s="947"/>
      <c r="LRO89" s="947"/>
      <c r="LRP89" s="947"/>
      <c r="LRQ89" s="947"/>
      <c r="LRR89" s="947"/>
      <c r="LRS89" s="947"/>
      <c r="LRT89" s="947"/>
      <c r="LRU89" s="947"/>
      <c r="LRV89" s="947"/>
      <c r="LRW89" s="947"/>
      <c r="LRX89" s="947"/>
      <c r="LRY89" s="947"/>
      <c r="LRZ89" s="947"/>
      <c r="LSA89" s="947"/>
      <c r="LSB89" s="947"/>
      <c r="LSC89" s="947"/>
      <c r="LSD89" s="947"/>
      <c r="LSE89" s="947"/>
      <c r="LSF89" s="947"/>
      <c r="LSG89" s="947"/>
      <c r="LSH89" s="947"/>
      <c r="LSI89" s="947"/>
      <c r="LSJ89" s="947"/>
      <c r="LSK89" s="947"/>
      <c r="LSL89" s="947"/>
      <c r="LSM89" s="947"/>
      <c r="LSN89" s="947"/>
      <c r="LSO89" s="947"/>
      <c r="LSP89" s="947"/>
      <c r="LSQ89" s="947"/>
      <c r="LSR89" s="947"/>
      <c r="LSS89" s="947"/>
      <c r="LST89" s="947"/>
      <c r="LSU89" s="947"/>
      <c r="LSV89" s="947"/>
      <c r="LSW89" s="947"/>
      <c r="LSX89" s="947"/>
      <c r="LSY89" s="947"/>
      <c r="LSZ89" s="947"/>
      <c r="LTA89" s="947"/>
      <c r="LTB89" s="947"/>
      <c r="LTC89" s="947"/>
      <c r="LTD89" s="947"/>
      <c r="LTE89" s="947"/>
      <c r="LTF89" s="947"/>
      <c r="LTG89" s="947"/>
      <c r="LTH89" s="947"/>
      <c r="LTI89" s="947"/>
      <c r="LTJ89" s="947"/>
      <c r="LTK89" s="947"/>
      <c r="LTL89" s="947"/>
      <c r="LTM89" s="947"/>
      <c r="LTN89" s="947"/>
      <c r="LTO89" s="947"/>
      <c r="LTP89" s="947"/>
      <c r="LTQ89" s="947"/>
      <c r="LTR89" s="947"/>
      <c r="LTS89" s="947"/>
      <c r="LTT89" s="947"/>
      <c r="LTU89" s="947"/>
      <c r="LTV89" s="947"/>
      <c r="LTW89" s="947"/>
      <c r="LTX89" s="947"/>
      <c r="LTY89" s="947"/>
      <c r="LTZ89" s="947"/>
      <c r="LUA89" s="947"/>
      <c r="LUB89" s="947"/>
      <c r="LUC89" s="947"/>
      <c r="LUD89" s="947"/>
      <c r="LUE89" s="947"/>
      <c r="LUF89" s="947"/>
      <c r="LUG89" s="947"/>
      <c r="LUH89" s="947"/>
      <c r="LUI89" s="947"/>
      <c r="LUJ89" s="947"/>
      <c r="LUK89" s="947"/>
      <c r="LUL89" s="947"/>
      <c r="LUM89" s="947"/>
      <c r="LUN89" s="947"/>
      <c r="LUO89" s="947"/>
      <c r="LUP89" s="947"/>
      <c r="LUQ89" s="947"/>
      <c r="LUR89" s="947"/>
      <c r="LUS89" s="947"/>
      <c r="LUT89" s="947"/>
      <c r="LUU89" s="947"/>
      <c r="LUV89" s="947"/>
      <c r="LUW89" s="947"/>
      <c r="LUX89" s="947"/>
      <c r="LUY89" s="947"/>
      <c r="LUZ89" s="947"/>
      <c r="LVA89" s="947"/>
      <c r="LVB89" s="947"/>
      <c r="LVC89" s="947"/>
      <c r="LVD89" s="947"/>
      <c r="LVE89" s="947"/>
      <c r="LVF89" s="947"/>
      <c r="LVG89" s="947"/>
      <c r="LVH89" s="947"/>
      <c r="LVI89" s="947"/>
      <c r="LVJ89" s="947"/>
      <c r="LVK89" s="947"/>
      <c r="LVL89" s="947"/>
      <c r="LVM89" s="947"/>
      <c r="LVN89" s="947"/>
      <c r="LVO89" s="947"/>
      <c r="LVP89" s="947"/>
      <c r="LVQ89" s="947"/>
      <c r="LVR89" s="947"/>
      <c r="LVS89" s="947"/>
      <c r="LVT89" s="947"/>
      <c r="LVU89" s="947"/>
      <c r="LVV89" s="947"/>
      <c r="LVW89" s="947"/>
      <c r="LVX89" s="947"/>
      <c r="LVY89" s="947"/>
      <c r="LVZ89" s="947"/>
      <c r="LWA89" s="947"/>
      <c r="LWB89" s="947"/>
      <c r="LWC89" s="947"/>
      <c r="LWD89" s="947"/>
      <c r="LWE89" s="947"/>
      <c r="LWF89" s="947"/>
      <c r="LWG89" s="947"/>
      <c r="LWH89" s="947"/>
      <c r="LWI89" s="947"/>
      <c r="LWJ89" s="947"/>
      <c r="LWK89" s="947"/>
      <c r="LWL89" s="947"/>
      <c r="LWM89" s="947"/>
      <c r="LWN89" s="947"/>
      <c r="LWO89" s="947"/>
      <c r="LWP89" s="947"/>
      <c r="LWQ89" s="947"/>
      <c r="LWR89" s="947"/>
      <c r="LWS89" s="947"/>
      <c r="LWT89" s="947"/>
      <c r="LWU89" s="947"/>
      <c r="LWV89" s="947"/>
      <c r="LWW89" s="947"/>
      <c r="LWX89" s="947"/>
      <c r="LWY89" s="947"/>
      <c r="LWZ89" s="947"/>
      <c r="LXA89" s="947"/>
      <c r="LXB89" s="947"/>
      <c r="LXC89" s="947"/>
      <c r="LXD89" s="947"/>
      <c r="LXE89" s="947"/>
      <c r="LXF89" s="947"/>
      <c r="LXG89" s="947"/>
      <c r="LXH89" s="947"/>
      <c r="LXI89" s="947"/>
      <c r="LXJ89" s="947"/>
      <c r="LXK89" s="947"/>
      <c r="LXL89" s="947"/>
      <c r="LXM89" s="947"/>
      <c r="LXN89" s="947"/>
      <c r="LXO89" s="947"/>
      <c r="LXP89" s="947"/>
      <c r="LXQ89" s="947"/>
      <c r="LXR89" s="947"/>
      <c r="LXS89" s="947"/>
      <c r="LXT89" s="947"/>
      <c r="LXU89" s="947"/>
      <c r="LXV89" s="947"/>
      <c r="LXW89" s="947"/>
      <c r="LXX89" s="947"/>
      <c r="LXY89" s="947"/>
      <c r="LXZ89" s="947"/>
      <c r="LYA89" s="947"/>
      <c r="LYB89" s="947"/>
      <c r="LYC89" s="947"/>
      <c r="LYD89" s="947"/>
      <c r="LYE89" s="947"/>
      <c r="LYF89" s="947"/>
      <c r="LYG89" s="947"/>
      <c r="LYH89" s="947"/>
      <c r="LYI89" s="947"/>
      <c r="LYJ89" s="947"/>
      <c r="LYK89" s="947"/>
      <c r="LYL89" s="947"/>
      <c r="LYM89" s="947"/>
      <c r="LYN89" s="947"/>
      <c r="LYO89" s="947"/>
      <c r="LYP89" s="947"/>
      <c r="LYQ89" s="947"/>
      <c r="LYR89" s="947"/>
      <c r="LYS89" s="947"/>
      <c r="LYT89" s="947"/>
      <c r="LYU89" s="947"/>
      <c r="LYV89" s="947"/>
      <c r="LYW89" s="947"/>
      <c r="LYX89" s="947"/>
      <c r="LYY89" s="947"/>
      <c r="LYZ89" s="947"/>
      <c r="LZA89" s="947"/>
      <c r="LZB89" s="947"/>
      <c r="LZC89" s="947"/>
      <c r="LZD89" s="947"/>
      <c r="LZE89" s="947"/>
      <c r="LZF89" s="947"/>
      <c r="LZG89" s="947"/>
      <c r="LZH89" s="947"/>
      <c r="LZI89" s="947"/>
      <c r="LZJ89" s="947"/>
      <c r="LZK89" s="947"/>
      <c r="LZL89" s="947"/>
      <c r="LZM89" s="947"/>
      <c r="LZN89" s="947"/>
      <c r="LZO89" s="947"/>
      <c r="LZP89" s="947"/>
      <c r="LZQ89" s="947"/>
      <c r="LZR89" s="947"/>
      <c r="LZS89" s="947"/>
      <c r="LZT89" s="947"/>
      <c r="LZU89" s="947"/>
      <c r="LZV89" s="947"/>
      <c r="LZW89" s="947"/>
      <c r="LZX89" s="947"/>
      <c r="LZY89" s="947"/>
      <c r="LZZ89" s="947"/>
      <c r="MAA89" s="947"/>
      <c r="MAB89" s="947"/>
      <c r="MAC89" s="947"/>
      <c r="MAD89" s="947"/>
      <c r="MAE89" s="947"/>
      <c r="MAF89" s="947"/>
      <c r="MAG89" s="947"/>
      <c r="MAH89" s="947"/>
      <c r="MAI89" s="947"/>
      <c r="MAJ89" s="947"/>
      <c r="MAK89" s="947"/>
      <c r="MAL89" s="947"/>
      <c r="MAM89" s="947"/>
      <c r="MAN89" s="947"/>
      <c r="MAO89" s="947"/>
      <c r="MAP89" s="947"/>
      <c r="MAQ89" s="947"/>
      <c r="MAR89" s="947"/>
      <c r="MAS89" s="947"/>
      <c r="MAT89" s="947"/>
      <c r="MAU89" s="947"/>
      <c r="MAV89" s="947"/>
      <c r="MAW89" s="947"/>
      <c r="MAX89" s="947"/>
      <c r="MAY89" s="947"/>
      <c r="MAZ89" s="947"/>
      <c r="MBA89" s="947"/>
      <c r="MBB89" s="947"/>
      <c r="MBC89" s="947"/>
      <c r="MBD89" s="947"/>
      <c r="MBE89" s="947"/>
      <c r="MBF89" s="947"/>
      <c r="MBG89" s="947"/>
      <c r="MBH89" s="947"/>
      <c r="MBI89" s="947"/>
      <c r="MBJ89" s="947"/>
      <c r="MBK89" s="947"/>
      <c r="MBL89" s="947"/>
      <c r="MBM89" s="947"/>
      <c r="MBN89" s="947"/>
      <c r="MBO89" s="947"/>
      <c r="MBP89" s="947"/>
      <c r="MBQ89" s="947"/>
      <c r="MBR89" s="947"/>
      <c r="MBS89" s="947"/>
      <c r="MBT89" s="947"/>
      <c r="MBU89" s="947"/>
      <c r="MBV89" s="947"/>
      <c r="MBW89" s="947"/>
      <c r="MBX89" s="947"/>
      <c r="MBY89" s="947"/>
      <c r="MBZ89" s="947"/>
      <c r="MCA89" s="947"/>
      <c r="MCB89" s="947"/>
      <c r="MCC89" s="947"/>
      <c r="MCD89" s="947"/>
      <c r="MCE89" s="947"/>
      <c r="MCF89" s="947"/>
      <c r="MCG89" s="947"/>
      <c r="MCH89" s="947"/>
      <c r="MCI89" s="947"/>
      <c r="MCJ89" s="947"/>
      <c r="MCK89" s="947"/>
      <c r="MCL89" s="947"/>
      <c r="MCM89" s="947"/>
      <c r="MCN89" s="947"/>
      <c r="MCO89" s="947"/>
      <c r="MCP89" s="947"/>
      <c r="MCQ89" s="947"/>
      <c r="MCR89" s="947"/>
      <c r="MCS89" s="947"/>
      <c r="MCT89" s="947"/>
      <c r="MCU89" s="947"/>
      <c r="MCV89" s="947"/>
      <c r="MCW89" s="947"/>
      <c r="MCX89" s="947"/>
      <c r="MCY89" s="947"/>
      <c r="MCZ89" s="947"/>
      <c r="MDA89" s="947"/>
      <c r="MDB89" s="947"/>
      <c r="MDC89" s="947"/>
      <c r="MDD89" s="947"/>
      <c r="MDE89" s="947"/>
      <c r="MDF89" s="947"/>
      <c r="MDG89" s="947"/>
      <c r="MDH89" s="947"/>
      <c r="MDI89" s="947"/>
      <c r="MDJ89" s="947"/>
      <c r="MDK89" s="947"/>
      <c r="MDL89" s="947"/>
      <c r="MDM89" s="947"/>
      <c r="MDN89" s="947"/>
      <c r="MDO89" s="947"/>
      <c r="MDP89" s="947"/>
      <c r="MDQ89" s="947"/>
      <c r="MDR89" s="947"/>
      <c r="MDS89" s="947"/>
      <c r="MDT89" s="947"/>
      <c r="MDU89" s="947"/>
      <c r="MDV89" s="947"/>
      <c r="MDW89" s="947"/>
      <c r="MDX89" s="947"/>
      <c r="MDY89" s="947"/>
      <c r="MDZ89" s="947"/>
      <c r="MEA89" s="947"/>
      <c r="MEB89" s="947"/>
      <c r="MEC89" s="947"/>
      <c r="MED89" s="947"/>
      <c r="MEE89" s="947"/>
      <c r="MEF89" s="947"/>
      <c r="MEG89" s="947"/>
      <c r="MEH89" s="947"/>
      <c r="MEI89" s="947"/>
      <c r="MEJ89" s="947"/>
      <c r="MEK89" s="947"/>
      <c r="MEL89" s="947"/>
      <c r="MEM89" s="947"/>
      <c r="MEN89" s="947"/>
      <c r="MEO89" s="947"/>
      <c r="MEP89" s="947"/>
      <c r="MEQ89" s="947"/>
      <c r="MER89" s="947"/>
      <c r="MES89" s="947"/>
      <c r="MET89" s="947"/>
      <c r="MEU89" s="947"/>
      <c r="MEV89" s="947"/>
      <c r="MEW89" s="947"/>
      <c r="MEX89" s="947"/>
      <c r="MEY89" s="947"/>
      <c r="MEZ89" s="947"/>
      <c r="MFA89" s="947"/>
      <c r="MFB89" s="947"/>
      <c r="MFC89" s="947"/>
      <c r="MFD89" s="947"/>
      <c r="MFE89" s="947"/>
      <c r="MFF89" s="947"/>
      <c r="MFG89" s="947"/>
      <c r="MFH89" s="947"/>
      <c r="MFI89" s="947"/>
      <c r="MFJ89" s="947"/>
      <c r="MFK89" s="947"/>
      <c r="MFL89" s="947"/>
      <c r="MFM89" s="947"/>
      <c r="MFN89" s="947"/>
      <c r="MFO89" s="947"/>
      <c r="MFP89" s="947"/>
      <c r="MFQ89" s="947"/>
      <c r="MFR89" s="947"/>
      <c r="MFS89" s="947"/>
      <c r="MFT89" s="947"/>
      <c r="MFU89" s="947"/>
      <c r="MFV89" s="947"/>
      <c r="MFW89" s="947"/>
      <c r="MFX89" s="947"/>
      <c r="MFY89" s="947"/>
      <c r="MFZ89" s="947"/>
      <c r="MGA89" s="947"/>
      <c r="MGB89" s="947"/>
      <c r="MGC89" s="947"/>
      <c r="MGD89" s="947"/>
      <c r="MGE89" s="947"/>
      <c r="MGF89" s="947"/>
      <c r="MGG89" s="947"/>
      <c r="MGH89" s="947"/>
      <c r="MGI89" s="947"/>
      <c r="MGJ89" s="947"/>
      <c r="MGK89" s="947"/>
      <c r="MGL89" s="947"/>
      <c r="MGM89" s="947"/>
      <c r="MGN89" s="947"/>
      <c r="MGO89" s="947"/>
      <c r="MGP89" s="947"/>
      <c r="MGQ89" s="947"/>
      <c r="MGR89" s="947"/>
      <c r="MGS89" s="947"/>
      <c r="MGT89" s="947"/>
      <c r="MGU89" s="947"/>
      <c r="MGV89" s="947"/>
      <c r="MGW89" s="947"/>
      <c r="MGX89" s="947"/>
      <c r="MGY89" s="947"/>
      <c r="MGZ89" s="947"/>
      <c r="MHA89" s="947"/>
      <c r="MHB89" s="947"/>
      <c r="MHC89" s="947"/>
      <c r="MHD89" s="947"/>
      <c r="MHE89" s="947"/>
      <c r="MHF89" s="947"/>
      <c r="MHG89" s="947"/>
      <c r="MHH89" s="947"/>
      <c r="MHI89" s="947"/>
      <c r="MHJ89" s="947"/>
      <c r="MHK89" s="947"/>
      <c r="MHL89" s="947"/>
      <c r="MHM89" s="947"/>
      <c r="MHN89" s="947"/>
      <c r="MHO89" s="947"/>
      <c r="MHP89" s="947"/>
      <c r="MHQ89" s="947"/>
      <c r="MHR89" s="947"/>
      <c r="MHS89" s="947"/>
      <c r="MHT89" s="947"/>
      <c r="MHU89" s="947"/>
      <c r="MHV89" s="947"/>
      <c r="MHW89" s="947"/>
      <c r="MHX89" s="947"/>
      <c r="MHY89" s="947"/>
      <c r="MHZ89" s="947"/>
      <c r="MIA89" s="947"/>
      <c r="MIB89" s="947"/>
      <c r="MIC89" s="947"/>
      <c r="MID89" s="947"/>
      <c r="MIE89" s="947"/>
      <c r="MIF89" s="947"/>
      <c r="MIG89" s="947"/>
      <c r="MIH89" s="947"/>
      <c r="MII89" s="947"/>
      <c r="MIJ89" s="947"/>
      <c r="MIK89" s="947"/>
      <c r="MIL89" s="947"/>
      <c r="MIM89" s="947"/>
      <c r="MIN89" s="947"/>
      <c r="MIO89" s="947"/>
      <c r="MIP89" s="947"/>
      <c r="MIQ89" s="947"/>
      <c r="MIR89" s="947"/>
      <c r="MIS89" s="947"/>
      <c r="MIT89" s="947"/>
      <c r="MIU89" s="947"/>
      <c r="MIV89" s="947"/>
      <c r="MIW89" s="947"/>
      <c r="MIX89" s="947"/>
      <c r="MIY89" s="947"/>
      <c r="MIZ89" s="947"/>
      <c r="MJA89" s="947"/>
      <c r="MJB89" s="947"/>
      <c r="MJC89" s="947"/>
      <c r="MJD89" s="947"/>
      <c r="MJE89" s="947"/>
      <c r="MJF89" s="947"/>
      <c r="MJG89" s="947"/>
      <c r="MJH89" s="947"/>
      <c r="MJI89" s="947"/>
      <c r="MJJ89" s="947"/>
      <c r="MJK89" s="947"/>
      <c r="MJL89" s="947"/>
      <c r="MJM89" s="947"/>
      <c r="MJN89" s="947"/>
      <c r="MJO89" s="947"/>
      <c r="MJP89" s="947"/>
      <c r="MJQ89" s="947"/>
      <c r="MJR89" s="947"/>
      <c r="MJS89" s="947"/>
      <c r="MJT89" s="947"/>
      <c r="MJU89" s="947"/>
      <c r="MJV89" s="947"/>
      <c r="MJW89" s="947"/>
      <c r="MJX89" s="947"/>
      <c r="MJY89" s="947"/>
      <c r="MJZ89" s="947"/>
      <c r="MKA89" s="947"/>
      <c r="MKB89" s="947"/>
      <c r="MKC89" s="947"/>
      <c r="MKD89" s="947"/>
      <c r="MKE89" s="947"/>
      <c r="MKF89" s="947"/>
      <c r="MKG89" s="947"/>
      <c r="MKH89" s="947"/>
      <c r="MKI89" s="947"/>
      <c r="MKJ89" s="947"/>
      <c r="MKK89" s="947"/>
      <c r="MKL89" s="947"/>
      <c r="MKM89" s="947"/>
      <c r="MKN89" s="947"/>
      <c r="MKO89" s="947"/>
      <c r="MKP89" s="947"/>
      <c r="MKQ89" s="947"/>
      <c r="MKR89" s="947"/>
      <c r="MKS89" s="947"/>
      <c r="MKT89" s="947"/>
      <c r="MKU89" s="947"/>
      <c r="MKV89" s="947"/>
      <c r="MKW89" s="947"/>
      <c r="MKX89" s="947"/>
      <c r="MKY89" s="947"/>
      <c r="MKZ89" s="947"/>
      <c r="MLA89" s="947"/>
      <c r="MLB89" s="947"/>
      <c r="MLC89" s="947"/>
      <c r="MLD89" s="947"/>
      <c r="MLE89" s="947"/>
      <c r="MLF89" s="947"/>
      <c r="MLG89" s="947"/>
      <c r="MLH89" s="947"/>
      <c r="MLI89" s="947"/>
      <c r="MLJ89" s="947"/>
      <c r="MLK89" s="947"/>
      <c r="MLL89" s="947"/>
      <c r="MLM89" s="947"/>
      <c r="MLN89" s="947"/>
      <c r="MLO89" s="947"/>
      <c r="MLP89" s="947"/>
      <c r="MLQ89" s="947"/>
      <c r="MLR89" s="947"/>
      <c r="MLS89" s="947"/>
      <c r="MLT89" s="947"/>
      <c r="MLU89" s="947"/>
      <c r="MLV89" s="947"/>
      <c r="MLW89" s="947"/>
      <c r="MLX89" s="947"/>
      <c r="MLY89" s="947"/>
      <c r="MLZ89" s="947"/>
      <c r="MMA89" s="947"/>
      <c r="MMB89" s="947"/>
      <c r="MMC89" s="947"/>
      <c r="MMD89" s="947"/>
      <c r="MME89" s="947"/>
      <c r="MMF89" s="947"/>
      <c r="MMG89" s="947"/>
      <c r="MMH89" s="947"/>
      <c r="MMI89" s="947"/>
      <c r="MMJ89" s="947"/>
      <c r="MMK89" s="947"/>
      <c r="MML89" s="947"/>
      <c r="MMM89" s="947"/>
      <c r="MMN89" s="947"/>
      <c r="MMO89" s="947"/>
      <c r="MMP89" s="947"/>
      <c r="MMQ89" s="947"/>
      <c r="MMR89" s="947"/>
      <c r="MMS89" s="947"/>
      <c r="MMT89" s="947"/>
      <c r="MMU89" s="947"/>
      <c r="MMV89" s="947"/>
      <c r="MMW89" s="947"/>
      <c r="MMX89" s="947"/>
      <c r="MMY89" s="947"/>
      <c r="MMZ89" s="947"/>
      <c r="MNA89" s="947"/>
      <c r="MNB89" s="947"/>
      <c r="MNC89" s="947"/>
      <c r="MND89" s="947"/>
      <c r="MNE89" s="947"/>
      <c r="MNF89" s="947"/>
      <c r="MNG89" s="947"/>
      <c r="MNH89" s="947"/>
      <c r="MNI89" s="947"/>
      <c r="MNJ89" s="947"/>
      <c r="MNK89" s="947"/>
      <c r="MNL89" s="947"/>
      <c r="MNM89" s="947"/>
      <c r="MNN89" s="947"/>
      <c r="MNO89" s="947"/>
      <c r="MNP89" s="947"/>
      <c r="MNQ89" s="947"/>
      <c r="MNR89" s="947"/>
      <c r="MNS89" s="947"/>
      <c r="MNT89" s="947"/>
      <c r="MNU89" s="947"/>
      <c r="MNV89" s="947"/>
      <c r="MNW89" s="947"/>
      <c r="MNX89" s="947"/>
      <c r="MNY89" s="947"/>
      <c r="MNZ89" s="947"/>
      <c r="MOA89" s="947"/>
      <c r="MOB89" s="947"/>
      <c r="MOC89" s="947"/>
      <c r="MOD89" s="947"/>
      <c r="MOE89" s="947"/>
      <c r="MOF89" s="947"/>
      <c r="MOG89" s="947"/>
      <c r="MOH89" s="947"/>
      <c r="MOI89" s="947"/>
      <c r="MOJ89" s="947"/>
      <c r="MOK89" s="947"/>
      <c r="MOL89" s="947"/>
      <c r="MOM89" s="947"/>
      <c r="MON89" s="947"/>
      <c r="MOO89" s="947"/>
      <c r="MOP89" s="947"/>
      <c r="MOQ89" s="947"/>
      <c r="MOR89" s="947"/>
      <c r="MOS89" s="947"/>
      <c r="MOT89" s="947"/>
      <c r="MOU89" s="947"/>
      <c r="MOV89" s="947"/>
      <c r="MOW89" s="947"/>
      <c r="MOX89" s="947"/>
      <c r="MOY89" s="947"/>
      <c r="MOZ89" s="947"/>
      <c r="MPA89" s="947"/>
      <c r="MPB89" s="947"/>
      <c r="MPC89" s="947"/>
      <c r="MPD89" s="947"/>
      <c r="MPE89" s="947"/>
      <c r="MPF89" s="947"/>
      <c r="MPG89" s="947"/>
      <c r="MPH89" s="947"/>
      <c r="MPI89" s="947"/>
      <c r="MPJ89" s="947"/>
      <c r="MPK89" s="947"/>
      <c r="MPL89" s="947"/>
      <c r="MPM89" s="947"/>
      <c r="MPN89" s="947"/>
      <c r="MPO89" s="947"/>
      <c r="MPP89" s="947"/>
      <c r="MPQ89" s="947"/>
      <c r="MPR89" s="947"/>
      <c r="MPS89" s="947"/>
      <c r="MPT89" s="947"/>
      <c r="MPU89" s="947"/>
      <c r="MPV89" s="947"/>
      <c r="MPW89" s="947"/>
      <c r="MPX89" s="947"/>
      <c r="MPY89" s="947"/>
      <c r="MPZ89" s="947"/>
      <c r="MQA89" s="947"/>
      <c r="MQB89" s="947"/>
      <c r="MQC89" s="947"/>
      <c r="MQD89" s="947"/>
      <c r="MQE89" s="947"/>
      <c r="MQF89" s="947"/>
      <c r="MQG89" s="947"/>
      <c r="MQH89" s="947"/>
      <c r="MQI89" s="947"/>
      <c r="MQJ89" s="947"/>
      <c r="MQK89" s="947"/>
      <c r="MQL89" s="947"/>
      <c r="MQM89" s="947"/>
      <c r="MQN89" s="947"/>
      <c r="MQO89" s="947"/>
      <c r="MQP89" s="947"/>
      <c r="MQQ89" s="947"/>
      <c r="MQR89" s="947"/>
      <c r="MQS89" s="947"/>
      <c r="MQT89" s="947"/>
      <c r="MQU89" s="947"/>
      <c r="MQV89" s="947"/>
      <c r="MQW89" s="947"/>
      <c r="MQX89" s="947"/>
      <c r="MQY89" s="947"/>
      <c r="MQZ89" s="947"/>
      <c r="MRA89" s="947"/>
      <c r="MRB89" s="947"/>
      <c r="MRC89" s="947"/>
      <c r="MRD89" s="947"/>
      <c r="MRE89" s="947"/>
      <c r="MRF89" s="947"/>
      <c r="MRG89" s="947"/>
      <c r="MRH89" s="947"/>
      <c r="MRI89" s="947"/>
      <c r="MRJ89" s="947"/>
      <c r="MRK89" s="947"/>
      <c r="MRL89" s="947"/>
      <c r="MRM89" s="947"/>
      <c r="MRN89" s="947"/>
      <c r="MRO89" s="947"/>
      <c r="MRP89" s="947"/>
      <c r="MRQ89" s="947"/>
      <c r="MRR89" s="947"/>
      <c r="MRS89" s="947"/>
      <c r="MRT89" s="947"/>
      <c r="MRU89" s="947"/>
      <c r="MRV89" s="947"/>
      <c r="MRW89" s="947"/>
      <c r="MRX89" s="947"/>
      <c r="MRY89" s="947"/>
      <c r="MRZ89" s="947"/>
      <c r="MSA89" s="947"/>
      <c r="MSB89" s="947"/>
      <c r="MSC89" s="947"/>
      <c r="MSD89" s="947"/>
      <c r="MSE89" s="947"/>
      <c r="MSF89" s="947"/>
      <c r="MSG89" s="947"/>
      <c r="MSH89" s="947"/>
      <c r="MSI89" s="947"/>
      <c r="MSJ89" s="947"/>
      <c r="MSK89" s="947"/>
      <c r="MSL89" s="947"/>
      <c r="MSM89" s="947"/>
      <c r="MSN89" s="947"/>
      <c r="MSO89" s="947"/>
      <c r="MSP89" s="947"/>
      <c r="MSQ89" s="947"/>
      <c r="MSR89" s="947"/>
      <c r="MSS89" s="947"/>
      <c r="MST89" s="947"/>
      <c r="MSU89" s="947"/>
      <c r="MSV89" s="947"/>
      <c r="MSW89" s="947"/>
      <c r="MSX89" s="947"/>
      <c r="MSY89" s="947"/>
      <c r="MSZ89" s="947"/>
      <c r="MTA89" s="947"/>
      <c r="MTB89" s="947"/>
      <c r="MTC89" s="947"/>
      <c r="MTD89" s="947"/>
      <c r="MTE89" s="947"/>
      <c r="MTF89" s="947"/>
      <c r="MTG89" s="947"/>
      <c r="MTH89" s="947"/>
      <c r="MTI89" s="947"/>
      <c r="MTJ89" s="947"/>
      <c r="MTK89" s="947"/>
      <c r="MTL89" s="947"/>
      <c r="MTM89" s="947"/>
      <c r="MTN89" s="947"/>
      <c r="MTO89" s="947"/>
      <c r="MTP89" s="947"/>
      <c r="MTQ89" s="947"/>
      <c r="MTR89" s="947"/>
      <c r="MTS89" s="947"/>
      <c r="MTT89" s="947"/>
      <c r="MTU89" s="947"/>
      <c r="MTV89" s="947"/>
      <c r="MTW89" s="947"/>
      <c r="MTX89" s="947"/>
      <c r="MTY89" s="947"/>
      <c r="MTZ89" s="947"/>
      <c r="MUA89" s="947"/>
      <c r="MUB89" s="947"/>
      <c r="MUC89" s="947"/>
      <c r="MUD89" s="947"/>
      <c r="MUE89" s="947"/>
      <c r="MUF89" s="947"/>
      <c r="MUG89" s="947"/>
      <c r="MUH89" s="947"/>
      <c r="MUI89" s="947"/>
      <c r="MUJ89" s="947"/>
      <c r="MUK89" s="947"/>
      <c r="MUL89" s="947"/>
      <c r="MUM89" s="947"/>
      <c r="MUN89" s="947"/>
      <c r="MUO89" s="947"/>
      <c r="MUP89" s="947"/>
      <c r="MUQ89" s="947"/>
      <c r="MUR89" s="947"/>
      <c r="MUS89" s="947"/>
      <c r="MUT89" s="947"/>
      <c r="MUU89" s="947"/>
      <c r="MUV89" s="947"/>
      <c r="MUW89" s="947"/>
      <c r="MUX89" s="947"/>
      <c r="MUY89" s="947"/>
      <c r="MUZ89" s="947"/>
      <c r="MVA89" s="947"/>
      <c r="MVB89" s="947"/>
      <c r="MVC89" s="947"/>
      <c r="MVD89" s="947"/>
      <c r="MVE89" s="947"/>
      <c r="MVF89" s="947"/>
      <c r="MVG89" s="947"/>
      <c r="MVH89" s="947"/>
      <c r="MVI89" s="947"/>
      <c r="MVJ89" s="947"/>
      <c r="MVK89" s="947"/>
      <c r="MVL89" s="947"/>
      <c r="MVM89" s="947"/>
      <c r="MVN89" s="947"/>
      <c r="MVO89" s="947"/>
      <c r="MVP89" s="947"/>
      <c r="MVQ89" s="947"/>
      <c r="MVR89" s="947"/>
      <c r="MVS89" s="947"/>
      <c r="MVT89" s="947"/>
      <c r="MVU89" s="947"/>
      <c r="MVV89" s="947"/>
      <c r="MVW89" s="947"/>
      <c r="MVX89" s="947"/>
      <c r="MVY89" s="947"/>
      <c r="MVZ89" s="947"/>
      <c r="MWA89" s="947"/>
      <c r="MWB89" s="947"/>
      <c r="MWC89" s="947"/>
      <c r="MWD89" s="947"/>
      <c r="MWE89" s="947"/>
      <c r="MWF89" s="947"/>
      <c r="MWG89" s="947"/>
      <c r="MWH89" s="947"/>
      <c r="MWI89" s="947"/>
      <c r="MWJ89" s="947"/>
      <c r="MWK89" s="947"/>
      <c r="MWL89" s="947"/>
      <c r="MWM89" s="947"/>
      <c r="MWN89" s="947"/>
      <c r="MWO89" s="947"/>
      <c r="MWP89" s="947"/>
      <c r="MWQ89" s="947"/>
      <c r="MWR89" s="947"/>
      <c r="MWS89" s="947"/>
      <c r="MWT89" s="947"/>
      <c r="MWU89" s="947"/>
      <c r="MWV89" s="947"/>
      <c r="MWW89" s="947"/>
      <c r="MWX89" s="947"/>
      <c r="MWY89" s="947"/>
      <c r="MWZ89" s="947"/>
      <c r="MXA89" s="947"/>
      <c r="MXB89" s="947"/>
      <c r="MXC89" s="947"/>
      <c r="MXD89" s="947"/>
      <c r="MXE89" s="947"/>
      <c r="MXF89" s="947"/>
      <c r="MXG89" s="947"/>
      <c r="MXH89" s="947"/>
      <c r="MXI89" s="947"/>
      <c r="MXJ89" s="947"/>
      <c r="MXK89" s="947"/>
      <c r="MXL89" s="947"/>
      <c r="MXM89" s="947"/>
      <c r="MXN89" s="947"/>
      <c r="MXO89" s="947"/>
      <c r="MXP89" s="947"/>
      <c r="MXQ89" s="947"/>
      <c r="MXR89" s="947"/>
      <c r="MXS89" s="947"/>
      <c r="MXT89" s="947"/>
      <c r="MXU89" s="947"/>
      <c r="MXV89" s="947"/>
      <c r="MXW89" s="947"/>
      <c r="MXX89" s="947"/>
      <c r="MXY89" s="947"/>
      <c r="MXZ89" s="947"/>
      <c r="MYA89" s="947"/>
      <c r="MYB89" s="947"/>
      <c r="MYC89" s="947"/>
      <c r="MYD89" s="947"/>
      <c r="MYE89" s="947"/>
      <c r="MYF89" s="947"/>
      <c r="MYG89" s="947"/>
      <c r="MYH89" s="947"/>
      <c r="MYI89" s="947"/>
      <c r="MYJ89" s="947"/>
      <c r="MYK89" s="947"/>
      <c r="MYL89" s="947"/>
      <c r="MYM89" s="947"/>
      <c r="MYN89" s="947"/>
      <c r="MYO89" s="947"/>
      <c r="MYP89" s="947"/>
      <c r="MYQ89" s="947"/>
      <c r="MYR89" s="947"/>
      <c r="MYS89" s="947"/>
      <c r="MYT89" s="947"/>
      <c r="MYU89" s="947"/>
      <c r="MYV89" s="947"/>
      <c r="MYW89" s="947"/>
      <c r="MYX89" s="947"/>
      <c r="MYY89" s="947"/>
      <c r="MYZ89" s="947"/>
      <c r="MZA89" s="947"/>
      <c r="MZB89" s="947"/>
      <c r="MZC89" s="947"/>
      <c r="MZD89" s="947"/>
      <c r="MZE89" s="947"/>
      <c r="MZF89" s="947"/>
      <c r="MZG89" s="947"/>
      <c r="MZH89" s="947"/>
      <c r="MZI89" s="947"/>
      <c r="MZJ89" s="947"/>
      <c r="MZK89" s="947"/>
      <c r="MZL89" s="947"/>
      <c r="MZM89" s="947"/>
      <c r="MZN89" s="947"/>
      <c r="MZO89" s="947"/>
      <c r="MZP89" s="947"/>
      <c r="MZQ89" s="947"/>
      <c r="MZR89" s="947"/>
      <c r="MZS89" s="947"/>
      <c r="MZT89" s="947"/>
      <c r="MZU89" s="947"/>
      <c r="MZV89" s="947"/>
      <c r="MZW89" s="947"/>
      <c r="MZX89" s="947"/>
      <c r="MZY89" s="947"/>
      <c r="MZZ89" s="947"/>
      <c r="NAA89" s="947"/>
      <c r="NAB89" s="947"/>
      <c r="NAC89" s="947"/>
      <c r="NAD89" s="947"/>
      <c r="NAE89" s="947"/>
      <c r="NAF89" s="947"/>
      <c r="NAG89" s="947"/>
      <c r="NAH89" s="947"/>
      <c r="NAI89" s="947"/>
      <c r="NAJ89" s="947"/>
      <c r="NAK89" s="947"/>
      <c r="NAL89" s="947"/>
      <c r="NAM89" s="947"/>
      <c r="NAN89" s="947"/>
      <c r="NAO89" s="947"/>
      <c r="NAP89" s="947"/>
      <c r="NAQ89" s="947"/>
      <c r="NAR89" s="947"/>
      <c r="NAS89" s="947"/>
      <c r="NAT89" s="947"/>
      <c r="NAU89" s="947"/>
      <c r="NAV89" s="947"/>
      <c r="NAW89" s="947"/>
      <c r="NAX89" s="947"/>
      <c r="NAY89" s="947"/>
      <c r="NAZ89" s="947"/>
      <c r="NBA89" s="947"/>
      <c r="NBB89" s="947"/>
      <c r="NBC89" s="947"/>
      <c r="NBD89" s="947"/>
      <c r="NBE89" s="947"/>
      <c r="NBF89" s="947"/>
      <c r="NBG89" s="947"/>
      <c r="NBH89" s="947"/>
      <c r="NBI89" s="947"/>
      <c r="NBJ89" s="947"/>
      <c r="NBK89" s="947"/>
      <c r="NBL89" s="947"/>
      <c r="NBM89" s="947"/>
      <c r="NBN89" s="947"/>
      <c r="NBO89" s="947"/>
      <c r="NBP89" s="947"/>
      <c r="NBQ89" s="947"/>
      <c r="NBR89" s="947"/>
      <c r="NBS89" s="947"/>
      <c r="NBT89" s="947"/>
      <c r="NBU89" s="947"/>
      <c r="NBV89" s="947"/>
      <c r="NBW89" s="947"/>
      <c r="NBX89" s="947"/>
      <c r="NBY89" s="947"/>
      <c r="NBZ89" s="947"/>
      <c r="NCA89" s="947"/>
      <c r="NCB89" s="947"/>
      <c r="NCC89" s="947"/>
      <c r="NCD89" s="947"/>
      <c r="NCE89" s="947"/>
      <c r="NCF89" s="947"/>
      <c r="NCG89" s="947"/>
      <c r="NCH89" s="947"/>
      <c r="NCI89" s="947"/>
      <c r="NCJ89" s="947"/>
      <c r="NCK89" s="947"/>
      <c r="NCL89" s="947"/>
      <c r="NCM89" s="947"/>
      <c r="NCN89" s="947"/>
      <c r="NCO89" s="947"/>
      <c r="NCP89" s="947"/>
      <c r="NCQ89" s="947"/>
      <c r="NCR89" s="947"/>
      <c r="NCS89" s="947"/>
      <c r="NCT89" s="947"/>
      <c r="NCU89" s="947"/>
      <c r="NCV89" s="947"/>
      <c r="NCW89" s="947"/>
      <c r="NCX89" s="947"/>
      <c r="NCY89" s="947"/>
      <c r="NCZ89" s="947"/>
      <c r="NDA89" s="947"/>
      <c r="NDB89" s="947"/>
      <c r="NDC89" s="947"/>
      <c r="NDD89" s="947"/>
      <c r="NDE89" s="947"/>
      <c r="NDF89" s="947"/>
      <c r="NDG89" s="947"/>
      <c r="NDH89" s="947"/>
      <c r="NDI89" s="947"/>
      <c r="NDJ89" s="947"/>
      <c r="NDK89" s="947"/>
      <c r="NDL89" s="947"/>
      <c r="NDM89" s="947"/>
      <c r="NDN89" s="947"/>
      <c r="NDO89" s="947"/>
      <c r="NDP89" s="947"/>
      <c r="NDQ89" s="947"/>
      <c r="NDR89" s="947"/>
      <c r="NDS89" s="947"/>
      <c r="NDT89" s="947"/>
      <c r="NDU89" s="947"/>
      <c r="NDV89" s="947"/>
      <c r="NDW89" s="947"/>
      <c r="NDX89" s="947"/>
      <c r="NDY89" s="947"/>
      <c r="NDZ89" s="947"/>
      <c r="NEA89" s="947"/>
      <c r="NEB89" s="947"/>
      <c r="NEC89" s="947"/>
      <c r="NED89" s="947"/>
      <c r="NEE89" s="947"/>
      <c r="NEF89" s="947"/>
      <c r="NEG89" s="947"/>
      <c r="NEH89" s="947"/>
      <c r="NEI89" s="947"/>
      <c r="NEJ89" s="947"/>
      <c r="NEK89" s="947"/>
      <c r="NEL89" s="947"/>
      <c r="NEM89" s="947"/>
      <c r="NEN89" s="947"/>
      <c r="NEO89" s="947"/>
      <c r="NEP89" s="947"/>
      <c r="NEQ89" s="947"/>
      <c r="NER89" s="947"/>
      <c r="NES89" s="947"/>
      <c r="NET89" s="947"/>
      <c r="NEU89" s="947"/>
      <c r="NEV89" s="947"/>
      <c r="NEW89" s="947"/>
      <c r="NEX89" s="947"/>
      <c r="NEY89" s="947"/>
      <c r="NEZ89" s="947"/>
      <c r="NFA89" s="947"/>
      <c r="NFB89" s="947"/>
      <c r="NFC89" s="947"/>
      <c r="NFD89" s="947"/>
      <c r="NFE89" s="947"/>
      <c r="NFF89" s="947"/>
      <c r="NFG89" s="947"/>
      <c r="NFH89" s="947"/>
      <c r="NFI89" s="947"/>
      <c r="NFJ89" s="947"/>
      <c r="NFK89" s="947"/>
      <c r="NFL89" s="947"/>
      <c r="NFM89" s="947"/>
      <c r="NFN89" s="947"/>
      <c r="NFO89" s="947"/>
      <c r="NFP89" s="947"/>
      <c r="NFQ89" s="947"/>
      <c r="NFR89" s="947"/>
      <c r="NFS89" s="947"/>
      <c r="NFT89" s="947"/>
      <c r="NFU89" s="947"/>
      <c r="NFV89" s="947"/>
      <c r="NFW89" s="947"/>
      <c r="NFX89" s="947"/>
      <c r="NFY89" s="947"/>
      <c r="NFZ89" s="947"/>
      <c r="NGA89" s="947"/>
      <c r="NGB89" s="947"/>
      <c r="NGC89" s="947"/>
      <c r="NGD89" s="947"/>
      <c r="NGE89" s="947"/>
      <c r="NGF89" s="947"/>
      <c r="NGG89" s="947"/>
      <c r="NGH89" s="947"/>
      <c r="NGI89" s="947"/>
      <c r="NGJ89" s="947"/>
      <c r="NGK89" s="947"/>
      <c r="NGL89" s="947"/>
      <c r="NGM89" s="947"/>
      <c r="NGN89" s="947"/>
      <c r="NGO89" s="947"/>
      <c r="NGP89" s="947"/>
      <c r="NGQ89" s="947"/>
      <c r="NGR89" s="947"/>
      <c r="NGS89" s="947"/>
      <c r="NGT89" s="947"/>
      <c r="NGU89" s="947"/>
      <c r="NGV89" s="947"/>
      <c r="NGW89" s="947"/>
      <c r="NGX89" s="947"/>
      <c r="NGY89" s="947"/>
      <c r="NGZ89" s="947"/>
      <c r="NHA89" s="947"/>
      <c r="NHB89" s="947"/>
      <c r="NHC89" s="947"/>
      <c r="NHD89" s="947"/>
      <c r="NHE89" s="947"/>
      <c r="NHF89" s="947"/>
      <c r="NHG89" s="947"/>
      <c r="NHH89" s="947"/>
      <c r="NHI89" s="947"/>
      <c r="NHJ89" s="947"/>
      <c r="NHK89" s="947"/>
      <c r="NHL89" s="947"/>
      <c r="NHM89" s="947"/>
      <c r="NHN89" s="947"/>
      <c r="NHO89" s="947"/>
      <c r="NHP89" s="947"/>
      <c r="NHQ89" s="947"/>
      <c r="NHR89" s="947"/>
      <c r="NHS89" s="947"/>
      <c r="NHT89" s="947"/>
      <c r="NHU89" s="947"/>
      <c r="NHV89" s="947"/>
      <c r="NHW89" s="947"/>
      <c r="NHX89" s="947"/>
      <c r="NHY89" s="947"/>
      <c r="NHZ89" s="947"/>
      <c r="NIA89" s="947"/>
      <c r="NIB89" s="947"/>
      <c r="NIC89" s="947"/>
      <c r="NID89" s="947"/>
      <c r="NIE89" s="947"/>
      <c r="NIF89" s="947"/>
      <c r="NIG89" s="947"/>
      <c r="NIH89" s="947"/>
      <c r="NII89" s="947"/>
      <c r="NIJ89" s="947"/>
      <c r="NIK89" s="947"/>
      <c r="NIL89" s="947"/>
      <c r="NIM89" s="947"/>
      <c r="NIN89" s="947"/>
      <c r="NIO89" s="947"/>
      <c r="NIP89" s="947"/>
      <c r="NIQ89" s="947"/>
      <c r="NIR89" s="947"/>
      <c r="NIS89" s="947"/>
      <c r="NIT89" s="947"/>
      <c r="NIU89" s="947"/>
      <c r="NIV89" s="947"/>
      <c r="NIW89" s="947"/>
      <c r="NIX89" s="947"/>
      <c r="NIY89" s="947"/>
      <c r="NIZ89" s="947"/>
      <c r="NJA89" s="947"/>
      <c r="NJB89" s="947"/>
      <c r="NJC89" s="947"/>
      <c r="NJD89" s="947"/>
      <c r="NJE89" s="947"/>
      <c r="NJF89" s="947"/>
      <c r="NJG89" s="947"/>
      <c r="NJH89" s="947"/>
      <c r="NJI89" s="947"/>
      <c r="NJJ89" s="947"/>
      <c r="NJK89" s="947"/>
      <c r="NJL89" s="947"/>
      <c r="NJM89" s="947"/>
      <c r="NJN89" s="947"/>
      <c r="NJO89" s="947"/>
      <c r="NJP89" s="947"/>
      <c r="NJQ89" s="947"/>
      <c r="NJR89" s="947"/>
      <c r="NJS89" s="947"/>
      <c r="NJT89" s="947"/>
      <c r="NJU89" s="947"/>
      <c r="NJV89" s="947"/>
      <c r="NJW89" s="947"/>
      <c r="NJX89" s="947"/>
      <c r="NJY89" s="947"/>
      <c r="NJZ89" s="947"/>
      <c r="NKA89" s="947"/>
      <c r="NKB89" s="947"/>
      <c r="NKC89" s="947"/>
      <c r="NKD89" s="947"/>
      <c r="NKE89" s="947"/>
      <c r="NKF89" s="947"/>
      <c r="NKG89" s="947"/>
      <c r="NKH89" s="947"/>
      <c r="NKI89" s="947"/>
      <c r="NKJ89" s="947"/>
      <c r="NKK89" s="947"/>
      <c r="NKL89" s="947"/>
      <c r="NKM89" s="947"/>
      <c r="NKN89" s="947"/>
      <c r="NKO89" s="947"/>
      <c r="NKP89" s="947"/>
      <c r="NKQ89" s="947"/>
      <c r="NKR89" s="947"/>
      <c r="NKS89" s="947"/>
      <c r="NKT89" s="947"/>
      <c r="NKU89" s="947"/>
      <c r="NKV89" s="947"/>
      <c r="NKW89" s="947"/>
      <c r="NKX89" s="947"/>
      <c r="NKY89" s="947"/>
      <c r="NKZ89" s="947"/>
      <c r="NLA89" s="947"/>
      <c r="NLB89" s="947"/>
      <c r="NLC89" s="947"/>
      <c r="NLD89" s="947"/>
      <c r="NLE89" s="947"/>
      <c r="NLF89" s="947"/>
      <c r="NLG89" s="947"/>
      <c r="NLH89" s="947"/>
      <c r="NLI89" s="947"/>
      <c r="NLJ89" s="947"/>
      <c r="NLK89" s="947"/>
      <c r="NLL89" s="947"/>
      <c r="NLM89" s="947"/>
      <c r="NLN89" s="947"/>
      <c r="NLO89" s="947"/>
      <c r="NLP89" s="947"/>
      <c r="NLQ89" s="947"/>
      <c r="NLR89" s="947"/>
      <c r="NLS89" s="947"/>
      <c r="NLT89" s="947"/>
      <c r="NLU89" s="947"/>
      <c r="NLV89" s="947"/>
      <c r="NLW89" s="947"/>
      <c r="NLX89" s="947"/>
      <c r="NLY89" s="947"/>
      <c r="NLZ89" s="947"/>
      <c r="NMA89" s="947"/>
      <c r="NMB89" s="947"/>
      <c r="NMC89" s="947"/>
      <c r="NMD89" s="947"/>
      <c r="NME89" s="947"/>
      <c r="NMF89" s="947"/>
      <c r="NMG89" s="947"/>
      <c r="NMH89" s="947"/>
      <c r="NMI89" s="947"/>
      <c r="NMJ89" s="947"/>
      <c r="NMK89" s="947"/>
      <c r="NML89" s="947"/>
      <c r="NMM89" s="947"/>
      <c r="NMN89" s="947"/>
      <c r="NMO89" s="947"/>
      <c r="NMP89" s="947"/>
      <c r="NMQ89" s="947"/>
      <c r="NMR89" s="947"/>
      <c r="NMS89" s="947"/>
      <c r="NMT89" s="947"/>
      <c r="NMU89" s="947"/>
      <c r="NMV89" s="947"/>
      <c r="NMW89" s="947"/>
      <c r="NMX89" s="947"/>
      <c r="NMY89" s="947"/>
      <c r="NMZ89" s="947"/>
      <c r="NNA89" s="947"/>
      <c r="NNB89" s="947"/>
      <c r="NNC89" s="947"/>
      <c r="NND89" s="947"/>
      <c r="NNE89" s="947"/>
      <c r="NNF89" s="947"/>
      <c r="NNG89" s="947"/>
      <c r="NNH89" s="947"/>
      <c r="NNI89" s="947"/>
      <c r="NNJ89" s="947"/>
      <c r="NNK89" s="947"/>
      <c r="NNL89" s="947"/>
      <c r="NNM89" s="947"/>
      <c r="NNN89" s="947"/>
      <c r="NNO89" s="947"/>
      <c r="NNP89" s="947"/>
      <c r="NNQ89" s="947"/>
      <c r="NNR89" s="947"/>
      <c r="NNS89" s="947"/>
      <c r="NNT89" s="947"/>
      <c r="NNU89" s="947"/>
      <c r="NNV89" s="947"/>
      <c r="NNW89" s="947"/>
      <c r="NNX89" s="947"/>
      <c r="NNY89" s="947"/>
      <c r="NNZ89" s="947"/>
      <c r="NOA89" s="947"/>
      <c r="NOB89" s="947"/>
      <c r="NOC89" s="947"/>
      <c r="NOD89" s="947"/>
      <c r="NOE89" s="947"/>
      <c r="NOF89" s="947"/>
      <c r="NOG89" s="947"/>
      <c r="NOH89" s="947"/>
      <c r="NOI89" s="947"/>
      <c r="NOJ89" s="947"/>
      <c r="NOK89" s="947"/>
      <c r="NOL89" s="947"/>
      <c r="NOM89" s="947"/>
      <c r="NON89" s="947"/>
      <c r="NOO89" s="947"/>
      <c r="NOP89" s="947"/>
      <c r="NOQ89" s="947"/>
      <c r="NOR89" s="947"/>
      <c r="NOS89" s="947"/>
      <c r="NOT89" s="947"/>
      <c r="NOU89" s="947"/>
      <c r="NOV89" s="947"/>
      <c r="NOW89" s="947"/>
      <c r="NOX89" s="947"/>
      <c r="NOY89" s="947"/>
      <c r="NOZ89" s="947"/>
      <c r="NPA89" s="947"/>
      <c r="NPB89" s="947"/>
      <c r="NPC89" s="947"/>
      <c r="NPD89" s="947"/>
      <c r="NPE89" s="947"/>
      <c r="NPF89" s="947"/>
      <c r="NPG89" s="947"/>
      <c r="NPH89" s="947"/>
      <c r="NPI89" s="947"/>
      <c r="NPJ89" s="947"/>
      <c r="NPK89" s="947"/>
      <c r="NPL89" s="947"/>
      <c r="NPM89" s="947"/>
      <c r="NPN89" s="947"/>
      <c r="NPO89" s="947"/>
      <c r="NPP89" s="947"/>
      <c r="NPQ89" s="947"/>
      <c r="NPR89" s="947"/>
      <c r="NPS89" s="947"/>
      <c r="NPT89" s="947"/>
      <c r="NPU89" s="947"/>
      <c r="NPV89" s="947"/>
      <c r="NPW89" s="947"/>
      <c r="NPX89" s="947"/>
      <c r="NPY89" s="947"/>
      <c r="NPZ89" s="947"/>
      <c r="NQA89" s="947"/>
      <c r="NQB89" s="947"/>
      <c r="NQC89" s="947"/>
      <c r="NQD89" s="947"/>
      <c r="NQE89" s="947"/>
      <c r="NQF89" s="947"/>
      <c r="NQG89" s="947"/>
      <c r="NQH89" s="947"/>
      <c r="NQI89" s="947"/>
      <c r="NQJ89" s="947"/>
      <c r="NQK89" s="947"/>
      <c r="NQL89" s="947"/>
      <c r="NQM89" s="947"/>
      <c r="NQN89" s="947"/>
      <c r="NQO89" s="947"/>
      <c r="NQP89" s="947"/>
      <c r="NQQ89" s="947"/>
      <c r="NQR89" s="947"/>
      <c r="NQS89" s="947"/>
      <c r="NQT89" s="947"/>
      <c r="NQU89" s="947"/>
      <c r="NQV89" s="947"/>
      <c r="NQW89" s="947"/>
      <c r="NQX89" s="947"/>
      <c r="NQY89" s="947"/>
      <c r="NQZ89" s="947"/>
      <c r="NRA89" s="947"/>
      <c r="NRB89" s="947"/>
      <c r="NRC89" s="947"/>
      <c r="NRD89" s="947"/>
      <c r="NRE89" s="947"/>
      <c r="NRF89" s="947"/>
      <c r="NRG89" s="947"/>
      <c r="NRH89" s="947"/>
      <c r="NRI89" s="947"/>
      <c r="NRJ89" s="947"/>
      <c r="NRK89" s="947"/>
      <c r="NRL89" s="947"/>
      <c r="NRM89" s="947"/>
      <c r="NRN89" s="947"/>
      <c r="NRO89" s="947"/>
      <c r="NRP89" s="947"/>
      <c r="NRQ89" s="947"/>
      <c r="NRR89" s="947"/>
      <c r="NRS89" s="947"/>
      <c r="NRT89" s="947"/>
      <c r="NRU89" s="947"/>
      <c r="NRV89" s="947"/>
      <c r="NRW89" s="947"/>
      <c r="NRX89" s="947"/>
      <c r="NRY89" s="947"/>
      <c r="NRZ89" s="947"/>
      <c r="NSA89" s="947"/>
      <c r="NSB89" s="947"/>
      <c r="NSC89" s="947"/>
      <c r="NSD89" s="947"/>
      <c r="NSE89" s="947"/>
      <c r="NSF89" s="947"/>
      <c r="NSG89" s="947"/>
      <c r="NSH89" s="947"/>
      <c r="NSI89" s="947"/>
      <c r="NSJ89" s="947"/>
      <c r="NSK89" s="947"/>
      <c r="NSL89" s="947"/>
      <c r="NSM89" s="947"/>
      <c r="NSN89" s="947"/>
      <c r="NSO89" s="947"/>
      <c r="NSP89" s="947"/>
      <c r="NSQ89" s="947"/>
      <c r="NSR89" s="947"/>
      <c r="NSS89" s="947"/>
      <c r="NST89" s="947"/>
      <c r="NSU89" s="947"/>
      <c r="NSV89" s="947"/>
      <c r="NSW89" s="947"/>
      <c r="NSX89" s="947"/>
      <c r="NSY89" s="947"/>
      <c r="NSZ89" s="947"/>
      <c r="NTA89" s="947"/>
      <c r="NTB89" s="947"/>
      <c r="NTC89" s="947"/>
      <c r="NTD89" s="947"/>
      <c r="NTE89" s="947"/>
      <c r="NTF89" s="947"/>
      <c r="NTG89" s="947"/>
      <c r="NTH89" s="947"/>
      <c r="NTI89" s="947"/>
      <c r="NTJ89" s="947"/>
      <c r="NTK89" s="947"/>
      <c r="NTL89" s="947"/>
      <c r="NTM89" s="947"/>
      <c r="NTN89" s="947"/>
      <c r="NTO89" s="947"/>
      <c r="NTP89" s="947"/>
      <c r="NTQ89" s="947"/>
      <c r="NTR89" s="947"/>
      <c r="NTS89" s="947"/>
      <c r="NTT89" s="947"/>
      <c r="NTU89" s="947"/>
      <c r="NTV89" s="947"/>
      <c r="NTW89" s="947"/>
      <c r="NTX89" s="947"/>
      <c r="NTY89" s="947"/>
      <c r="NTZ89" s="947"/>
      <c r="NUA89" s="947"/>
      <c r="NUB89" s="947"/>
      <c r="NUC89" s="947"/>
      <c r="NUD89" s="947"/>
      <c r="NUE89" s="947"/>
      <c r="NUF89" s="947"/>
      <c r="NUG89" s="947"/>
      <c r="NUH89" s="947"/>
      <c r="NUI89" s="947"/>
      <c r="NUJ89" s="947"/>
      <c r="NUK89" s="947"/>
      <c r="NUL89" s="947"/>
      <c r="NUM89" s="947"/>
      <c r="NUN89" s="947"/>
      <c r="NUO89" s="947"/>
      <c r="NUP89" s="947"/>
      <c r="NUQ89" s="947"/>
      <c r="NUR89" s="947"/>
      <c r="NUS89" s="947"/>
      <c r="NUT89" s="947"/>
      <c r="NUU89" s="947"/>
      <c r="NUV89" s="947"/>
      <c r="NUW89" s="947"/>
      <c r="NUX89" s="947"/>
      <c r="NUY89" s="947"/>
      <c r="NUZ89" s="947"/>
      <c r="NVA89" s="947"/>
      <c r="NVB89" s="947"/>
      <c r="NVC89" s="947"/>
      <c r="NVD89" s="947"/>
      <c r="NVE89" s="947"/>
      <c r="NVF89" s="947"/>
      <c r="NVG89" s="947"/>
      <c r="NVH89" s="947"/>
      <c r="NVI89" s="947"/>
      <c r="NVJ89" s="947"/>
      <c r="NVK89" s="947"/>
      <c r="NVL89" s="947"/>
      <c r="NVM89" s="947"/>
      <c r="NVN89" s="947"/>
      <c r="NVO89" s="947"/>
      <c r="NVP89" s="947"/>
      <c r="NVQ89" s="947"/>
      <c r="NVR89" s="947"/>
      <c r="NVS89" s="947"/>
      <c r="NVT89" s="947"/>
      <c r="NVU89" s="947"/>
      <c r="NVV89" s="947"/>
      <c r="NVW89" s="947"/>
      <c r="NVX89" s="947"/>
      <c r="NVY89" s="947"/>
      <c r="NVZ89" s="947"/>
      <c r="NWA89" s="947"/>
      <c r="NWB89" s="947"/>
      <c r="NWC89" s="947"/>
      <c r="NWD89" s="947"/>
      <c r="NWE89" s="947"/>
      <c r="NWF89" s="947"/>
      <c r="NWG89" s="947"/>
      <c r="NWH89" s="947"/>
      <c r="NWI89" s="947"/>
      <c r="NWJ89" s="947"/>
      <c r="NWK89" s="947"/>
      <c r="NWL89" s="947"/>
      <c r="NWM89" s="947"/>
      <c r="NWN89" s="947"/>
      <c r="NWO89" s="947"/>
      <c r="NWP89" s="947"/>
      <c r="NWQ89" s="947"/>
      <c r="NWR89" s="947"/>
      <c r="NWS89" s="947"/>
      <c r="NWT89" s="947"/>
      <c r="NWU89" s="947"/>
      <c r="NWV89" s="947"/>
      <c r="NWW89" s="947"/>
      <c r="NWX89" s="947"/>
      <c r="NWY89" s="947"/>
      <c r="NWZ89" s="947"/>
      <c r="NXA89" s="947"/>
      <c r="NXB89" s="947"/>
      <c r="NXC89" s="947"/>
      <c r="NXD89" s="947"/>
      <c r="NXE89" s="947"/>
      <c r="NXF89" s="947"/>
      <c r="NXG89" s="947"/>
      <c r="NXH89" s="947"/>
      <c r="NXI89" s="947"/>
      <c r="NXJ89" s="947"/>
      <c r="NXK89" s="947"/>
      <c r="NXL89" s="947"/>
      <c r="NXM89" s="947"/>
      <c r="NXN89" s="947"/>
      <c r="NXO89" s="947"/>
      <c r="NXP89" s="947"/>
      <c r="NXQ89" s="947"/>
      <c r="NXR89" s="947"/>
      <c r="NXS89" s="947"/>
      <c r="NXT89" s="947"/>
      <c r="NXU89" s="947"/>
      <c r="NXV89" s="947"/>
      <c r="NXW89" s="947"/>
      <c r="NXX89" s="947"/>
      <c r="NXY89" s="947"/>
      <c r="NXZ89" s="947"/>
      <c r="NYA89" s="947"/>
      <c r="NYB89" s="947"/>
      <c r="NYC89" s="947"/>
      <c r="NYD89" s="947"/>
      <c r="NYE89" s="947"/>
      <c r="NYF89" s="947"/>
      <c r="NYG89" s="947"/>
      <c r="NYH89" s="947"/>
      <c r="NYI89" s="947"/>
      <c r="NYJ89" s="947"/>
      <c r="NYK89" s="947"/>
      <c r="NYL89" s="947"/>
      <c r="NYM89" s="947"/>
      <c r="NYN89" s="947"/>
      <c r="NYO89" s="947"/>
      <c r="NYP89" s="947"/>
      <c r="NYQ89" s="947"/>
      <c r="NYR89" s="947"/>
      <c r="NYS89" s="947"/>
      <c r="NYT89" s="947"/>
      <c r="NYU89" s="947"/>
      <c r="NYV89" s="947"/>
      <c r="NYW89" s="947"/>
      <c r="NYX89" s="947"/>
      <c r="NYY89" s="947"/>
      <c r="NYZ89" s="947"/>
      <c r="NZA89" s="947"/>
      <c r="NZB89" s="947"/>
      <c r="NZC89" s="947"/>
      <c r="NZD89" s="947"/>
      <c r="NZE89" s="947"/>
      <c r="NZF89" s="947"/>
      <c r="NZG89" s="947"/>
      <c r="NZH89" s="947"/>
      <c r="NZI89" s="947"/>
      <c r="NZJ89" s="947"/>
      <c r="NZK89" s="947"/>
      <c r="NZL89" s="947"/>
      <c r="NZM89" s="947"/>
      <c r="NZN89" s="947"/>
      <c r="NZO89" s="947"/>
      <c r="NZP89" s="947"/>
      <c r="NZQ89" s="947"/>
      <c r="NZR89" s="947"/>
      <c r="NZS89" s="947"/>
      <c r="NZT89" s="947"/>
      <c r="NZU89" s="947"/>
      <c r="NZV89" s="947"/>
      <c r="NZW89" s="947"/>
      <c r="NZX89" s="947"/>
      <c r="NZY89" s="947"/>
      <c r="NZZ89" s="947"/>
      <c r="OAA89" s="947"/>
      <c r="OAB89" s="947"/>
      <c r="OAC89" s="947"/>
      <c r="OAD89" s="947"/>
      <c r="OAE89" s="947"/>
      <c r="OAF89" s="947"/>
      <c r="OAG89" s="947"/>
      <c r="OAH89" s="947"/>
      <c r="OAI89" s="947"/>
      <c r="OAJ89" s="947"/>
      <c r="OAK89" s="947"/>
      <c r="OAL89" s="947"/>
      <c r="OAM89" s="947"/>
      <c r="OAN89" s="947"/>
      <c r="OAO89" s="947"/>
      <c r="OAP89" s="947"/>
      <c r="OAQ89" s="947"/>
      <c r="OAR89" s="947"/>
      <c r="OAS89" s="947"/>
      <c r="OAT89" s="947"/>
      <c r="OAU89" s="947"/>
      <c r="OAV89" s="947"/>
      <c r="OAW89" s="947"/>
      <c r="OAX89" s="947"/>
      <c r="OAY89" s="947"/>
      <c r="OAZ89" s="947"/>
      <c r="OBA89" s="947"/>
      <c r="OBB89" s="947"/>
      <c r="OBC89" s="947"/>
      <c r="OBD89" s="947"/>
      <c r="OBE89" s="947"/>
      <c r="OBF89" s="947"/>
      <c r="OBG89" s="947"/>
      <c r="OBH89" s="947"/>
      <c r="OBI89" s="947"/>
      <c r="OBJ89" s="947"/>
      <c r="OBK89" s="947"/>
      <c r="OBL89" s="947"/>
      <c r="OBM89" s="947"/>
      <c r="OBN89" s="947"/>
      <c r="OBO89" s="947"/>
      <c r="OBP89" s="947"/>
      <c r="OBQ89" s="947"/>
      <c r="OBR89" s="947"/>
      <c r="OBS89" s="947"/>
      <c r="OBT89" s="947"/>
      <c r="OBU89" s="947"/>
      <c r="OBV89" s="947"/>
      <c r="OBW89" s="947"/>
      <c r="OBX89" s="947"/>
      <c r="OBY89" s="947"/>
      <c r="OBZ89" s="947"/>
      <c r="OCA89" s="947"/>
      <c r="OCB89" s="947"/>
      <c r="OCC89" s="947"/>
      <c r="OCD89" s="947"/>
      <c r="OCE89" s="947"/>
      <c r="OCF89" s="947"/>
      <c r="OCG89" s="947"/>
      <c r="OCH89" s="947"/>
      <c r="OCI89" s="947"/>
      <c r="OCJ89" s="947"/>
      <c r="OCK89" s="947"/>
      <c r="OCL89" s="947"/>
      <c r="OCM89" s="947"/>
      <c r="OCN89" s="947"/>
      <c r="OCO89" s="947"/>
      <c r="OCP89" s="947"/>
      <c r="OCQ89" s="947"/>
      <c r="OCR89" s="947"/>
      <c r="OCS89" s="947"/>
      <c r="OCT89" s="947"/>
      <c r="OCU89" s="947"/>
      <c r="OCV89" s="947"/>
      <c r="OCW89" s="947"/>
      <c r="OCX89" s="947"/>
      <c r="OCY89" s="947"/>
      <c r="OCZ89" s="947"/>
      <c r="ODA89" s="947"/>
      <c r="ODB89" s="947"/>
      <c r="ODC89" s="947"/>
      <c r="ODD89" s="947"/>
      <c r="ODE89" s="947"/>
      <c r="ODF89" s="947"/>
      <c r="ODG89" s="947"/>
      <c r="ODH89" s="947"/>
      <c r="ODI89" s="947"/>
      <c r="ODJ89" s="947"/>
      <c r="ODK89" s="947"/>
      <c r="ODL89" s="947"/>
      <c r="ODM89" s="947"/>
      <c r="ODN89" s="947"/>
      <c r="ODO89" s="947"/>
      <c r="ODP89" s="947"/>
      <c r="ODQ89" s="947"/>
      <c r="ODR89" s="947"/>
      <c r="ODS89" s="947"/>
      <c r="ODT89" s="947"/>
      <c r="ODU89" s="947"/>
      <c r="ODV89" s="947"/>
      <c r="ODW89" s="947"/>
      <c r="ODX89" s="947"/>
      <c r="ODY89" s="947"/>
      <c r="ODZ89" s="947"/>
      <c r="OEA89" s="947"/>
      <c r="OEB89" s="947"/>
      <c r="OEC89" s="947"/>
      <c r="OED89" s="947"/>
      <c r="OEE89" s="947"/>
      <c r="OEF89" s="947"/>
      <c r="OEG89" s="947"/>
      <c r="OEH89" s="947"/>
      <c r="OEI89" s="947"/>
      <c r="OEJ89" s="947"/>
      <c r="OEK89" s="947"/>
      <c r="OEL89" s="947"/>
      <c r="OEM89" s="947"/>
      <c r="OEN89" s="947"/>
      <c r="OEO89" s="947"/>
      <c r="OEP89" s="947"/>
      <c r="OEQ89" s="947"/>
      <c r="OER89" s="947"/>
      <c r="OES89" s="947"/>
      <c r="OET89" s="947"/>
      <c r="OEU89" s="947"/>
      <c r="OEV89" s="947"/>
      <c r="OEW89" s="947"/>
      <c r="OEX89" s="947"/>
      <c r="OEY89" s="947"/>
      <c r="OEZ89" s="947"/>
      <c r="OFA89" s="947"/>
      <c r="OFB89" s="947"/>
      <c r="OFC89" s="947"/>
      <c r="OFD89" s="947"/>
      <c r="OFE89" s="947"/>
      <c r="OFF89" s="947"/>
      <c r="OFG89" s="947"/>
      <c r="OFH89" s="947"/>
      <c r="OFI89" s="947"/>
      <c r="OFJ89" s="947"/>
      <c r="OFK89" s="947"/>
      <c r="OFL89" s="947"/>
      <c r="OFM89" s="947"/>
      <c r="OFN89" s="947"/>
      <c r="OFO89" s="947"/>
      <c r="OFP89" s="947"/>
      <c r="OFQ89" s="947"/>
      <c r="OFR89" s="947"/>
      <c r="OFS89" s="947"/>
      <c r="OFT89" s="947"/>
      <c r="OFU89" s="947"/>
      <c r="OFV89" s="947"/>
      <c r="OFW89" s="947"/>
      <c r="OFX89" s="947"/>
      <c r="OFY89" s="947"/>
      <c r="OFZ89" s="947"/>
      <c r="OGA89" s="947"/>
      <c r="OGB89" s="947"/>
      <c r="OGC89" s="947"/>
      <c r="OGD89" s="947"/>
      <c r="OGE89" s="947"/>
      <c r="OGF89" s="947"/>
      <c r="OGG89" s="947"/>
      <c r="OGH89" s="947"/>
      <c r="OGI89" s="947"/>
      <c r="OGJ89" s="947"/>
      <c r="OGK89" s="947"/>
      <c r="OGL89" s="947"/>
      <c r="OGM89" s="947"/>
      <c r="OGN89" s="947"/>
      <c r="OGO89" s="947"/>
      <c r="OGP89" s="947"/>
      <c r="OGQ89" s="947"/>
      <c r="OGR89" s="947"/>
      <c r="OGS89" s="947"/>
      <c r="OGT89" s="947"/>
      <c r="OGU89" s="947"/>
      <c r="OGV89" s="947"/>
      <c r="OGW89" s="947"/>
      <c r="OGX89" s="947"/>
      <c r="OGY89" s="947"/>
      <c r="OGZ89" s="947"/>
      <c r="OHA89" s="947"/>
      <c r="OHB89" s="947"/>
      <c r="OHC89" s="947"/>
      <c r="OHD89" s="947"/>
      <c r="OHE89" s="947"/>
      <c r="OHF89" s="947"/>
      <c r="OHG89" s="947"/>
      <c r="OHH89" s="947"/>
      <c r="OHI89" s="947"/>
      <c r="OHJ89" s="947"/>
      <c r="OHK89" s="947"/>
      <c r="OHL89" s="947"/>
      <c r="OHM89" s="947"/>
      <c r="OHN89" s="947"/>
      <c r="OHO89" s="947"/>
      <c r="OHP89" s="947"/>
      <c r="OHQ89" s="947"/>
      <c r="OHR89" s="947"/>
      <c r="OHS89" s="947"/>
      <c r="OHT89" s="947"/>
      <c r="OHU89" s="947"/>
      <c r="OHV89" s="947"/>
      <c r="OHW89" s="947"/>
      <c r="OHX89" s="947"/>
      <c r="OHY89" s="947"/>
      <c r="OHZ89" s="947"/>
      <c r="OIA89" s="947"/>
      <c r="OIB89" s="947"/>
      <c r="OIC89" s="947"/>
      <c r="OID89" s="947"/>
      <c r="OIE89" s="947"/>
      <c r="OIF89" s="947"/>
      <c r="OIG89" s="947"/>
      <c r="OIH89" s="947"/>
      <c r="OII89" s="947"/>
      <c r="OIJ89" s="947"/>
      <c r="OIK89" s="947"/>
      <c r="OIL89" s="947"/>
      <c r="OIM89" s="947"/>
      <c r="OIN89" s="947"/>
      <c r="OIO89" s="947"/>
      <c r="OIP89" s="947"/>
      <c r="OIQ89" s="947"/>
      <c r="OIR89" s="947"/>
      <c r="OIS89" s="947"/>
      <c r="OIT89" s="947"/>
      <c r="OIU89" s="947"/>
      <c r="OIV89" s="947"/>
      <c r="OIW89" s="947"/>
      <c r="OIX89" s="947"/>
      <c r="OIY89" s="947"/>
      <c r="OIZ89" s="947"/>
      <c r="OJA89" s="947"/>
      <c r="OJB89" s="947"/>
      <c r="OJC89" s="947"/>
      <c r="OJD89" s="947"/>
      <c r="OJE89" s="947"/>
      <c r="OJF89" s="947"/>
      <c r="OJG89" s="947"/>
      <c r="OJH89" s="947"/>
      <c r="OJI89" s="947"/>
      <c r="OJJ89" s="947"/>
      <c r="OJK89" s="947"/>
      <c r="OJL89" s="947"/>
      <c r="OJM89" s="947"/>
      <c r="OJN89" s="947"/>
      <c r="OJO89" s="947"/>
      <c r="OJP89" s="947"/>
      <c r="OJQ89" s="947"/>
      <c r="OJR89" s="947"/>
      <c r="OJS89" s="947"/>
      <c r="OJT89" s="947"/>
      <c r="OJU89" s="947"/>
      <c r="OJV89" s="947"/>
      <c r="OJW89" s="947"/>
      <c r="OJX89" s="947"/>
      <c r="OJY89" s="947"/>
      <c r="OJZ89" s="947"/>
      <c r="OKA89" s="947"/>
      <c r="OKB89" s="947"/>
      <c r="OKC89" s="947"/>
      <c r="OKD89" s="947"/>
      <c r="OKE89" s="947"/>
      <c r="OKF89" s="947"/>
      <c r="OKG89" s="947"/>
      <c r="OKH89" s="947"/>
      <c r="OKI89" s="947"/>
      <c r="OKJ89" s="947"/>
      <c r="OKK89" s="947"/>
      <c r="OKL89" s="947"/>
      <c r="OKM89" s="947"/>
      <c r="OKN89" s="947"/>
      <c r="OKO89" s="947"/>
      <c r="OKP89" s="947"/>
      <c r="OKQ89" s="947"/>
      <c r="OKR89" s="947"/>
      <c r="OKS89" s="947"/>
      <c r="OKT89" s="947"/>
      <c r="OKU89" s="947"/>
      <c r="OKV89" s="947"/>
      <c r="OKW89" s="947"/>
      <c r="OKX89" s="947"/>
      <c r="OKY89" s="947"/>
      <c r="OKZ89" s="947"/>
      <c r="OLA89" s="947"/>
      <c r="OLB89" s="947"/>
      <c r="OLC89" s="947"/>
      <c r="OLD89" s="947"/>
      <c r="OLE89" s="947"/>
      <c r="OLF89" s="947"/>
      <c r="OLG89" s="947"/>
      <c r="OLH89" s="947"/>
      <c r="OLI89" s="947"/>
      <c r="OLJ89" s="947"/>
      <c r="OLK89" s="947"/>
      <c r="OLL89" s="947"/>
      <c r="OLM89" s="947"/>
      <c r="OLN89" s="947"/>
      <c r="OLO89" s="947"/>
      <c r="OLP89" s="947"/>
      <c r="OLQ89" s="947"/>
      <c r="OLR89" s="947"/>
      <c r="OLS89" s="947"/>
      <c r="OLT89" s="947"/>
      <c r="OLU89" s="947"/>
      <c r="OLV89" s="947"/>
      <c r="OLW89" s="947"/>
      <c r="OLX89" s="947"/>
      <c r="OLY89" s="947"/>
      <c r="OLZ89" s="947"/>
      <c r="OMA89" s="947"/>
      <c r="OMB89" s="947"/>
      <c r="OMC89" s="947"/>
      <c r="OMD89" s="947"/>
      <c r="OME89" s="947"/>
      <c r="OMF89" s="947"/>
      <c r="OMG89" s="947"/>
      <c r="OMH89" s="947"/>
      <c r="OMI89" s="947"/>
      <c r="OMJ89" s="947"/>
      <c r="OMK89" s="947"/>
      <c r="OML89" s="947"/>
      <c r="OMM89" s="947"/>
      <c r="OMN89" s="947"/>
      <c r="OMO89" s="947"/>
      <c r="OMP89" s="947"/>
      <c r="OMQ89" s="947"/>
      <c r="OMR89" s="947"/>
      <c r="OMS89" s="947"/>
      <c r="OMT89" s="947"/>
      <c r="OMU89" s="947"/>
      <c r="OMV89" s="947"/>
      <c r="OMW89" s="947"/>
      <c r="OMX89" s="947"/>
      <c r="OMY89" s="947"/>
      <c r="OMZ89" s="947"/>
      <c r="ONA89" s="947"/>
      <c r="ONB89" s="947"/>
      <c r="ONC89" s="947"/>
      <c r="OND89" s="947"/>
      <c r="ONE89" s="947"/>
      <c r="ONF89" s="947"/>
      <c r="ONG89" s="947"/>
      <c r="ONH89" s="947"/>
      <c r="ONI89" s="947"/>
      <c r="ONJ89" s="947"/>
      <c r="ONK89" s="947"/>
      <c r="ONL89" s="947"/>
      <c r="ONM89" s="947"/>
      <c r="ONN89" s="947"/>
      <c r="ONO89" s="947"/>
      <c r="ONP89" s="947"/>
      <c r="ONQ89" s="947"/>
      <c r="ONR89" s="947"/>
      <c r="ONS89" s="947"/>
      <c r="ONT89" s="947"/>
      <c r="ONU89" s="947"/>
      <c r="ONV89" s="947"/>
      <c r="ONW89" s="947"/>
      <c r="ONX89" s="947"/>
      <c r="ONY89" s="947"/>
      <c r="ONZ89" s="947"/>
      <c r="OOA89" s="947"/>
      <c r="OOB89" s="947"/>
      <c r="OOC89" s="947"/>
      <c r="OOD89" s="947"/>
      <c r="OOE89" s="947"/>
      <c r="OOF89" s="947"/>
      <c r="OOG89" s="947"/>
      <c r="OOH89" s="947"/>
      <c r="OOI89" s="947"/>
      <c r="OOJ89" s="947"/>
      <c r="OOK89" s="947"/>
      <c r="OOL89" s="947"/>
      <c r="OOM89" s="947"/>
      <c r="OON89" s="947"/>
      <c r="OOO89" s="947"/>
      <c r="OOP89" s="947"/>
      <c r="OOQ89" s="947"/>
      <c r="OOR89" s="947"/>
      <c r="OOS89" s="947"/>
      <c r="OOT89" s="947"/>
      <c r="OOU89" s="947"/>
      <c r="OOV89" s="947"/>
      <c r="OOW89" s="947"/>
      <c r="OOX89" s="947"/>
      <c r="OOY89" s="947"/>
      <c r="OOZ89" s="947"/>
      <c r="OPA89" s="947"/>
      <c r="OPB89" s="947"/>
      <c r="OPC89" s="947"/>
      <c r="OPD89" s="947"/>
      <c r="OPE89" s="947"/>
      <c r="OPF89" s="947"/>
      <c r="OPG89" s="947"/>
      <c r="OPH89" s="947"/>
      <c r="OPI89" s="947"/>
      <c r="OPJ89" s="947"/>
      <c r="OPK89" s="947"/>
      <c r="OPL89" s="947"/>
      <c r="OPM89" s="947"/>
      <c r="OPN89" s="947"/>
      <c r="OPO89" s="947"/>
      <c r="OPP89" s="947"/>
      <c r="OPQ89" s="947"/>
      <c r="OPR89" s="947"/>
      <c r="OPS89" s="947"/>
      <c r="OPT89" s="947"/>
      <c r="OPU89" s="947"/>
      <c r="OPV89" s="947"/>
      <c r="OPW89" s="947"/>
      <c r="OPX89" s="947"/>
      <c r="OPY89" s="947"/>
      <c r="OPZ89" s="947"/>
      <c r="OQA89" s="947"/>
      <c r="OQB89" s="947"/>
      <c r="OQC89" s="947"/>
      <c r="OQD89" s="947"/>
      <c r="OQE89" s="947"/>
      <c r="OQF89" s="947"/>
      <c r="OQG89" s="947"/>
      <c r="OQH89" s="947"/>
      <c r="OQI89" s="947"/>
      <c r="OQJ89" s="947"/>
      <c r="OQK89" s="947"/>
      <c r="OQL89" s="947"/>
      <c r="OQM89" s="947"/>
      <c r="OQN89" s="947"/>
      <c r="OQO89" s="947"/>
      <c r="OQP89" s="947"/>
      <c r="OQQ89" s="947"/>
      <c r="OQR89" s="947"/>
      <c r="OQS89" s="947"/>
      <c r="OQT89" s="947"/>
      <c r="OQU89" s="947"/>
      <c r="OQV89" s="947"/>
      <c r="OQW89" s="947"/>
      <c r="OQX89" s="947"/>
      <c r="OQY89" s="947"/>
      <c r="OQZ89" s="947"/>
      <c r="ORA89" s="947"/>
      <c r="ORB89" s="947"/>
      <c r="ORC89" s="947"/>
      <c r="ORD89" s="947"/>
      <c r="ORE89" s="947"/>
      <c r="ORF89" s="947"/>
      <c r="ORG89" s="947"/>
      <c r="ORH89" s="947"/>
      <c r="ORI89" s="947"/>
      <c r="ORJ89" s="947"/>
      <c r="ORK89" s="947"/>
      <c r="ORL89" s="947"/>
      <c r="ORM89" s="947"/>
      <c r="ORN89" s="947"/>
      <c r="ORO89" s="947"/>
      <c r="ORP89" s="947"/>
      <c r="ORQ89" s="947"/>
      <c r="ORR89" s="947"/>
      <c r="ORS89" s="947"/>
      <c r="ORT89" s="947"/>
      <c r="ORU89" s="947"/>
      <c r="ORV89" s="947"/>
      <c r="ORW89" s="947"/>
      <c r="ORX89" s="947"/>
      <c r="ORY89" s="947"/>
      <c r="ORZ89" s="947"/>
      <c r="OSA89" s="947"/>
      <c r="OSB89" s="947"/>
      <c r="OSC89" s="947"/>
      <c r="OSD89" s="947"/>
      <c r="OSE89" s="947"/>
      <c r="OSF89" s="947"/>
      <c r="OSG89" s="947"/>
      <c r="OSH89" s="947"/>
      <c r="OSI89" s="947"/>
      <c r="OSJ89" s="947"/>
      <c r="OSK89" s="947"/>
      <c r="OSL89" s="947"/>
      <c r="OSM89" s="947"/>
      <c r="OSN89" s="947"/>
      <c r="OSO89" s="947"/>
      <c r="OSP89" s="947"/>
      <c r="OSQ89" s="947"/>
      <c r="OSR89" s="947"/>
      <c r="OSS89" s="947"/>
      <c r="OST89" s="947"/>
      <c r="OSU89" s="947"/>
      <c r="OSV89" s="947"/>
      <c r="OSW89" s="947"/>
      <c r="OSX89" s="947"/>
      <c r="OSY89" s="947"/>
      <c r="OSZ89" s="947"/>
      <c r="OTA89" s="947"/>
      <c r="OTB89" s="947"/>
      <c r="OTC89" s="947"/>
      <c r="OTD89" s="947"/>
      <c r="OTE89" s="947"/>
      <c r="OTF89" s="947"/>
      <c r="OTG89" s="947"/>
      <c r="OTH89" s="947"/>
      <c r="OTI89" s="947"/>
      <c r="OTJ89" s="947"/>
      <c r="OTK89" s="947"/>
      <c r="OTL89" s="947"/>
      <c r="OTM89" s="947"/>
      <c r="OTN89" s="947"/>
      <c r="OTO89" s="947"/>
      <c r="OTP89" s="947"/>
      <c r="OTQ89" s="947"/>
      <c r="OTR89" s="947"/>
      <c r="OTS89" s="947"/>
      <c r="OTT89" s="947"/>
      <c r="OTU89" s="947"/>
      <c r="OTV89" s="947"/>
      <c r="OTW89" s="947"/>
      <c r="OTX89" s="947"/>
      <c r="OTY89" s="947"/>
      <c r="OTZ89" s="947"/>
      <c r="OUA89" s="947"/>
      <c r="OUB89" s="947"/>
      <c r="OUC89" s="947"/>
      <c r="OUD89" s="947"/>
      <c r="OUE89" s="947"/>
      <c r="OUF89" s="947"/>
      <c r="OUG89" s="947"/>
      <c r="OUH89" s="947"/>
      <c r="OUI89" s="947"/>
      <c r="OUJ89" s="947"/>
      <c r="OUK89" s="947"/>
      <c r="OUL89" s="947"/>
      <c r="OUM89" s="947"/>
      <c r="OUN89" s="947"/>
      <c r="OUO89" s="947"/>
      <c r="OUP89" s="947"/>
      <c r="OUQ89" s="947"/>
      <c r="OUR89" s="947"/>
      <c r="OUS89" s="947"/>
      <c r="OUT89" s="947"/>
      <c r="OUU89" s="947"/>
      <c r="OUV89" s="947"/>
      <c r="OUW89" s="947"/>
      <c r="OUX89" s="947"/>
      <c r="OUY89" s="947"/>
      <c r="OUZ89" s="947"/>
      <c r="OVA89" s="947"/>
      <c r="OVB89" s="947"/>
      <c r="OVC89" s="947"/>
      <c r="OVD89" s="947"/>
      <c r="OVE89" s="947"/>
      <c r="OVF89" s="947"/>
      <c r="OVG89" s="947"/>
      <c r="OVH89" s="947"/>
      <c r="OVI89" s="947"/>
      <c r="OVJ89" s="947"/>
      <c r="OVK89" s="947"/>
      <c r="OVL89" s="947"/>
      <c r="OVM89" s="947"/>
      <c r="OVN89" s="947"/>
      <c r="OVO89" s="947"/>
      <c r="OVP89" s="947"/>
      <c r="OVQ89" s="947"/>
      <c r="OVR89" s="947"/>
      <c r="OVS89" s="947"/>
      <c r="OVT89" s="947"/>
      <c r="OVU89" s="947"/>
      <c r="OVV89" s="947"/>
      <c r="OVW89" s="947"/>
      <c r="OVX89" s="947"/>
      <c r="OVY89" s="947"/>
      <c r="OVZ89" s="947"/>
      <c r="OWA89" s="947"/>
      <c r="OWB89" s="947"/>
      <c r="OWC89" s="947"/>
      <c r="OWD89" s="947"/>
      <c r="OWE89" s="947"/>
      <c r="OWF89" s="947"/>
      <c r="OWG89" s="947"/>
      <c r="OWH89" s="947"/>
      <c r="OWI89" s="947"/>
      <c r="OWJ89" s="947"/>
      <c r="OWK89" s="947"/>
      <c r="OWL89" s="947"/>
      <c r="OWM89" s="947"/>
      <c r="OWN89" s="947"/>
      <c r="OWO89" s="947"/>
      <c r="OWP89" s="947"/>
      <c r="OWQ89" s="947"/>
      <c r="OWR89" s="947"/>
      <c r="OWS89" s="947"/>
      <c r="OWT89" s="947"/>
      <c r="OWU89" s="947"/>
      <c r="OWV89" s="947"/>
      <c r="OWW89" s="947"/>
      <c r="OWX89" s="947"/>
      <c r="OWY89" s="947"/>
      <c r="OWZ89" s="947"/>
      <c r="OXA89" s="947"/>
      <c r="OXB89" s="947"/>
      <c r="OXC89" s="947"/>
      <c r="OXD89" s="947"/>
      <c r="OXE89" s="947"/>
      <c r="OXF89" s="947"/>
      <c r="OXG89" s="947"/>
      <c r="OXH89" s="947"/>
      <c r="OXI89" s="947"/>
      <c r="OXJ89" s="947"/>
      <c r="OXK89" s="947"/>
      <c r="OXL89" s="947"/>
      <c r="OXM89" s="947"/>
      <c r="OXN89" s="947"/>
      <c r="OXO89" s="947"/>
      <c r="OXP89" s="947"/>
      <c r="OXQ89" s="947"/>
      <c r="OXR89" s="947"/>
      <c r="OXS89" s="947"/>
      <c r="OXT89" s="947"/>
      <c r="OXU89" s="947"/>
      <c r="OXV89" s="947"/>
      <c r="OXW89" s="947"/>
      <c r="OXX89" s="947"/>
      <c r="OXY89" s="947"/>
      <c r="OXZ89" s="947"/>
      <c r="OYA89" s="947"/>
      <c r="OYB89" s="947"/>
      <c r="OYC89" s="947"/>
      <c r="OYD89" s="947"/>
      <c r="OYE89" s="947"/>
      <c r="OYF89" s="947"/>
      <c r="OYG89" s="947"/>
      <c r="OYH89" s="947"/>
      <c r="OYI89" s="947"/>
      <c r="OYJ89" s="947"/>
      <c r="OYK89" s="947"/>
      <c r="OYL89" s="947"/>
      <c r="OYM89" s="947"/>
      <c r="OYN89" s="947"/>
      <c r="OYO89" s="947"/>
      <c r="OYP89" s="947"/>
      <c r="OYQ89" s="947"/>
      <c r="OYR89" s="947"/>
      <c r="OYS89" s="947"/>
      <c r="OYT89" s="947"/>
      <c r="OYU89" s="947"/>
      <c r="OYV89" s="947"/>
      <c r="OYW89" s="947"/>
      <c r="OYX89" s="947"/>
      <c r="OYY89" s="947"/>
      <c r="OYZ89" s="947"/>
      <c r="OZA89" s="947"/>
      <c r="OZB89" s="947"/>
      <c r="OZC89" s="947"/>
      <c r="OZD89" s="947"/>
      <c r="OZE89" s="947"/>
      <c r="OZF89" s="947"/>
      <c r="OZG89" s="947"/>
      <c r="OZH89" s="947"/>
      <c r="OZI89" s="947"/>
      <c r="OZJ89" s="947"/>
      <c r="OZK89" s="947"/>
      <c r="OZL89" s="947"/>
      <c r="OZM89" s="947"/>
      <c r="OZN89" s="947"/>
      <c r="OZO89" s="947"/>
      <c r="OZP89" s="947"/>
      <c r="OZQ89" s="947"/>
      <c r="OZR89" s="947"/>
      <c r="OZS89" s="947"/>
      <c r="OZT89" s="947"/>
      <c r="OZU89" s="947"/>
      <c r="OZV89" s="947"/>
      <c r="OZW89" s="947"/>
      <c r="OZX89" s="947"/>
      <c r="OZY89" s="947"/>
      <c r="OZZ89" s="947"/>
      <c r="PAA89" s="947"/>
      <c r="PAB89" s="947"/>
      <c r="PAC89" s="947"/>
      <c r="PAD89" s="947"/>
      <c r="PAE89" s="947"/>
      <c r="PAF89" s="947"/>
      <c r="PAG89" s="947"/>
      <c r="PAH89" s="947"/>
      <c r="PAI89" s="947"/>
      <c r="PAJ89" s="947"/>
      <c r="PAK89" s="947"/>
      <c r="PAL89" s="947"/>
      <c r="PAM89" s="947"/>
      <c r="PAN89" s="947"/>
      <c r="PAO89" s="947"/>
      <c r="PAP89" s="947"/>
      <c r="PAQ89" s="947"/>
      <c r="PAR89" s="947"/>
      <c r="PAS89" s="947"/>
      <c r="PAT89" s="947"/>
      <c r="PAU89" s="947"/>
      <c r="PAV89" s="947"/>
      <c r="PAW89" s="947"/>
      <c r="PAX89" s="947"/>
      <c r="PAY89" s="947"/>
      <c r="PAZ89" s="947"/>
      <c r="PBA89" s="947"/>
      <c r="PBB89" s="947"/>
      <c r="PBC89" s="947"/>
      <c r="PBD89" s="947"/>
      <c r="PBE89" s="947"/>
      <c r="PBF89" s="947"/>
      <c r="PBG89" s="947"/>
      <c r="PBH89" s="947"/>
      <c r="PBI89" s="947"/>
      <c r="PBJ89" s="947"/>
      <c r="PBK89" s="947"/>
      <c r="PBL89" s="947"/>
      <c r="PBM89" s="947"/>
      <c r="PBN89" s="947"/>
      <c r="PBO89" s="947"/>
      <c r="PBP89" s="947"/>
      <c r="PBQ89" s="947"/>
      <c r="PBR89" s="947"/>
      <c r="PBS89" s="947"/>
      <c r="PBT89" s="947"/>
      <c r="PBU89" s="947"/>
      <c r="PBV89" s="947"/>
      <c r="PBW89" s="947"/>
      <c r="PBX89" s="947"/>
      <c r="PBY89" s="947"/>
      <c r="PBZ89" s="947"/>
      <c r="PCA89" s="947"/>
      <c r="PCB89" s="947"/>
      <c r="PCC89" s="947"/>
      <c r="PCD89" s="947"/>
      <c r="PCE89" s="947"/>
      <c r="PCF89" s="947"/>
      <c r="PCG89" s="947"/>
      <c r="PCH89" s="947"/>
      <c r="PCI89" s="947"/>
      <c r="PCJ89" s="947"/>
      <c r="PCK89" s="947"/>
      <c r="PCL89" s="947"/>
      <c r="PCM89" s="947"/>
      <c r="PCN89" s="947"/>
      <c r="PCO89" s="947"/>
      <c r="PCP89" s="947"/>
      <c r="PCQ89" s="947"/>
      <c r="PCR89" s="947"/>
      <c r="PCS89" s="947"/>
      <c r="PCT89" s="947"/>
      <c r="PCU89" s="947"/>
      <c r="PCV89" s="947"/>
      <c r="PCW89" s="947"/>
      <c r="PCX89" s="947"/>
      <c r="PCY89" s="947"/>
      <c r="PCZ89" s="947"/>
      <c r="PDA89" s="947"/>
      <c r="PDB89" s="947"/>
      <c r="PDC89" s="947"/>
      <c r="PDD89" s="947"/>
      <c r="PDE89" s="947"/>
      <c r="PDF89" s="947"/>
      <c r="PDG89" s="947"/>
      <c r="PDH89" s="947"/>
      <c r="PDI89" s="947"/>
      <c r="PDJ89" s="947"/>
      <c r="PDK89" s="947"/>
      <c r="PDL89" s="947"/>
      <c r="PDM89" s="947"/>
      <c r="PDN89" s="947"/>
      <c r="PDO89" s="947"/>
      <c r="PDP89" s="947"/>
      <c r="PDQ89" s="947"/>
      <c r="PDR89" s="947"/>
      <c r="PDS89" s="947"/>
      <c r="PDT89" s="947"/>
      <c r="PDU89" s="947"/>
      <c r="PDV89" s="947"/>
      <c r="PDW89" s="947"/>
      <c r="PDX89" s="947"/>
      <c r="PDY89" s="947"/>
      <c r="PDZ89" s="947"/>
      <c r="PEA89" s="947"/>
      <c r="PEB89" s="947"/>
      <c r="PEC89" s="947"/>
      <c r="PED89" s="947"/>
      <c r="PEE89" s="947"/>
      <c r="PEF89" s="947"/>
      <c r="PEG89" s="947"/>
      <c r="PEH89" s="947"/>
      <c r="PEI89" s="947"/>
      <c r="PEJ89" s="947"/>
      <c r="PEK89" s="947"/>
      <c r="PEL89" s="947"/>
      <c r="PEM89" s="947"/>
      <c r="PEN89" s="947"/>
      <c r="PEO89" s="947"/>
      <c r="PEP89" s="947"/>
      <c r="PEQ89" s="947"/>
      <c r="PER89" s="947"/>
      <c r="PES89" s="947"/>
      <c r="PET89" s="947"/>
      <c r="PEU89" s="947"/>
      <c r="PEV89" s="947"/>
      <c r="PEW89" s="947"/>
      <c r="PEX89" s="947"/>
      <c r="PEY89" s="947"/>
      <c r="PEZ89" s="947"/>
      <c r="PFA89" s="947"/>
      <c r="PFB89" s="947"/>
      <c r="PFC89" s="947"/>
      <c r="PFD89" s="947"/>
      <c r="PFE89" s="947"/>
      <c r="PFF89" s="947"/>
      <c r="PFG89" s="947"/>
      <c r="PFH89" s="947"/>
      <c r="PFI89" s="947"/>
      <c r="PFJ89" s="947"/>
      <c r="PFK89" s="947"/>
      <c r="PFL89" s="947"/>
      <c r="PFM89" s="947"/>
      <c r="PFN89" s="947"/>
      <c r="PFO89" s="947"/>
      <c r="PFP89" s="947"/>
      <c r="PFQ89" s="947"/>
      <c r="PFR89" s="947"/>
      <c r="PFS89" s="947"/>
      <c r="PFT89" s="947"/>
      <c r="PFU89" s="947"/>
      <c r="PFV89" s="947"/>
      <c r="PFW89" s="947"/>
      <c r="PFX89" s="947"/>
      <c r="PFY89" s="947"/>
      <c r="PFZ89" s="947"/>
      <c r="PGA89" s="947"/>
      <c r="PGB89" s="947"/>
      <c r="PGC89" s="947"/>
      <c r="PGD89" s="947"/>
      <c r="PGE89" s="947"/>
      <c r="PGF89" s="947"/>
      <c r="PGG89" s="947"/>
      <c r="PGH89" s="947"/>
      <c r="PGI89" s="947"/>
      <c r="PGJ89" s="947"/>
      <c r="PGK89" s="947"/>
      <c r="PGL89" s="947"/>
      <c r="PGM89" s="947"/>
      <c r="PGN89" s="947"/>
      <c r="PGO89" s="947"/>
      <c r="PGP89" s="947"/>
      <c r="PGQ89" s="947"/>
      <c r="PGR89" s="947"/>
      <c r="PGS89" s="947"/>
      <c r="PGT89" s="947"/>
      <c r="PGU89" s="947"/>
      <c r="PGV89" s="947"/>
      <c r="PGW89" s="947"/>
      <c r="PGX89" s="947"/>
      <c r="PGY89" s="947"/>
      <c r="PGZ89" s="947"/>
      <c r="PHA89" s="947"/>
      <c r="PHB89" s="947"/>
      <c r="PHC89" s="947"/>
      <c r="PHD89" s="947"/>
      <c r="PHE89" s="947"/>
      <c r="PHF89" s="947"/>
      <c r="PHG89" s="947"/>
      <c r="PHH89" s="947"/>
      <c r="PHI89" s="947"/>
      <c r="PHJ89" s="947"/>
      <c r="PHK89" s="947"/>
      <c r="PHL89" s="947"/>
      <c r="PHM89" s="947"/>
      <c r="PHN89" s="947"/>
      <c r="PHO89" s="947"/>
      <c r="PHP89" s="947"/>
      <c r="PHQ89" s="947"/>
      <c r="PHR89" s="947"/>
      <c r="PHS89" s="947"/>
      <c r="PHT89" s="947"/>
      <c r="PHU89" s="947"/>
      <c r="PHV89" s="947"/>
      <c r="PHW89" s="947"/>
      <c r="PHX89" s="947"/>
      <c r="PHY89" s="947"/>
      <c r="PHZ89" s="947"/>
      <c r="PIA89" s="947"/>
      <c r="PIB89" s="947"/>
      <c r="PIC89" s="947"/>
      <c r="PID89" s="947"/>
      <c r="PIE89" s="947"/>
      <c r="PIF89" s="947"/>
      <c r="PIG89" s="947"/>
      <c r="PIH89" s="947"/>
      <c r="PII89" s="947"/>
      <c r="PIJ89" s="947"/>
      <c r="PIK89" s="947"/>
      <c r="PIL89" s="947"/>
      <c r="PIM89" s="947"/>
      <c r="PIN89" s="947"/>
      <c r="PIO89" s="947"/>
      <c r="PIP89" s="947"/>
      <c r="PIQ89" s="947"/>
      <c r="PIR89" s="947"/>
      <c r="PIS89" s="947"/>
      <c r="PIT89" s="947"/>
      <c r="PIU89" s="947"/>
      <c r="PIV89" s="947"/>
      <c r="PIW89" s="947"/>
      <c r="PIX89" s="947"/>
      <c r="PIY89" s="947"/>
      <c r="PIZ89" s="947"/>
      <c r="PJA89" s="947"/>
      <c r="PJB89" s="947"/>
      <c r="PJC89" s="947"/>
      <c r="PJD89" s="947"/>
      <c r="PJE89" s="947"/>
      <c r="PJF89" s="947"/>
      <c r="PJG89" s="947"/>
      <c r="PJH89" s="947"/>
      <c r="PJI89" s="947"/>
      <c r="PJJ89" s="947"/>
      <c r="PJK89" s="947"/>
      <c r="PJL89" s="947"/>
      <c r="PJM89" s="947"/>
      <c r="PJN89" s="947"/>
      <c r="PJO89" s="947"/>
      <c r="PJP89" s="947"/>
      <c r="PJQ89" s="947"/>
      <c r="PJR89" s="947"/>
      <c r="PJS89" s="947"/>
      <c r="PJT89" s="947"/>
      <c r="PJU89" s="947"/>
      <c r="PJV89" s="947"/>
      <c r="PJW89" s="947"/>
      <c r="PJX89" s="947"/>
      <c r="PJY89" s="947"/>
      <c r="PJZ89" s="947"/>
      <c r="PKA89" s="947"/>
      <c r="PKB89" s="947"/>
      <c r="PKC89" s="947"/>
      <c r="PKD89" s="947"/>
      <c r="PKE89" s="947"/>
      <c r="PKF89" s="947"/>
      <c r="PKG89" s="947"/>
      <c r="PKH89" s="947"/>
      <c r="PKI89" s="947"/>
      <c r="PKJ89" s="947"/>
      <c r="PKK89" s="947"/>
      <c r="PKL89" s="947"/>
      <c r="PKM89" s="947"/>
      <c r="PKN89" s="947"/>
      <c r="PKO89" s="947"/>
      <c r="PKP89" s="947"/>
      <c r="PKQ89" s="947"/>
      <c r="PKR89" s="947"/>
      <c r="PKS89" s="947"/>
      <c r="PKT89" s="947"/>
      <c r="PKU89" s="947"/>
      <c r="PKV89" s="947"/>
      <c r="PKW89" s="947"/>
      <c r="PKX89" s="947"/>
      <c r="PKY89" s="947"/>
      <c r="PKZ89" s="947"/>
      <c r="PLA89" s="947"/>
      <c r="PLB89" s="947"/>
      <c r="PLC89" s="947"/>
      <c r="PLD89" s="947"/>
      <c r="PLE89" s="947"/>
      <c r="PLF89" s="947"/>
      <c r="PLG89" s="947"/>
      <c r="PLH89" s="947"/>
      <c r="PLI89" s="947"/>
      <c r="PLJ89" s="947"/>
      <c r="PLK89" s="947"/>
      <c r="PLL89" s="947"/>
      <c r="PLM89" s="947"/>
      <c r="PLN89" s="947"/>
      <c r="PLO89" s="947"/>
      <c r="PLP89" s="947"/>
      <c r="PLQ89" s="947"/>
      <c r="PLR89" s="947"/>
      <c r="PLS89" s="947"/>
      <c r="PLT89" s="947"/>
      <c r="PLU89" s="947"/>
      <c r="PLV89" s="947"/>
      <c r="PLW89" s="947"/>
      <c r="PLX89" s="947"/>
      <c r="PLY89" s="947"/>
      <c r="PLZ89" s="947"/>
      <c r="PMA89" s="947"/>
      <c r="PMB89" s="947"/>
      <c r="PMC89" s="947"/>
      <c r="PMD89" s="947"/>
      <c r="PME89" s="947"/>
      <c r="PMF89" s="947"/>
      <c r="PMG89" s="947"/>
      <c r="PMH89" s="947"/>
      <c r="PMI89" s="947"/>
      <c r="PMJ89" s="947"/>
      <c r="PMK89" s="947"/>
      <c r="PML89" s="947"/>
      <c r="PMM89" s="947"/>
      <c r="PMN89" s="947"/>
      <c r="PMO89" s="947"/>
      <c r="PMP89" s="947"/>
      <c r="PMQ89" s="947"/>
      <c r="PMR89" s="947"/>
      <c r="PMS89" s="947"/>
      <c r="PMT89" s="947"/>
      <c r="PMU89" s="947"/>
      <c r="PMV89" s="947"/>
      <c r="PMW89" s="947"/>
      <c r="PMX89" s="947"/>
      <c r="PMY89" s="947"/>
      <c r="PMZ89" s="947"/>
      <c r="PNA89" s="947"/>
      <c r="PNB89" s="947"/>
      <c r="PNC89" s="947"/>
      <c r="PND89" s="947"/>
      <c r="PNE89" s="947"/>
      <c r="PNF89" s="947"/>
      <c r="PNG89" s="947"/>
      <c r="PNH89" s="947"/>
      <c r="PNI89" s="947"/>
      <c r="PNJ89" s="947"/>
      <c r="PNK89" s="947"/>
      <c r="PNL89" s="947"/>
      <c r="PNM89" s="947"/>
      <c r="PNN89" s="947"/>
      <c r="PNO89" s="947"/>
      <c r="PNP89" s="947"/>
      <c r="PNQ89" s="947"/>
      <c r="PNR89" s="947"/>
      <c r="PNS89" s="947"/>
      <c r="PNT89" s="947"/>
      <c r="PNU89" s="947"/>
      <c r="PNV89" s="947"/>
      <c r="PNW89" s="947"/>
      <c r="PNX89" s="947"/>
      <c r="PNY89" s="947"/>
      <c r="PNZ89" s="947"/>
      <c r="POA89" s="947"/>
      <c r="POB89" s="947"/>
      <c r="POC89" s="947"/>
      <c r="POD89" s="947"/>
      <c r="POE89" s="947"/>
      <c r="POF89" s="947"/>
      <c r="POG89" s="947"/>
      <c r="POH89" s="947"/>
      <c r="POI89" s="947"/>
      <c r="POJ89" s="947"/>
      <c r="POK89" s="947"/>
      <c r="POL89" s="947"/>
      <c r="POM89" s="947"/>
      <c r="PON89" s="947"/>
      <c r="POO89" s="947"/>
      <c r="POP89" s="947"/>
      <c r="POQ89" s="947"/>
      <c r="POR89" s="947"/>
      <c r="POS89" s="947"/>
      <c r="POT89" s="947"/>
      <c r="POU89" s="947"/>
      <c r="POV89" s="947"/>
      <c r="POW89" s="947"/>
      <c r="POX89" s="947"/>
      <c r="POY89" s="947"/>
      <c r="POZ89" s="947"/>
      <c r="PPA89" s="947"/>
      <c r="PPB89" s="947"/>
      <c r="PPC89" s="947"/>
      <c r="PPD89" s="947"/>
      <c r="PPE89" s="947"/>
      <c r="PPF89" s="947"/>
      <c r="PPG89" s="947"/>
      <c r="PPH89" s="947"/>
      <c r="PPI89" s="947"/>
      <c r="PPJ89" s="947"/>
      <c r="PPK89" s="947"/>
      <c r="PPL89" s="947"/>
      <c r="PPM89" s="947"/>
      <c r="PPN89" s="947"/>
      <c r="PPO89" s="947"/>
      <c r="PPP89" s="947"/>
      <c r="PPQ89" s="947"/>
      <c r="PPR89" s="947"/>
      <c r="PPS89" s="947"/>
      <c r="PPT89" s="947"/>
      <c r="PPU89" s="947"/>
      <c r="PPV89" s="947"/>
      <c r="PPW89" s="947"/>
      <c r="PPX89" s="947"/>
      <c r="PPY89" s="947"/>
      <c r="PPZ89" s="947"/>
      <c r="PQA89" s="947"/>
      <c r="PQB89" s="947"/>
      <c r="PQC89" s="947"/>
      <c r="PQD89" s="947"/>
      <c r="PQE89" s="947"/>
      <c r="PQF89" s="947"/>
      <c r="PQG89" s="947"/>
      <c r="PQH89" s="947"/>
      <c r="PQI89" s="947"/>
      <c r="PQJ89" s="947"/>
      <c r="PQK89" s="947"/>
      <c r="PQL89" s="947"/>
      <c r="PQM89" s="947"/>
      <c r="PQN89" s="947"/>
      <c r="PQO89" s="947"/>
      <c r="PQP89" s="947"/>
      <c r="PQQ89" s="947"/>
      <c r="PQR89" s="947"/>
      <c r="PQS89" s="947"/>
      <c r="PQT89" s="947"/>
      <c r="PQU89" s="947"/>
      <c r="PQV89" s="947"/>
      <c r="PQW89" s="947"/>
      <c r="PQX89" s="947"/>
      <c r="PQY89" s="947"/>
      <c r="PQZ89" s="947"/>
      <c r="PRA89" s="947"/>
      <c r="PRB89" s="947"/>
      <c r="PRC89" s="947"/>
      <c r="PRD89" s="947"/>
      <c r="PRE89" s="947"/>
      <c r="PRF89" s="947"/>
      <c r="PRG89" s="947"/>
      <c r="PRH89" s="947"/>
      <c r="PRI89" s="947"/>
      <c r="PRJ89" s="947"/>
      <c r="PRK89" s="947"/>
      <c r="PRL89" s="947"/>
      <c r="PRM89" s="947"/>
      <c r="PRN89" s="947"/>
      <c r="PRO89" s="947"/>
      <c r="PRP89" s="947"/>
      <c r="PRQ89" s="947"/>
      <c r="PRR89" s="947"/>
      <c r="PRS89" s="947"/>
      <c r="PRT89" s="947"/>
      <c r="PRU89" s="947"/>
      <c r="PRV89" s="947"/>
      <c r="PRW89" s="947"/>
      <c r="PRX89" s="947"/>
      <c r="PRY89" s="947"/>
      <c r="PRZ89" s="947"/>
      <c r="PSA89" s="947"/>
      <c r="PSB89" s="947"/>
      <c r="PSC89" s="947"/>
      <c r="PSD89" s="947"/>
      <c r="PSE89" s="947"/>
      <c r="PSF89" s="947"/>
      <c r="PSG89" s="947"/>
      <c r="PSH89" s="947"/>
      <c r="PSI89" s="947"/>
      <c r="PSJ89" s="947"/>
      <c r="PSK89" s="947"/>
      <c r="PSL89" s="947"/>
      <c r="PSM89" s="947"/>
      <c r="PSN89" s="947"/>
      <c r="PSO89" s="947"/>
      <c r="PSP89" s="947"/>
      <c r="PSQ89" s="947"/>
      <c r="PSR89" s="947"/>
      <c r="PSS89" s="947"/>
      <c r="PST89" s="947"/>
      <c r="PSU89" s="947"/>
      <c r="PSV89" s="947"/>
      <c r="PSW89" s="947"/>
      <c r="PSX89" s="947"/>
      <c r="PSY89" s="947"/>
      <c r="PSZ89" s="947"/>
      <c r="PTA89" s="947"/>
      <c r="PTB89" s="947"/>
      <c r="PTC89" s="947"/>
      <c r="PTD89" s="947"/>
      <c r="PTE89" s="947"/>
      <c r="PTF89" s="947"/>
      <c r="PTG89" s="947"/>
      <c r="PTH89" s="947"/>
      <c r="PTI89" s="947"/>
      <c r="PTJ89" s="947"/>
      <c r="PTK89" s="947"/>
      <c r="PTL89" s="947"/>
      <c r="PTM89" s="947"/>
      <c r="PTN89" s="947"/>
      <c r="PTO89" s="947"/>
      <c r="PTP89" s="947"/>
      <c r="PTQ89" s="947"/>
      <c r="PTR89" s="947"/>
      <c r="PTS89" s="947"/>
      <c r="PTT89" s="947"/>
      <c r="PTU89" s="947"/>
      <c r="PTV89" s="947"/>
      <c r="PTW89" s="947"/>
      <c r="PTX89" s="947"/>
      <c r="PTY89" s="947"/>
      <c r="PTZ89" s="947"/>
      <c r="PUA89" s="947"/>
      <c r="PUB89" s="947"/>
      <c r="PUC89" s="947"/>
      <c r="PUD89" s="947"/>
      <c r="PUE89" s="947"/>
      <c r="PUF89" s="947"/>
      <c r="PUG89" s="947"/>
      <c r="PUH89" s="947"/>
      <c r="PUI89" s="947"/>
      <c r="PUJ89" s="947"/>
      <c r="PUK89" s="947"/>
      <c r="PUL89" s="947"/>
      <c r="PUM89" s="947"/>
      <c r="PUN89" s="947"/>
      <c r="PUO89" s="947"/>
      <c r="PUP89" s="947"/>
      <c r="PUQ89" s="947"/>
      <c r="PUR89" s="947"/>
      <c r="PUS89" s="947"/>
      <c r="PUT89" s="947"/>
      <c r="PUU89" s="947"/>
      <c r="PUV89" s="947"/>
      <c r="PUW89" s="947"/>
      <c r="PUX89" s="947"/>
      <c r="PUY89" s="947"/>
      <c r="PUZ89" s="947"/>
      <c r="PVA89" s="947"/>
      <c r="PVB89" s="947"/>
      <c r="PVC89" s="947"/>
      <c r="PVD89" s="947"/>
      <c r="PVE89" s="947"/>
      <c r="PVF89" s="947"/>
      <c r="PVG89" s="947"/>
      <c r="PVH89" s="947"/>
      <c r="PVI89" s="947"/>
      <c r="PVJ89" s="947"/>
      <c r="PVK89" s="947"/>
      <c r="PVL89" s="947"/>
      <c r="PVM89" s="947"/>
      <c r="PVN89" s="947"/>
      <c r="PVO89" s="947"/>
      <c r="PVP89" s="947"/>
      <c r="PVQ89" s="947"/>
      <c r="PVR89" s="947"/>
      <c r="PVS89" s="947"/>
      <c r="PVT89" s="947"/>
      <c r="PVU89" s="947"/>
      <c r="PVV89" s="947"/>
      <c r="PVW89" s="947"/>
      <c r="PVX89" s="947"/>
      <c r="PVY89" s="947"/>
      <c r="PVZ89" s="947"/>
      <c r="PWA89" s="947"/>
      <c r="PWB89" s="947"/>
      <c r="PWC89" s="947"/>
      <c r="PWD89" s="947"/>
      <c r="PWE89" s="947"/>
      <c r="PWF89" s="947"/>
      <c r="PWG89" s="947"/>
      <c r="PWH89" s="947"/>
      <c r="PWI89" s="947"/>
      <c r="PWJ89" s="947"/>
      <c r="PWK89" s="947"/>
      <c r="PWL89" s="947"/>
      <c r="PWM89" s="947"/>
      <c r="PWN89" s="947"/>
      <c r="PWO89" s="947"/>
      <c r="PWP89" s="947"/>
      <c r="PWQ89" s="947"/>
      <c r="PWR89" s="947"/>
      <c r="PWS89" s="947"/>
      <c r="PWT89" s="947"/>
      <c r="PWU89" s="947"/>
      <c r="PWV89" s="947"/>
      <c r="PWW89" s="947"/>
      <c r="PWX89" s="947"/>
      <c r="PWY89" s="947"/>
      <c r="PWZ89" s="947"/>
      <c r="PXA89" s="947"/>
      <c r="PXB89" s="947"/>
      <c r="PXC89" s="947"/>
      <c r="PXD89" s="947"/>
      <c r="PXE89" s="947"/>
      <c r="PXF89" s="947"/>
      <c r="PXG89" s="947"/>
      <c r="PXH89" s="947"/>
      <c r="PXI89" s="947"/>
      <c r="PXJ89" s="947"/>
      <c r="PXK89" s="947"/>
      <c r="PXL89" s="947"/>
      <c r="PXM89" s="947"/>
      <c r="PXN89" s="947"/>
      <c r="PXO89" s="947"/>
      <c r="PXP89" s="947"/>
      <c r="PXQ89" s="947"/>
      <c r="PXR89" s="947"/>
      <c r="PXS89" s="947"/>
      <c r="PXT89" s="947"/>
      <c r="PXU89" s="947"/>
      <c r="PXV89" s="947"/>
      <c r="PXW89" s="947"/>
      <c r="PXX89" s="947"/>
      <c r="PXY89" s="947"/>
      <c r="PXZ89" s="947"/>
      <c r="PYA89" s="947"/>
      <c r="PYB89" s="947"/>
      <c r="PYC89" s="947"/>
      <c r="PYD89" s="947"/>
      <c r="PYE89" s="947"/>
      <c r="PYF89" s="947"/>
      <c r="PYG89" s="947"/>
      <c r="PYH89" s="947"/>
      <c r="PYI89" s="947"/>
      <c r="PYJ89" s="947"/>
      <c r="PYK89" s="947"/>
      <c r="PYL89" s="947"/>
      <c r="PYM89" s="947"/>
      <c r="PYN89" s="947"/>
      <c r="PYO89" s="947"/>
      <c r="PYP89" s="947"/>
      <c r="PYQ89" s="947"/>
      <c r="PYR89" s="947"/>
      <c r="PYS89" s="947"/>
      <c r="PYT89" s="947"/>
      <c r="PYU89" s="947"/>
      <c r="PYV89" s="947"/>
      <c r="PYW89" s="947"/>
      <c r="PYX89" s="947"/>
      <c r="PYY89" s="947"/>
      <c r="PYZ89" s="947"/>
      <c r="PZA89" s="947"/>
      <c r="PZB89" s="947"/>
      <c r="PZC89" s="947"/>
      <c r="PZD89" s="947"/>
      <c r="PZE89" s="947"/>
      <c r="PZF89" s="947"/>
      <c r="PZG89" s="947"/>
      <c r="PZH89" s="947"/>
      <c r="PZI89" s="947"/>
      <c r="PZJ89" s="947"/>
      <c r="PZK89" s="947"/>
      <c r="PZL89" s="947"/>
      <c r="PZM89" s="947"/>
      <c r="PZN89" s="947"/>
      <c r="PZO89" s="947"/>
      <c r="PZP89" s="947"/>
      <c r="PZQ89" s="947"/>
      <c r="PZR89" s="947"/>
      <c r="PZS89" s="947"/>
      <c r="PZT89" s="947"/>
      <c r="PZU89" s="947"/>
      <c r="PZV89" s="947"/>
      <c r="PZW89" s="947"/>
      <c r="PZX89" s="947"/>
      <c r="PZY89" s="947"/>
      <c r="PZZ89" s="947"/>
      <c r="QAA89" s="947"/>
      <c r="QAB89" s="947"/>
      <c r="QAC89" s="947"/>
      <c r="QAD89" s="947"/>
      <c r="QAE89" s="947"/>
      <c r="QAF89" s="947"/>
      <c r="QAG89" s="947"/>
      <c r="QAH89" s="947"/>
      <c r="QAI89" s="947"/>
      <c r="QAJ89" s="947"/>
      <c r="QAK89" s="947"/>
      <c r="QAL89" s="947"/>
      <c r="QAM89" s="947"/>
      <c r="QAN89" s="947"/>
      <c r="QAO89" s="947"/>
      <c r="QAP89" s="947"/>
      <c r="QAQ89" s="947"/>
      <c r="QAR89" s="947"/>
      <c r="QAS89" s="947"/>
      <c r="QAT89" s="947"/>
      <c r="QAU89" s="947"/>
      <c r="QAV89" s="947"/>
      <c r="QAW89" s="947"/>
      <c r="QAX89" s="947"/>
      <c r="QAY89" s="947"/>
      <c r="QAZ89" s="947"/>
      <c r="QBA89" s="947"/>
      <c r="QBB89" s="947"/>
      <c r="QBC89" s="947"/>
      <c r="QBD89" s="947"/>
      <c r="QBE89" s="947"/>
      <c r="QBF89" s="947"/>
      <c r="QBG89" s="947"/>
      <c r="QBH89" s="947"/>
      <c r="QBI89" s="947"/>
      <c r="QBJ89" s="947"/>
      <c r="QBK89" s="947"/>
      <c r="QBL89" s="947"/>
      <c r="QBM89" s="947"/>
      <c r="QBN89" s="947"/>
      <c r="QBO89" s="947"/>
      <c r="QBP89" s="947"/>
      <c r="QBQ89" s="947"/>
      <c r="QBR89" s="947"/>
      <c r="QBS89" s="947"/>
      <c r="QBT89" s="947"/>
      <c r="QBU89" s="947"/>
      <c r="QBV89" s="947"/>
      <c r="QBW89" s="947"/>
      <c r="QBX89" s="947"/>
      <c r="QBY89" s="947"/>
      <c r="QBZ89" s="947"/>
      <c r="QCA89" s="947"/>
      <c r="QCB89" s="947"/>
      <c r="QCC89" s="947"/>
      <c r="QCD89" s="947"/>
      <c r="QCE89" s="947"/>
      <c r="QCF89" s="947"/>
      <c r="QCG89" s="947"/>
      <c r="QCH89" s="947"/>
      <c r="QCI89" s="947"/>
      <c r="QCJ89" s="947"/>
      <c r="QCK89" s="947"/>
      <c r="QCL89" s="947"/>
      <c r="QCM89" s="947"/>
      <c r="QCN89" s="947"/>
      <c r="QCO89" s="947"/>
      <c r="QCP89" s="947"/>
      <c r="QCQ89" s="947"/>
      <c r="QCR89" s="947"/>
      <c r="QCS89" s="947"/>
      <c r="QCT89" s="947"/>
      <c r="QCU89" s="947"/>
      <c r="QCV89" s="947"/>
      <c r="QCW89" s="947"/>
      <c r="QCX89" s="947"/>
      <c r="QCY89" s="947"/>
      <c r="QCZ89" s="947"/>
      <c r="QDA89" s="947"/>
      <c r="QDB89" s="947"/>
      <c r="QDC89" s="947"/>
      <c r="QDD89" s="947"/>
      <c r="QDE89" s="947"/>
      <c r="QDF89" s="947"/>
      <c r="QDG89" s="947"/>
      <c r="QDH89" s="947"/>
      <c r="QDI89" s="947"/>
      <c r="QDJ89" s="947"/>
      <c r="QDK89" s="947"/>
      <c r="QDL89" s="947"/>
      <c r="QDM89" s="947"/>
      <c r="QDN89" s="947"/>
      <c r="QDO89" s="947"/>
      <c r="QDP89" s="947"/>
      <c r="QDQ89" s="947"/>
      <c r="QDR89" s="947"/>
      <c r="QDS89" s="947"/>
      <c r="QDT89" s="947"/>
      <c r="QDU89" s="947"/>
      <c r="QDV89" s="947"/>
      <c r="QDW89" s="947"/>
      <c r="QDX89" s="947"/>
      <c r="QDY89" s="947"/>
      <c r="QDZ89" s="947"/>
      <c r="QEA89" s="947"/>
      <c r="QEB89" s="947"/>
      <c r="QEC89" s="947"/>
      <c r="QED89" s="947"/>
      <c r="QEE89" s="947"/>
      <c r="QEF89" s="947"/>
      <c r="QEG89" s="947"/>
      <c r="QEH89" s="947"/>
      <c r="QEI89" s="947"/>
      <c r="QEJ89" s="947"/>
      <c r="QEK89" s="947"/>
      <c r="QEL89" s="947"/>
      <c r="QEM89" s="947"/>
      <c r="QEN89" s="947"/>
      <c r="QEO89" s="947"/>
      <c r="QEP89" s="947"/>
      <c r="QEQ89" s="947"/>
      <c r="QER89" s="947"/>
      <c r="QES89" s="947"/>
      <c r="QET89" s="947"/>
      <c r="QEU89" s="947"/>
      <c r="QEV89" s="947"/>
      <c r="QEW89" s="947"/>
      <c r="QEX89" s="947"/>
      <c r="QEY89" s="947"/>
      <c r="QEZ89" s="947"/>
      <c r="QFA89" s="947"/>
      <c r="QFB89" s="947"/>
      <c r="QFC89" s="947"/>
      <c r="QFD89" s="947"/>
      <c r="QFE89" s="947"/>
      <c r="QFF89" s="947"/>
      <c r="QFG89" s="947"/>
      <c r="QFH89" s="947"/>
      <c r="QFI89" s="947"/>
      <c r="QFJ89" s="947"/>
      <c r="QFK89" s="947"/>
      <c r="QFL89" s="947"/>
      <c r="QFM89" s="947"/>
      <c r="QFN89" s="947"/>
      <c r="QFO89" s="947"/>
      <c r="QFP89" s="947"/>
      <c r="QFQ89" s="947"/>
      <c r="QFR89" s="947"/>
      <c r="QFS89" s="947"/>
      <c r="QFT89" s="947"/>
      <c r="QFU89" s="947"/>
      <c r="QFV89" s="947"/>
      <c r="QFW89" s="947"/>
      <c r="QFX89" s="947"/>
      <c r="QFY89" s="947"/>
      <c r="QFZ89" s="947"/>
      <c r="QGA89" s="947"/>
      <c r="QGB89" s="947"/>
      <c r="QGC89" s="947"/>
      <c r="QGD89" s="947"/>
      <c r="QGE89" s="947"/>
      <c r="QGF89" s="947"/>
      <c r="QGG89" s="947"/>
      <c r="QGH89" s="947"/>
      <c r="QGI89" s="947"/>
      <c r="QGJ89" s="947"/>
      <c r="QGK89" s="947"/>
      <c r="QGL89" s="947"/>
      <c r="QGM89" s="947"/>
      <c r="QGN89" s="947"/>
      <c r="QGO89" s="947"/>
      <c r="QGP89" s="947"/>
      <c r="QGQ89" s="947"/>
      <c r="QGR89" s="947"/>
      <c r="QGS89" s="947"/>
      <c r="QGT89" s="947"/>
      <c r="QGU89" s="947"/>
      <c r="QGV89" s="947"/>
      <c r="QGW89" s="947"/>
      <c r="QGX89" s="947"/>
      <c r="QGY89" s="947"/>
      <c r="QGZ89" s="947"/>
      <c r="QHA89" s="947"/>
      <c r="QHB89" s="947"/>
      <c r="QHC89" s="947"/>
      <c r="QHD89" s="947"/>
      <c r="QHE89" s="947"/>
      <c r="QHF89" s="947"/>
      <c r="QHG89" s="947"/>
      <c r="QHH89" s="947"/>
      <c r="QHI89" s="947"/>
      <c r="QHJ89" s="947"/>
      <c r="QHK89" s="947"/>
      <c r="QHL89" s="947"/>
      <c r="QHM89" s="947"/>
      <c r="QHN89" s="947"/>
      <c r="QHO89" s="947"/>
      <c r="QHP89" s="947"/>
      <c r="QHQ89" s="947"/>
      <c r="QHR89" s="947"/>
      <c r="QHS89" s="947"/>
      <c r="QHT89" s="947"/>
      <c r="QHU89" s="947"/>
      <c r="QHV89" s="947"/>
      <c r="QHW89" s="947"/>
      <c r="QHX89" s="947"/>
      <c r="QHY89" s="947"/>
      <c r="QHZ89" s="947"/>
      <c r="QIA89" s="947"/>
      <c r="QIB89" s="947"/>
      <c r="QIC89" s="947"/>
      <c r="QID89" s="947"/>
      <c r="QIE89" s="947"/>
      <c r="QIF89" s="947"/>
      <c r="QIG89" s="947"/>
      <c r="QIH89" s="947"/>
      <c r="QII89" s="947"/>
      <c r="QIJ89" s="947"/>
      <c r="QIK89" s="947"/>
      <c r="QIL89" s="947"/>
      <c r="QIM89" s="947"/>
      <c r="QIN89" s="947"/>
      <c r="QIO89" s="947"/>
      <c r="QIP89" s="947"/>
      <c r="QIQ89" s="947"/>
      <c r="QIR89" s="947"/>
      <c r="QIS89" s="947"/>
      <c r="QIT89" s="947"/>
      <c r="QIU89" s="947"/>
      <c r="QIV89" s="947"/>
      <c r="QIW89" s="947"/>
      <c r="QIX89" s="947"/>
      <c r="QIY89" s="947"/>
      <c r="QIZ89" s="947"/>
      <c r="QJA89" s="947"/>
      <c r="QJB89" s="947"/>
      <c r="QJC89" s="947"/>
      <c r="QJD89" s="947"/>
      <c r="QJE89" s="947"/>
      <c r="QJF89" s="947"/>
      <c r="QJG89" s="947"/>
      <c r="QJH89" s="947"/>
      <c r="QJI89" s="947"/>
      <c r="QJJ89" s="947"/>
      <c r="QJK89" s="947"/>
      <c r="QJL89" s="947"/>
      <c r="QJM89" s="947"/>
      <c r="QJN89" s="947"/>
      <c r="QJO89" s="947"/>
      <c r="QJP89" s="947"/>
      <c r="QJQ89" s="947"/>
      <c r="QJR89" s="947"/>
      <c r="QJS89" s="947"/>
      <c r="QJT89" s="947"/>
      <c r="QJU89" s="947"/>
      <c r="QJV89" s="947"/>
      <c r="QJW89" s="947"/>
      <c r="QJX89" s="947"/>
      <c r="QJY89" s="947"/>
      <c r="QJZ89" s="947"/>
      <c r="QKA89" s="947"/>
      <c r="QKB89" s="947"/>
      <c r="QKC89" s="947"/>
      <c r="QKD89" s="947"/>
      <c r="QKE89" s="947"/>
      <c r="QKF89" s="947"/>
      <c r="QKG89" s="947"/>
      <c r="QKH89" s="947"/>
      <c r="QKI89" s="947"/>
      <c r="QKJ89" s="947"/>
      <c r="QKK89" s="947"/>
      <c r="QKL89" s="947"/>
      <c r="QKM89" s="947"/>
      <c r="QKN89" s="947"/>
      <c r="QKO89" s="947"/>
      <c r="QKP89" s="947"/>
      <c r="QKQ89" s="947"/>
      <c r="QKR89" s="947"/>
      <c r="QKS89" s="947"/>
      <c r="QKT89" s="947"/>
      <c r="QKU89" s="947"/>
      <c r="QKV89" s="947"/>
      <c r="QKW89" s="947"/>
      <c r="QKX89" s="947"/>
      <c r="QKY89" s="947"/>
      <c r="QKZ89" s="947"/>
      <c r="QLA89" s="947"/>
      <c r="QLB89" s="947"/>
      <c r="QLC89" s="947"/>
      <c r="QLD89" s="947"/>
      <c r="QLE89" s="947"/>
      <c r="QLF89" s="947"/>
      <c r="QLG89" s="947"/>
      <c r="QLH89" s="947"/>
      <c r="QLI89" s="947"/>
      <c r="QLJ89" s="947"/>
      <c r="QLK89" s="947"/>
      <c r="QLL89" s="947"/>
      <c r="QLM89" s="947"/>
      <c r="QLN89" s="947"/>
      <c r="QLO89" s="947"/>
      <c r="QLP89" s="947"/>
      <c r="QLQ89" s="947"/>
      <c r="QLR89" s="947"/>
      <c r="QLS89" s="947"/>
      <c r="QLT89" s="947"/>
      <c r="QLU89" s="947"/>
      <c r="QLV89" s="947"/>
      <c r="QLW89" s="947"/>
      <c r="QLX89" s="947"/>
      <c r="QLY89" s="947"/>
      <c r="QLZ89" s="947"/>
      <c r="QMA89" s="947"/>
      <c r="QMB89" s="947"/>
      <c r="QMC89" s="947"/>
      <c r="QMD89" s="947"/>
      <c r="QME89" s="947"/>
      <c r="QMF89" s="947"/>
      <c r="QMG89" s="947"/>
      <c r="QMH89" s="947"/>
      <c r="QMI89" s="947"/>
      <c r="QMJ89" s="947"/>
      <c r="QMK89" s="947"/>
      <c r="QML89" s="947"/>
      <c r="QMM89" s="947"/>
      <c r="QMN89" s="947"/>
      <c r="QMO89" s="947"/>
      <c r="QMP89" s="947"/>
      <c r="QMQ89" s="947"/>
      <c r="QMR89" s="947"/>
      <c r="QMS89" s="947"/>
      <c r="QMT89" s="947"/>
      <c r="QMU89" s="947"/>
      <c r="QMV89" s="947"/>
      <c r="QMW89" s="947"/>
      <c r="QMX89" s="947"/>
      <c r="QMY89" s="947"/>
      <c r="QMZ89" s="947"/>
      <c r="QNA89" s="947"/>
      <c r="QNB89" s="947"/>
      <c r="QNC89" s="947"/>
      <c r="QND89" s="947"/>
      <c r="QNE89" s="947"/>
      <c r="QNF89" s="947"/>
      <c r="QNG89" s="947"/>
      <c r="QNH89" s="947"/>
      <c r="QNI89" s="947"/>
      <c r="QNJ89" s="947"/>
      <c r="QNK89" s="947"/>
      <c r="QNL89" s="947"/>
      <c r="QNM89" s="947"/>
      <c r="QNN89" s="947"/>
      <c r="QNO89" s="947"/>
      <c r="QNP89" s="947"/>
      <c r="QNQ89" s="947"/>
      <c r="QNR89" s="947"/>
      <c r="QNS89" s="947"/>
      <c r="QNT89" s="947"/>
      <c r="QNU89" s="947"/>
      <c r="QNV89" s="947"/>
      <c r="QNW89" s="947"/>
      <c r="QNX89" s="947"/>
      <c r="QNY89" s="947"/>
      <c r="QNZ89" s="947"/>
      <c r="QOA89" s="947"/>
      <c r="QOB89" s="947"/>
      <c r="QOC89" s="947"/>
      <c r="QOD89" s="947"/>
      <c r="QOE89" s="947"/>
      <c r="QOF89" s="947"/>
      <c r="QOG89" s="947"/>
      <c r="QOH89" s="947"/>
      <c r="QOI89" s="947"/>
      <c r="QOJ89" s="947"/>
      <c r="QOK89" s="947"/>
      <c r="QOL89" s="947"/>
      <c r="QOM89" s="947"/>
      <c r="QON89" s="947"/>
      <c r="QOO89" s="947"/>
      <c r="QOP89" s="947"/>
      <c r="QOQ89" s="947"/>
      <c r="QOR89" s="947"/>
      <c r="QOS89" s="947"/>
      <c r="QOT89" s="947"/>
      <c r="QOU89" s="947"/>
      <c r="QOV89" s="947"/>
      <c r="QOW89" s="947"/>
      <c r="QOX89" s="947"/>
      <c r="QOY89" s="947"/>
      <c r="QOZ89" s="947"/>
      <c r="QPA89" s="947"/>
      <c r="QPB89" s="947"/>
      <c r="QPC89" s="947"/>
      <c r="QPD89" s="947"/>
      <c r="QPE89" s="947"/>
      <c r="QPF89" s="947"/>
      <c r="QPG89" s="947"/>
      <c r="QPH89" s="947"/>
      <c r="QPI89" s="947"/>
      <c r="QPJ89" s="947"/>
      <c r="QPK89" s="947"/>
      <c r="QPL89" s="947"/>
      <c r="QPM89" s="947"/>
      <c r="QPN89" s="947"/>
      <c r="QPO89" s="947"/>
      <c r="QPP89" s="947"/>
      <c r="QPQ89" s="947"/>
      <c r="QPR89" s="947"/>
      <c r="QPS89" s="947"/>
      <c r="QPT89" s="947"/>
      <c r="QPU89" s="947"/>
      <c r="QPV89" s="947"/>
      <c r="QPW89" s="947"/>
      <c r="QPX89" s="947"/>
      <c r="QPY89" s="947"/>
      <c r="QPZ89" s="947"/>
      <c r="QQA89" s="947"/>
      <c r="QQB89" s="947"/>
      <c r="QQC89" s="947"/>
      <c r="QQD89" s="947"/>
      <c r="QQE89" s="947"/>
      <c r="QQF89" s="947"/>
      <c r="QQG89" s="947"/>
      <c r="QQH89" s="947"/>
      <c r="QQI89" s="947"/>
      <c r="QQJ89" s="947"/>
      <c r="QQK89" s="947"/>
      <c r="QQL89" s="947"/>
      <c r="QQM89" s="947"/>
      <c r="QQN89" s="947"/>
      <c r="QQO89" s="947"/>
      <c r="QQP89" s="947"/>
      <c r="QQQ89" s="947"/>
      <c r="QQR89" s="947"/>
      <c r="QQS89" s="947"/>
      <c r="QQT89" s="947"/>
      <c r="QQU89" s="947"/>
      <c r="QQV89" s="947"/>
      <c r="QQW89" s="947"/>
      <c r="QQX89" s="947"/>
      <c r="QQY89" s="947"/>
      <c r="QQZ89" s="947"/>
      <c r="QRA89" s="947"/>
      <c r="QRB89" s="947"/>
      <c r="QRC89" s="947"/>
      <c r="QRD89" s="947"/>
      <c r="QRE89" s="947"/>
      <c r="QRF89" s="947"/>
      <c r="QRG89" s="947"/>
      <c r="QRH89" s="947"/>
      <c r="QRI89" s="947"/>
      <c r="QRJ89" s="947"/>
      <c r="QRK89" s="947"/>
      <c r="QRL89" s="947"/>
      <c r="QRM89" s="947"/>
      <c r="QRN89" s="947"/>
      <c r="QRO89" s="947"/>
      <c r="QRP89" s="947"/>
      <c r="QRQ89" s="947"/>
      <c r="QRR89" s="947"/>
      <c r="QRS89" s="947"/>
      <c r="QRT89" s="947"/>
      <c r="QRU89" s="947"/>
      <c r="QRV89" s="947"/>
      <c r="QRW89" s="947"/>
      <c r="QRX89" s="947"/>
      <c r="QRY89" s="947"/>
      <c r="QRZ89" s="947"/>
      <c r="QSA89" s="947"/>
      <c r="QSB89" s="947"/>
      <c r="QSC89" s="947"/>
      <c r="QSD89" s="947"/>
      <c r="QSE89" s="947"/>
      <c r="QSF89" s="947"/>
      <c r="QSG89" s="947"/>
      <c r="QSH89" s="947"/>
      <c r="QSI89" s="947"/>
      <c r="QSJ89" s="947"/>
      <c r="QSK89" s="947"/>
      <c r="QSL89" s="947"/>
      <c r="QSM89" s="947"/>
      <c r="QSN89" s="947"/>
      <c r="QSO89" s="947"/>
      <c r="QSP89" s="947"/>
      <c r="QSQ89" s="947"/>
      <c r="QSR89" s="947"/>
      <c r="QSS89" s="947"/>
      <c r="QST89" s="947"/>
      <c r="QSU89" s="947"/>
      <c r="QSV89" s="947"/>
      <c r="QSW89" s="947"/>
      <c r="QSX89" s="947"/>
      <c r="QSY89" s="947"/>
      <c r="QSZ89" s="947"/>
      <c r="QTA89" s="947"/>
      <c r="QTB89" s="947"/>
      <c r="QTC89" s="947"/>
      <c r="QTD89" s="947"/>
      <c r="QTE89" s="947"/>
      <c r="QTF89" s="947"/>
      <c r="QTG89" s="947"/>
      <c r="QTH89" s="947"/>
      <c r="QTI89" s="947"/>
      <c r="QTJ89" s="947"/>
      <c r="QTK89" s="947"/>
      <c r="QTL89" s="947"/>
      <c r="QTM89" s="947"/>
      <c r="QTN89" s="947"/>
      <c r="QTO89" s="947"/>
      <c r="QTP89" s="947"/>
      <c r="QTQ89" s="947"/>
      <c r="QTR89" s="947"/>
      <c r="QTS89" s="947"/>
      <c r="QTT89" s="947"/>
      <c r="QTU89" s="947"/>
      <c r="QTV89" s="947"/>
      <c r="QTW89" s="947"/>
      <c r="QTX89" s="947"/>
      <c r="QTY89" s="947"/>
      <c r="QTZ89" s="947"/>
      <c r="QUA89" s="947"/>
      <c r="QUB89" s="947"/>
      <c r="QUC89" s="947"/>
      <c r="QUD89" s="947"/>
      <c r="QUE89" s="947"/>
      <c r="QUF89" s="947"/>
      <c r="QUG89" s="947"/>
      <c r="QUH89" s="947"/>
      <c r="QUI89" s="947"/>
      <c r="QUJ89" s="947"/>
      <c r="QUK89" s="947"/>
      <c r="QUL89" s="947"/>
      <c r="QUM89" s="947"/>
      <c r="QUN89" s="947"/>
      <c r="QUO89" s="947"/>
      <c r="QUP89" s="947"/>
      <c r="QUQ89" s="947"/>
      <c r="QUR89" s="947"/>
      <c r="QUS89" s="947"/>
      <c r="QUT89" s="947"/>
      <c r="QUU89" s="947"/>
      <c r="QUV89" s="947"/>
      <c r="QUW89" s="947"/>
      <c r="QUX89" s="947"/>
      <c r="QUY89" s="947"/>
      <c r="QUZ89" s="947"/>
      <c r="QVA89" s="947"/>
      <c r="QVB89" s="947"/>
      <c r="QVC89" s="947"/>
      <c r="QVD89" s="947"/>
      <c r="QVE89" s="947"/>
      <c r="QVF89" s="947"/>
      <c r="QVG89" s="947"/>
      <c r="QVH89" s="947"/>
      <c r="QVI89" s="947"/>
      <c r="QVJ89" s="947"/>
      <c r="QVK89" s="947"/>
      <c r="QVL89" s="947"/>
      <c r="QVM89" s="947"/>
      <c r="QVN89" s="947"/>
      <c r="QVO89" s="947"/>
      <c r="QVP89" s="947"/>
      <c r="QVQ89" s="947"/>
      <c r="QVR89" s="947"/>
      <c r="QVS89" s="947"/>
      <c r="QVT89" s="947"/>
      <c r="QVU89" s="947"/>
      <c r="QVV89" s="947"/>
      <c r="QVW89" s="947"/>
      <c r="QVX89" s="947"/>
      <c r="QVY89" s="947"/>
      <c r="QVZ89" s="947"/>
      <c r="QWA89" s="947"/>
      <c r="QWB89" s="947"/>
      <c r="QWC89" s="947"/>
      <c r="QWD89" s="947"/>
      <c r="QWE89" s="947"/>
      <c r="QWF89" s="947"/>
      <c r="QWG89" s="947"/>
      <c r="QWH89" s="947"/>
      <c r="QWI89" s="947"/>
      <c r="QWJ89" s="947"/>
      <c r="QWK89" s="947"/>
      <c r="QWL89" s="947"/>
      <c r="QWM89" s="947"/>
      <c r="QWN89" s="947"/>
      <c r="QWO89" s="947"/>
      <c r="QWP89" s="947"/>
      <c r="QWQ89" s="947"/>
      <c r="QWR89" s="947"/>
      <c r="QWS89" s="947"/>
      <c r="QWT89" s="947"/>
      <c r="QWU89" s="947"/>
      <c r="QWV89" s="947"/>
      <c r="QWW89" s="947"/>
      <c r="QWX89" s="947"/>
      <c r="QWY89" s="947"/>
      <c r="QWZ89" s="947"/>
      <c r="QXA89" s="947"/>
      <c r="QXB89" s="947"/>
      <c r="QXC89" s="947"/>
      <c r="QXD89" s="947"/>
      <c r="QXE89" s="947"/>
      <c r="QXF89" s="947"/>
      <c r="QXG89" s="947"/>
      <c r="QXH89" s="947"/>
      <c r="QXI89" s="947"/>
      <c r="QXJ89" s="947"/>
      <c r="QXK89" s="947"/>
      <c r="QXL89" s="947"/>
      <c r="QXM89" s="947"/>
      <c r="QXN89" s="947"/>
      <c r="QXO89" s="947"/>
      <c r="QXP89" s="947"/>
      <c r="QXQ89" s="947"/>
      <c r="QXR89" s="947"/>
      <c r="QXS89" s="947"/>
      <c r="QXT89" s="947"/>
      <c r="QXU89" s="947"/>
      <c r="QXV89" s="947"/>
      <c r="QXW89" s="947"/>
      <c r="QXX89" s="947"/>
      <c r="QXY89" s="947"/>
      <c r="QXZ89" s="947"/>
      <c r="QYA89" s="947"/>
      <c r="QYB89" s="947"/>
      <c r="QYC89" s="947"/>
      <c r="QYD89" s="947"/>
      <c r="QYE89" s="947"/>
      <c r="QYF89" s="947"/>
      <c r="QYG89" s="947"/>
      <c r="QYH89" s="947"/>
      <c r="QYI89" s="947"/>
      <c r="QYJ89" s="947"/>
      <c r="QYK89" s="947"/>
      <c r="QYL89" s="947"/>
      <c r="QYM89" s="947"/>
      <c r="QYN89" s="947"/>
      <c r="QYO89" s="947"/>
      <c r="QYP89" s="947"/>
      <c r="QYQ89" s="947"/>
      <c r="QYR89" s="947"/>
      <c r="QYS89" s="947"/>
      <c r="QYT89" s="947"/>
      <c r="QYU89" s="947"/>
      <c r="QYV89" s="947"/>
      <c r="QYW89" s="947"/>
      <c r="QYX89" s="947"/>
      <c r="QYY89" s="947"/>
      <c r="QYZ89" s="947"/>
      <c r="QZA89" s="947"/>
      <c r="QZB89" s="947"/>
      <c r="QZC89" s="947"/>
      <c r="QZD89" s="947"/>
      <c r="QZE89" s="947"/>
      <c r="QZF89" s="947"/>
      <c r="QZG89" s="947"/>
      <c r="QZH89" s="947"/>
      <c r="QZI89" s="947"/>
      <c r="QZJ89" s="947"/>
      <c r="QZK89" s="947"/>
      <c r="QZL89" s="947"/>
      <c r="QZM89" s="947"/>
      <c r="QZN89" s="947"/>
      <c r="QZO89" s="947"/>
      <c r="QZP89" s="947"/>
      <c r="QZQ89" s="947"/>
      <c r="QZR89" s="947"/>
      <c r="QZS89" s="947"/>
      <c r="QZT89" s="947"/>
      <c r="QZU89" s="947"/>
      <c r="QZV89" s="947"/>
      <c r="QZW89" s="947"/>
      <c r="QZX89" s="947"/>
      <c r="QZY89" s="947"/>
      <c r="QZZ89" s="947"/>
      <c r="RAA89" s="947"/>
      <c r="RAB89" s="947"/>
      <c r="RAC89" s="947"/>
      <c r="RAD89" s="947"/>
      <c r="RAE89" s="947"/>
      <c r="RAF89" s="947"/>
      <c r="RAG89" s="947"/>
      <c r="RAH89" s="947"/>
      <c r="RAI89" s="947"/>
      <c r="RAJ89" s="947"/>
      <c r="RAK89" s="947"/>
      <c r="RAL89" s="947"/>
      <c r="RAM89" s="947"/>
      <c r="RAN89" s="947"/>
      <c r="RAO89" s="947"/>
      <c r="RAP89" s="947"/>
      <c r="RAQ89" s="947"/>
      <c r="RAR89" s="947"/>
      <c r="RAS89" s="947"/>
      <c r="RAT89" s="947"/>
      <c r="RAU89" s="947"/>
      <c r="RAV89" s="947"/>
      <c r="RAW89" s="947"/>
      <c r="RAX89" s="947"/>
      <c r="RAY89" s="947"/>
      <c r="RAZ89" s="947"/>
      <c r="RBA89" s="947"/>
      <c r="RBB89" s="947"/>
      <c r="RBC89" s="947"/>
      <c r="RBD89" s="947"/>
      <c r="RBE89" s="947"/>
      <c r="RBF89" s="947"/>
      <c r="RBG89" s="947"/>
      <c r="RBH89" s="947"/>
      <c r="RBI89" s="947"/>
      <c r="RBJ89" s="947"/>
      <c r="RBK89" s="947"/>
      <c r="RBL89" s="947"/>
      <c r="RBM89" s="947"/>
      <c r="RBN89" s="947"/>
      <c r="RBO89" s="947"/>
      <c r="RBP89" s="947"/>
      <c r="RBQ89" s="947"/>
      <c r="RBR89" s="947"/>
      <c r="RBS89" s="947"/>
      <c r="RBT89" s="947"/>
      <c r="RBU89" s="947"/>
      <c r="RBV89" s="947"/>
      <c r="RBW89" s="947"/>
      <c r="RBX89" s="947"/>
      <c r="RBY89" s="947"/>
      <c r="RBZ89" s="947"/>
      <c r="RCA89" s="947"/>
      <c r="RCB89" s="947"/>
      <c r="RCC89" s="947"/>
      <c r="RCD89" s="947"/>
      <c r="RCE89" s="947"/>
      <c r="RCF89" s="947"/>
      <c r="RCG89" s="947"/>
      <c r="RCH89" s="947"/>
      <c r="RCI89" s="947"/>
      <c r="RCJ89" s="947"/>
      <c r="RCK89" s="947"/>
      <c r="RCL89" s="947"/>
      <c r="RCM89" s="947"/>
      <c r="RCN89" s="947"/>
      <c r="RCO89" s="947"/>
      <c r="RCP89" s="947"/>
      <c r="RCQ89" s="947"/>
      <c r="RCR89" s="947"/>
      <c r="RCS89" s="947"/>
      <c r="RCT89" s="947"/>
      <c r="RCU89" s="947"/>
      <c r="RCV89" s="947"/>
      <c r="RCW89" s="947"/>
      <c r="RCX89" s="947"/>
      <c r="RCY89" s="947"/>
      <c r="RCZ89" s="947"/>
      <c r="RDA89" s="947"/>
      <c r="RDB89" s="947"/>
      <c r="RDC89" s="947"/>
      <c r="RDD89" s="947"/>
      <c r="RDE89" s="947"/>
      <c r="RDF89" s="947"/>
      <c r="RDG89" s="947"/>
      <c r="RDH89" s="947"/>
      <c r="RDI89" s="947"/>
      <c r="RDJ89" s="947"/>
      <c r="RDK89" s="947"/>
      <c r="RDL89" s="947"/>
      <c r="RDM89" s="947"/>
      <c r="RDN89" s="947"/>
      <c r="RDO89" s="947"/>
      <c r="RDP89" s="947"/>
      <c r="RDQ89" s="947"/>
      <c r="RDR89" s="947"/>
      <c r="RDS89" s="947"/>
      <c r="RDT89" s="947"/>
      <c r="RDU89" s="947"/>
      <c r="RDV89" s="947"/>
      <c r="RDW89" s="947"/>
      <c r="RDX89" s="947"/>
      <c r="RDY89" s="947"/>
      <c r="RDZ89" s="947"/>
      <c r="REA89" s="947"/>
      <c r="REB89" s="947"/>
      <c r="REC89" s="947"/>
      <c r="RED89" s="947"/>
      <c r="REE89" s="947"/>
      <c r="REF89" s="947"/>
      <c r="REG89" s="947"/>
      <c r="REH89" s="947"/>
      <c r="REI89" s="947"/>
      <c r="REJ89" s="947"/>
      <c r="REK89" s="947"/>
      <c r="REL89" s="947"/>
      <c r="REM89" s="947"/>
      <c r="REN89" s="947"/>
      <c r="REO89" s="947"/>
      <c r="REP89" s="947"/>
      <c r="REQ89" s="947"/>
      <c r="RER89" s="947"/>
      <c r="RES89" s="947"/>
      <c r="RET89" s="947"/>
      <c r="REU89" s="947"/>
      <c r="REV89" s="947"/>
      <c r="REW89" s="947"/>
      <c r="REX89" s="947"/>
      <c r="REY89" s="947"/>
      <c r="REZ89" s="947"/>
      <c r="RFA89" s="947"/>
      <c r="RFB89" s="947"/>
      <c r="RFC89" s="947"/>
      <c r="RFD89" s="947"/>
      <c r="RFE89" s="947"/>
      <c r="RFF89" s="947"/>
      <c r="RFG89" s="947"/>
      <c r="RFH89" s="947"/>
      <c r="RFI89" s="947"/>
      <c r="RFJ89" s="947"/>
      <c r="RFK89" s="947"/>
      <c r="RFL89" s="947"/>
      <c r="RFM89" s="947"/>
      <c r="RFN89" s="947"/>
      <c r="RFO89" s="947"/>
      <c r="RFP89" s="947"/>
      <c r="RFQ89" s="947"/>
      <c r="RFR89" s="947"/>
      <c r="RFS89" s="947"/>
      <c r="RFT89" s="947"/>
      <c r="RFU89" s="947"/>
      <c r="RFV89" s="947"/>
      <c r="RFW89" s="947"/>
      <c r="RFX89" s="947"/>
      <c r="RFY89" s="947"/>
      <c r="RFZ89" s="947"/>
      <c r="RGA89" s="947"/>
      <c r="RGB89" s="947"/>
      <c r="RGC89" s="947"/>
      <c r="RGD89" s="947"/>
      <c r="RGE89" s="947"/>
      <c r="RGF89" s="947"/>
      <c r="RGG89" s="947"/>
      <c r="RGH89" s="947"/>
      <c r="RGI89" s="947"/>
      <c r="RGJ89" s="947"/>
      <c r="RGK89" s="947"/>
      <c r="RGL89" s="947"/>
      <c r="RGM89" s="947"/>
      <c r="RGN89" s="947"/>
      <c r="RGO89" s="947"/>
      <c r="RGP89" s="947"/>
      <c r="RGQ89" s="947"/>
      <c r="RGR89" s="947"/>
      <c r="RGS89" s="947"/>
      <c r="RGT89" s="947"/>
      <c r="RGU89" s="947"/>
      <c r="RGV89" s="947"/>
      <c r="RGW89" s="947"/>
      <c r="RGX89" s="947"/>
      <c r="RGY89" s="947"/>
      <c r="RGZ89" s="947"/>
      <c r="RHA89" s="947"/>
      <c r="RHB89" s="947"/>
      <c r="RHC89" s="947"/>
      <c r="RHD89" s="947"/>
      <c r="RHE89" s="947"/>
      <c r="RHF89" s="947"/>
      <c r="RHG89" s="947"/>
      <c r="RHH89" s="947"/>
      <c r="RHI89" s="947"/>
      <c r="RHJ89" s="947"/>
      <c r="RHK89" s="947"/>
      <c r="RHL89" s="947"/>
      <c r="RHM89" s="947"/>
      <c r="RHN89" s="947"/>
      <c r="RHO89" s="947"/>
      <c r="RHP89" s="947"/>
      <c r="RHQ89" s="947"/>
      <c r="RHR89" s="947"/>
      <c r="RHS89" s="947"/>
      <c r="RHT89" s="947"/>
      <c r="RHU89" s="947"/>
      <c r="RHV89" s="947"/>
      <c r="RHW89" s="947"/>
      <c r="RHX89" s="947"/>
      <c r="RHY89" s="947"/>
      <c r="RHZ89" s="947"/>
      <c r="RIA89" s="947"/>
      <c r="RIB89" s="947"/>
      <c r="RIC89" s="947"/>
      <c r="RID89" s="947"/>
      <c r="RIE89" s="947"/>
      <c r="RIF89" s="947"/>
      <c r="RIG89" s="947"/>
      <c r="RIH89" s="947"/>
      <c r="RII89" s="947"/>
      <c r="RIJ89" s="947"/>
      <c r="RIK89" s="947"/>
      <c r="RIL89" s="947"/>
      <c r="RIM89" s="947"/>
      <c r="RIN89" s="947"/>
      <c r="RIO89" s="947"/>
      <c r="RIP89" s="947"/>
      <c r="RIQ89" s="947"/>
      <c r="RIR89" s="947"/>
      <c r="RIS89" s="947"/>
      <c r="RIT89" s="947"/>
      <c r="RIU89" s="947"/>
      <c r="RIV89" s="947"/>
      <c r="RIW89" s="947"/>
      <c r="RIX89" s="947"/>
      <c r="RIY89" s="947"/>
      <c r="RIZ89" s="947"/>
      <c r="RJA89" s="947"/>
      <c r="RJB89" s="947"/>
      <c r="RJC89" s="947"/>
      <c r="RJD89" s="947"/>
      <c r="RJE89" s="947"/>
      <c r="RJF89" s="947"/>
      <c r="RJG89" s="947"/>
      <c r="RJH89" s="947"/>
      <c r="RJI89" s="947"/>
      <c r="RJJ89" s="947"/>
      <c r="RJK89" s="947"/>
      <c r="RJL89" s="947"/>
      <c r="RJM89" s="947"/>
      <c r="RJN89" s="947"/>
      <c r="RJO89" s="947"/>
      <c r="RJP89" s="947"/>
      <c r="RJQ89" s="947"/>
      <c r="RJR89" s="947"/>
      <c r="RJS89" s="947"/>
      <c r="RJT89" s="947"/>
      <c r="RJU89" s="947"/>
      <c r="RJV89" s="947"/>
      <c r="RJW89" s="947"/>
      <c r="RJX89" s="947"/>
      <c r="RJY89" s="947"/>
      <c r="RJZ89" s="947"/>
      <c r="RKA89" s="947"/>
      <c r="RKB89" s="947"/>
      <c r="RKC89" s="947"/>
      <c r="RKD89" s="947"/>
      <c r="RKE89" s="947"/>
      <c r="RKF89" s="947"/>
      <c r="RKG89" s="947"/>
      <c r="RKH89" s="947"/>
      <c r="RKI89" s="947"/>
      <c r="RKJ89" s="947"/>
      <c r="RKK89" s="947"/>
      <c r="RKL89" s="947"/>
      <c r="RKM89" s="947"/>
      <c r="RKN89" s="947"/>
      <c r="RKO89" s="947"/>
      <c r="RKP89" s="947"/>
      <c r="RKQ89" s="947"/>
      <c r="RKR89" s="947"/>
      <c r="RKS89" s="947"/>
      <c r="RKT89" s="947"/>
      <c r="RKU89" s="947"/>
      <c r="RKV89" s="947"/>
      <c r="RKW89" s="947"/>
      <c r="RKX89" s="947"/>
      <c r="RKY89" s="947"/>
      <c r="RKZ89" s="947"/>
      <c r="RLA89" s="947"/>
      <c r="RLB89" s="947"/>
      <c r="RLC89" s="947"/>
      <c r="RLD89" s="947"/>
      <c r="RLE89" s="947"/>
      <c r="RLF89" s="947"/>
      <c r="RLG89" s="947"/>
      <c r="RLH89" s="947"/>
      <c r="RLI89" s="947"/>
      <c r="RLJ89" s="947"/>
      <c r="RLK89" s="947"/>
      <c r="RLL89" s="947"/>
      <c r="RLM89" s="947"/>
      <c r="RLN89" s="947"/>
      <c r="RLO89" s="947"/>
      <c r="RLP89" s="947"/>
      <c r="RLQ89" s="947"/>
      <c r="RLR89" s="947"/>
      <c r="RLS89" s="947"/>
      <c r="RLT89" s="947"/>
      <c r="RLU89" s="947"/>
      <c r="RLV89" s="947"/>
      <c r="RLW89" s="947"/>
      <c r="RLX89" s="947"/>
      <c r="RLY89" s="947"/>
      <c r="RLZ89" s="947"/>
      <c r="RMA89" s="947"/>
      <c r="RMB89" s="947"/>
      <c r="RMC89" s="947"/>
      <c r="RMD89" s="947"/>
      <c r="RME89" s="947"/>
      <c r="RMF89" s="947"/>
      <c r="RMG89" s="947"/>
      <c r="RMH89" s="947"/>
      <c r="RMI89" s="947"/>
      <c r="RMJ89" s="947"/>
      <c r="RMK89" s="947"/>
      <c r="RML89" s="947"/>
      <c r="RMM89" s="947"/>
      <c r="RMN89" s="947"/>
      <c r="RMO89" s="947"/>
      <c r="RMP89" s="947"/>
      <c r="RMQ89" s="947"/>
      <c r="RMR89" s="947"/>
      <c r="RMS89" s="947"/>
      <c r="RMT89" s="947"/>
      <c r="RMU89" s="947"/>
      <c r="RMV89" s="947"/>
      <c r="RMW89" s="947"/>
      <c r="RMX89" s="947"/>
      <c r="RMY89" s="947"/>
      <c r="RMZ89" s="947"/>
      <c r="RNA89" s="947"/>
      <c r="RNB89" s="947"/>
      <c r="RNC89" s="947"/>
      <c r="RND89" s="947"/>
      <c r="RNE89" s="947"/>
      <c r="RNF89" s="947"/>
      <c r="RNG89" s="947"/>
      <c r="RNH89" s="947"/>
      <c r="RNI89" s="947"/>
      <c r="RNJ89" s="947"/>
      <c r="RNK89" s="947"/>
      <c r="RNL89" s="947"/>
      <c r="RNM89" s="947"/>
      <c r="RNN89" s="947"/>
      <c r="RNO89" s="947"/>
      <c r="RNP89" s="947"/>
      <c r="RNQ89" s="947"/>
      <c r="RNR89" s="947"/>
      <c r="RNS89" s="947"/>
      <c r="RNT89" s="947"/>
      <c r="RNU89" s="947"/>
      <c r="RNV89" s="947"/>
      <c r="RNW89" s="947"/>
      <c r="RNX89" s="947"/>
      <c r="RNY89" s="947"/>
      <c r="RNZ89" s="947"/>
      <c r="ROA89" s="947"/>
      <c r="ROB89" s="947"/>
      <c r="ROC89" s="947"/>
      <c r="ROD89" s="947"/>
      <c r="ROE89" s="947"/>
      <c r="ROF89" s="947"/>
      <c r="ROG89" s="947"/>
      <c r="ROH89" s="947"/>
      <c r="ROI89" s="947"/>
      <c r="ROJ89" s="947"/>
      <c r="ROK89" s="947"/>
      <c r="ROL89" s="947"/>
      <c r="ROM89" s="947"/>
      <c r="RON89" s="947"/>
      <c r="ROO89" s="947"/>
      <c r="ROP89" s="947"/>
      <c r="ROQ89" s="947"/>
      <c r="ROR89" s="947"/>
      <c r="ROS89" s="947"/>
      <c r="ROT89" s="947"/>
      <c r="ROU89" s="947"/>
      <c r="ROV89" s="947"/>
      <c r="ROW89" s="947"/>
      <c r="ROX89" s="947"/>
      <c r="ROY89" s="947"/>
      <c r="ROZ89" s="947"/>
      <c r="RPA89" s="947"/>
      <c r="RPB89" s="947"/>
      <c r="RPC89" s="947"/>
      <c r="RPD89" s="947"/>
      <c r="RPE89" s="947"/>
      <c r="RPF89" s="947"/>
      <c r="RPG89" s="947"/>
      <c r="RPH89" s="947"/>
      <c r="RPI89" s="947"/>
      <c r="RPJ89" s="947"/>
      <c r="RPK89" s="947"/>
      <c r="RPL89" s="947"/>
      <c r="RPM89" s="947"/>
      <c r="RPN89" s="947"/>
      <c r="RPO89" s="947"/>
      <c r="RPP89" s="947"/>
      <c r="RPQ89" s="947"/>
      <c r="RPR89" s="947"/>
      <c r="RPS89" s="947"/>
      <c r="RPT89" s="947"/>
      <c r="RPU89" s="947"/>
      <c r="RPV89" s="947"/>
      <c r="RPW89" s="947"/>
      <c r="RPX89" s="947"/>
      <c r="RPY89" s="947"/>
      <c r="RPZ89" s="947"/>
      <c r="RQA89" s="947"/>
      <c r="RQB89" s="947"/>
      <c r="RQC89" s="947"/>
      <c r="RQD89" s="947"/>
      <c r="RQE89" s="947"/>
      <c r="RQF89" s="947"/>
      <c r="RQG89" s="947"/>
      <c r="RQH89" s="947"/>
      <c r="RQI89" s="947"/>
      <c r="RQJ89" s="947"/>
      <c r="RQK89" s="947"/>
      <c r="RQL89" s="947"/>
      <c r="RQM89" s="947"/>
      <c r="RQN89" s="947"/>
      <c r="RQO89" s="947"/>
      <c r="RQP89" s="947"/>
      <c r="RQQ89" s="947"/>
      <c r="RQR89" s="947"/>
      <c r="RQS89" s="947"/>
      <c r="RQT89" s="947"/>
      <c r="RQU89" s="947"/>
      <c r="RQV89" s="947"/>
      <c r="RQW89" s="947"/>
      <c r="RQX89" s="947"/>
      <c r="RQY89" s="947"/>
      <c r="RQZ89" s="947"/>
      <c r="RRA89" s="947"/>
      <c r="RRB89" s="947"/>
      <c r="RRC89" s="947"/>
      <c r="RRD89" s="947"/>
      <c r="RRE89" s="947"/>
      <c r="RRF89" s="947"/>
      <c r="RRG89" s="947"/>
      <c r="RRH89" s="947"/>
      <c r="RRI89" s="947"/>
      <c r="RRJ89" s="947"/>
      <c r="RRK89" s="947"/>
      <c r="RRL89" s="947"/>
      <c r="RRM89" s="947"/>
      <c r="RRN89" s="947"/>
      <c r="RRO89" s="947"/>
      <c r="RRP89" s="947"/>
      <c r="RRQ89" s="947"/>
      <c r="RRR89" s="947"/>
      <c r="RRS89" s="947"/>
      <c r="RRT89" s="947"/>
      <c r="RRU89" s="947"/>
      <c r="RRV89" s="947"/>
      <c r="RRW89" s="947"/>
      <c r="RRX89" s="947"/>
      <c r="RRY89" s="947"/>
      <c r="RRZ89" s="947"/>
      <c r="RSA89" s="947"/>
      <c r="RSB89" s="947"/>
      <c r="RSC89" s="947"/>
      <c r="RSD89" s="947"/>
      <c r="RSE89" s="947"/>
      <c r="RSF89" s="947"/>
      <c r="RSG89" s="947"/>
      <c r="RSH89" s="947"/>
      <c r="RSI89" s="947"/>
      <c r="RSJ89" s="947"/>
      <c r="RSK89" s="947"/>
      <c r="RSL89" s="947"/>
      <c r="RSM89" s="947"/>
      <c r="RSN89" s="947"/>
      <c r="RSO89" s="947"/>
      <c r="RSP89" s="947"/>
      <c r="RSQ89" s="947"/>
      <c r="RSR89" s="947"/>
      <c r="RSS89" s="947"/>
      <c r="RST89" s="947"/>
      <c r="RSU89" s="947"/>
      <c r="RSV89" s="947"/>
      <c r="RSW89" s="947"/>
      <c r="RSX89" s="947"/>
      <c r="RSY89" s="947"/>
      <c r="RSZ89" s="947"/>
      <c r="RTA89" s="947"/>
      <c r="RTB89" s="947"/>
      <c r="RTC89" s="947"/>
      <c r="RTD89" s="947"/>
      <c r="RTE89" s="947"/>
      <c r="RTF89" s="947"/>
      <c r="RTG89" s="947"/>
      <c r="RTH89" s="947"/>
      <c r="RTI89" s="947"/>
      <c r="RTJ89" s="947"/>
      <c r="RTK89" s="947"/>
      <c r="RTL89" s="947"/>
      <c r="RTM89" s="947"/>
      <c r="RTN89" s="947"/>
      <c r="RTO89" s="947"/>
      <c r="RTP89" s="947"/>
      <c r="RTQ89" s="947"/>
      <c r="RTR89" s="947"/>
      <c r="RTS89" s="947"/>
      <c r="RTT89" s="947"/>
      <c r="RTU89" s="947"/>
      <c r="RTV89" s="947"/>
      <c r="RTW89" s="947"/>
      <c r="RTX89" s="947"/>
      <c r="RTY89" s="947"/>
      <c r="RTZ89" s="947"/>
      <c r="RUA89" s="947"/>
      <c r="RUB89" s="947"/>
      <c r="RUC89" s="947"/>
      <c r="RUD89" s="947"/>
      <c r="RUE89" s="947"/>
      <c r="RUF89" s="947"/>
      <c r="RUG89" s="947"/>
      <c r="RUH89" s="947"/>
      <c r="RUI89" s="947"/>
      <c r="RUJ89" s="947"/>
      <c r="RUK89" s="947"/>
      <c r="RUL89" s="947"/>
      <c r="RUM89" s="947"/>
      <c r="RUN89" s="947"/>
      <c r="RUO89" s="947"/>
      <c r="RUP89" s="947"/>
      <c r="RUQ89" s="947"/>
      <c r="RUR89" s="947"/>
      <c r="RUS89" s="947"/>
      <c r="RUT89" s="947"/>
      <c r="RUU89" s="947"/>
      <c r="RUV89" s="947"/>
      <c r="RUW89" s="947"/>
      <c r="RUX89" s="947"/>
      <c r="RUY89" s="947"/>
      <c r="RUZ89" s="947"/>
      <c r="RVA89" s="947"/>
      <c r="RVB89" s="947"/>
      <c r="RVC89" s="947"/>
      <c r="RVD89" s="947"/>
      <c r="RVE89" s="947"/>
      <c r="RVF89" s="947"/>
      <c r="RVG89" s="947"/>
      <c r="RVH89" s="947"/>
      <c r="RVI89" s="947"/>
      <c r="RVJ89" s="947"/>
      <c r="RVK89" s="947"/>
      <c r="RVL89" s="947"/>
      <c r="RVM89" s="947"/>
      <c r="RVN89" s="947"/>
      <c r="RVO89" s="947"/>
      <c r="RVP89" s="947"/>
      <c r="RVQ89" s="947"/>
      <c r="RVR89" s="947"/>
      <c r="RVS89" s="947"/>
      <c r="RVT89" s="947"/>
      <c r="RVU89" s="947"/>
      <c r="RVV89" s="947"/>
      <c r="RVW89" s="947"/>
      <c r="RVX89" s="947"/>
      <c r="RVY89" s="947"/>
      <c r="RVZ89" s="947"/>
      <c r="RWA89" s="947"/>
      <c r="RWB89" s="947"/>
      <c r="RWC89" s="947"/>
      <c r="RWD89" s="947"/>
      <c r="RWE89" s="947"/>
      <c r="RWF89" s="947"/>
      <c r="RWG89" s="947"/>
      <c r="RWH89" s="947"/>
      <c r="RWI89" s="947"/>
      <c r="RWJ89" s="947"/>
      <c r="RWK89" s="947"/>
      <c r="RWL89" s="947"/>
      <c r="RWM89" s="947"/>
      <c r="RWN89" s="947"/>
      <c r="RWO89" s="947"/>
      <c r="RWP89" s="947"/>
      <c r="RWQ89" s="947"/>
      <c r="RWR89" s="947"/>
      <c r="RWS89" s="947"/>
      <c r="RWT89" s="947"/>
      <c r="RWU89" s="947"/>
      <c r="RWV89" s="947"/>
      <c r="RWW89" s="947"/>
      <c r="RWX89" s="947"/>
      <c r="RWY89" s="947"/>
      <c r="RWZ89" s="947"/>
      <c r="RXA89" s="947"/>
      <c r="RXB89" s="947"/>
      <c r="RXC89" s="947"/>
      <c r="RXD89" s="947"/>
      <c r="RXE89" s="947"/>
      <c r="RXF89" s="947"/>
      <c r="RXG89" s="947"/>
      <c r="RXH89" s="947"/>
      <c r="RXI89" s="947"/>
      <c r="RXJ89" s="947"/>
      <c r="RXK89" s="947"/>
      <c r="RXL89" s="947"/>
      <c r="RXM89" s="947"/>
      <c r="RXN89" s="947"/>
      <c r="RXO89" s="947"/>
      <c r="RXP89" s="947"/>
      <c r="RXQ89" s="947"/>
      <c r="RXR89" s="947"/>
      <c r="RXS89" s="947"/>
      <c r="RXT89" s="947"/>
      <c r="RXU89" s="947"/>
      <c r="RXV89" s="947"/>
      <c r="RXW89" s="947"/>
      <c r="RXX89" s="947"/>
      <c r="RXY89" s="947"/>
      <c r="RXZ89" s="947"/>
      <c r="RYA89" s="947"/>
      <c r="RYB89" s="947"/>
      <c r="RYC89" s="947"/>
      <c r="RYD89" s="947"/>
      <c r="RYE89" s="947"/>
      <c r="RYF89" s="947"/>
      <c r="RYG89" s="947"/>
      <c r="RYH89" s="947"/>
      <c r="RYI89" s="947"/>
      <c r="RYJ89" s="947"/>
      <c r="RYK89" s="947"/>
      <c r="RYL89" s="947"/>
      <c r="RYM89" s="947"/>
      <c r="RYN89" s="947"/>
      <c r="RYO89" s="947"/>
      <c r="RYP89" s="947"/>
      <c r="RYQ89" s="947"/>
      <c r="RYR89" s="947"/>
      <c r="RYS89" s="947"/>
      <c r="RYT89" s="947"/>
      <c r="RYU89" s="947"/>
      <c r="RYV89" s="947"/>
      <c r="RYW89" s="947"/>
      <c r="RYX89" s="947"/>
      <c r="RYY89" s="947"/>
      <c r="RYZ89" s="947"/>
      <c r="RZA89" s="947"/>
      <c r="RZB89" s="947"/>
      <c r="RZC89" s="947"/>
      <c r="RZD89" s="947"/>
      <c r="RZE89" s="947"/>
      <c r="RZF89" s="947"/>
      <c r="RZG89" s="947"/>
      <c r="RZH89" s="947"/>
      <c r="RZI89" s="947"/>
      <c r="RZJ89" s="947"/>
      <c r="RZK89" s="947"/>
      <c r="RZL89" s="947"/>
      <c r="RZM89" s="947"/>
      <c r="RZN89" s="947"/>
      <c r="RZO89" s="947"/>
      <c r="RZP89" s="947"/>
      <c r="RZQ89" s="947"/>
      <c r="RZR89" s="947"/>
      <c r="RZS89" s="947"/>
      <c r="RZT89" s="947"/>
      <c r="RZU89" s="947"/>
      <c r="RZV89" s="947"/>
      <c r="RZW89" s="947"/>
      <c r="RZX89" s="947"/>
      <c r="RZY89" s="947"/>
      <c r="RZZ89" s="947"/>
      <c r="SAA89" s="947"/>
      <c r="SAB89" s="947"/>
      <c r="SAC89" s="947"/>
      <c r="SAD89" s="947"/>
      <c r="SAE89" s="947"/>
      <c r="SAF89" s="947"/>
      <c r="SAG89" s="947"/>
      <c r="SAH89" s="947"/>
      <c r="SAI89" s="947"/>
      <c r="SAJ89" s="947"/>
      <c r="SAK89" s="947"/>
      <c r="SAL89" s="947"/>
      <c r="SAM89" s="947"/>
      <c r="SAN89" s="947"/>
      <c r="SAO89" s="947"/>
      <c r="SAP89" s="947"/>
      <c r="SAQ89" s="947"/>
      <c r="SAR89" s="947"/>
      <c r="SAS89" s="947"/>
      <c r="SAT89" s="947"/>
      <c r="SAU89" s="947"/>
      <c r="SAV89" s="947"/>
      <c r="SAW89" s="947"/>
      <c r="SAX89" s="947"/>
      <c r="SAY89" s="947"/>
      <c r="SAZ89" s="947"/>
      <c r="SBA89" s="947"/>
      <c r="SBB89" s="947"/>
      <c r="SBC89" s="947"/>
      <c r="SBD89" s="947"/>
      <c r="SBE89" s="947"/>
      <c r="SBF89" s="947"/>
      <c r="SBG89" s="947"/>
      <c r="SBH89" s="947"/>
      <c r="SBI89" s="947"/>
      <c r="SBJ89" s="947"/>
      <c r="SBK89" s="947"/>
      <c r="SBL89" s="947"/>
      <c r="SBM89" s="947"/>
      <c r="SBN89" s="947"/>
      <c r="SBO89" s="947"/>
      <c r="SBP89" s="947"/>
      <c r="SBQ89" s="947"/>
      <c r="SBR89" s="947"/>
      <c r="SBS89" s="947"/>
      <c r="SBT89" s="947"/>
      <c r="SBU89" s="947"/>
      <c r="SBV89" s="947"/>
      <c r="SBW89" s="947"/>
      <c r="SBX89" s="947"/>
      <c r="SBY89" s="947"/>
      <c r="SBZ89" s="947"/>
      <c r="SCA89" s="947"/>
      <c r="SCB89" s="947"/>
      <c r="SCC89" s="947"/>
      <c r="SCD89" s="947"/>
      <c r="SCE89" s="947"/>
      <c r="SCF89" s="947"/>
      <c r="SCG89" s="947"/>
      <c r="SCH89" s="947"/>
      <c r="SCI89" s="947"/>
      <c r="SCJ89" s="947"/>
      <c r="SCK89" s="947"/>
      <c r="SCL89" s="947"/>
      <c r="SCM89" s="947"/>
      <c r="SCN89" s="947"/>
      <c r="SCO89" s="947"/>
      <c r="SCP89" s="947"/>
      <c r="SCQ89" s="947"/>
      <c r="SCR89" s="947"/>
      <c r="SCS89" s="947"/>
      <c r="SCT89" s="947"/>
      <c r="SCU89" s="947"/>
      <c r="SCV89" s="947"/>
      <c r="SCW89" s="947"/>
      <c r="SCX89" s="947"/>
      <c r="SCY89" s="947"/>
      <c r="SCZ89" s="947"/>
      <c r="SDA89" s="947"/>
      <c r="SDB89" s="947"/>
      <c r="SDC89" s="947"/>
      <c r="SDD89" s="947"/>
      <c r="SDE89" s="947"/>
      <c r="SDF89" s="947"/>
      <c r="SDG89" s="947"/>
      <c r="SDH89" s="947"/>
      <c r="SDI89" s="947"/>
      <c r="SDJ89" s="947"/>
      <c r="SDK89" s="947"/>
      <c r="SDL89" s="947"/>
      <c r="SDM89" s="947"/>
      <c r="SDN89" s="947"/>
      <c r="SDO89" s="947"/>
      <c r="SDP89" s="947"/>
      <c r="SDQ89" s="947"/>
      <c r="SDR89" s="947"/>
      <c r="SDS89" s="947"/>
      <c r="SDT89" s="947"/>
      <c r="SDU89" s="947"/>
      <c r="SDV89" s="947"/>
      <c r="SDW89" s="947"/>
      <c r="SDX89" s="947"/>
      <c r="SDY89" s="947"/>
      <c r="SDZ89" s="947"/>
      <c r="SEA89" s="947"/>
      <c r="SEB89" s="947"/>
      <c r="SEC89" s="947"/>
      <c r="SED89" s="947"/>
      <c r="SEE89" s="947"/>
      <c r="SEF89" s="947"/>
      <c r="SEG89" s="947"/>
      <c r="SEH89" s="947"/>
      <c r="SEI89" s="947"/>
      <c r="SEJ89" s="947"/>
      <c r="SEK89" s="947"/>
      <c r="SEL89" s="947"/>
      <c r="SEM89" s="947"/>
      <c r="SEN89" s="947"/>
      <c r="SEO89" s="947"/>
      <c r="SEP89" s="947"/>
      <c r="SEQ89" s="947"/>
      <c r="SER89" s="947"/>
      <c r="SES89" s="947"/>
      <c r="SET89" s="947"/>
      <c r="SEU89" s="947"/>
      <c r="SEV89" s="947"/>
      <c r="SEW89" s="947"/>
      <c r="SEX89" s="947"/>
      <c r="SEY89" s="947"/>
      <c r="SEZ89" s="947"/>
      <c r="SFA89" s="947"/>
      <c r="SFB89" s="947"/>
      <c r="SFC89" s="947"/>
      <c r="SFD89" s="947"/>
      <c r="SFE89" s="947"/>
      <c r="SFF89" s="947"/>
      <c r="SFG89" s="947"/>
      <c r="SFH89" s="947"/>
      <c r="SFI89" s="947"/>
      <c r="SFJ89" s="947"/>
      <c r="SFK89" s="947"/>
      <c r="SFL89" s="947"/>
      <c r="SFM89" s="947"/>
      <c r="SFN89" s="947"/>
      <c r="SFO89" s="947"/>
      <c r="SFP89" s="947"/>
      <c r="SFQ89" s="947"/>
      <c r="SFR89" s="947"/>
      <c r="SFS89" s="947"/>
      <c r="SFT89" s="947"/>
      <c r="SFU89" s="947"/>
      <c r="SFV89" s="947"/>
      <c r="SFW89" s="947"/>
      <c r="SFX89" s="947"/>
      <c r="SFY89" s="947"/>
      <c r="SFZ89" s="947"/>
      <c r="SGA89" s="947"/>
      <c r="SGB89" s="947"/>
      <c r="SGC89" s="947"/>
      <c r="SGD89" s="947"/>
      <c r="SGE89" s="947"/>
      <c r="SGF89" s="947"/>
      <c r="SGG89" s="947"/>
      <c r="SGH89" s="947"/>
      <c r="SGI89" s="947"/>
      <c r="SGJ89" s="947"/>
      <c r="SGK89" s="947"/>
      <c r="SGL89" s="947"/>
      <c r="SGM89" s="947"/>
      <c r="SGN89" s="947"/>
      <c r="SGO89" s="947"/>
      <c r="SGP89" s="947"/>
      <c r="SGQ89" s="947"/>
      <c r="SGR89" s="947"/>
      <c r="SGS89" s="947"/>
      <c r="SGT89" s="947"/>
      <c r="SGU89" s="947"/>
      <c r="SGV89" s="947"/>
      <c r="SGW89" s="947"/>
      <c r="SGX89" s="947"/>
      <c r="SGY89" s="947"/>
      <c r="SGZ89" s="947"/>
      <c r="SHA89" s="947"/>
      <c r="SHB89" s="947"/>
      <c r="SHC89" s="947"/>
      <c r="SHD89" s="947"/>
      <c r="SHE89" s="947"/>
      <c r="SHF89" s="947"/>
      <c r="SHG89" s="947"/>
      <c r="SHH89" s="947"/>
      <c r="SHI89" s="947"/>
      <c r="SHJ89" s="947"/>
      <c r="SHK89" s="947"/>
      <c r="SHL89" s="947"/>
      <c r="SHM89" s="947"/>
      <c r="SHN89" s="947"/>
      <c r="SHO89" s="947"/>
      <c r="SHP89" s="947"/>
      <c r="SHQ89" s="947"/>
      <c r="SHR89" s="947"/>
      <c r="SHS89" s="947"/>
      <c r="SHT89" s="947"/>
      <c r="SHU89" s="947"/>
      <c r="SHV89" s="947"/>
      <c r="SHW89" s="947"/>
      <c r="SHX89" s="947"/>
      <c r="SHY89" s="947"/>
      <c r="SHZ89" s="947"/>
      <c r="SIA89" s="947"/>
      <c r="SIB89" s="947"/>
      <c r="SIC89" s="947"/>
      <c r="SID89" s="947"/>
      <c r="SIE89" s="947"/>
      <c r="SIF89" s="947"/>
      <c r="SIG89" s="947"/>
      <c r="SIH89" s="947"/>
      <c r="SII89" s="947"/>
      <c r="SIJ89" s="947"/>
      <c r="SIK89" s="947"/>
      <c r="SIL89" s="947"/>
      <c r="SIM89" s="947"/>
      <c r="SIN89" s="947"/>
      <c r="SIO89" s="947"/>
      <c r="SIP89" s="947"/>
      <c r="SIQ89" s="947"/>
      <c r="SIR89" s="947"/>
      <c r="SIS89" s="947"/>
      <c r="SIT89" s="947"/>
      <c r="SIU89" s="947"/>
      <c r="SIV89" s="947"/>
      <c r="SIW89" s="947"/>
      <c r="SIX89" s="947"/>
      <c r="SIY89" s="947"/>
      <c r="SIZ89" s="947"/>
      <c r="SJA89" s="947"/>
      <c r="SJB89" s="947"/>
      <c r="SJC89" s="947"/>
      <c r="SJD89" s="947"/>
      <c r="SJE89" s="947"/>
      <c r="SJF89" s="947"/>
      <c r="SJG89" s="947"/>
      <c r="SJH89" s="947"/>
      <c r="SJI89" s="947"/>
      <c r="SJJ89" s="947"/>
      <c r="SJK89" s="947"/>
      <c r="SJL89" s="947"/>
      <c r="SJM89" s="947"/>
      <c r="SJN89" s="947"/>
      <c r="SJO89" s="947"/>
      <c r="SJP89" s="947"/>
      <c r="SJQ89" s="947"/>
      <c r="SJR89" s="947"/>
      <c r="SJS89" s="947"/>
      <c r="SJT89" s="947"/>
      <c r="SJU89" s="947"/>
      <c r="SJV89" s="947"/>
      <c r="SJW89" s="947"/>
      <c r="SJX89" s="947"/>
      <c r="SJY89" s="947"/>
      <c r="SJZ89" s="947"/>
      <c r="SKA89" s="947"/>
      <c r="SKB89" s="947"/>
      <c r="SKC89" s="947"/>
      <c r="SKD89" s="947"/>
      <c r="SKE89" s="947"/>
      <c r="SKF89" s="947"/>
      <c r="SKG89" s="947"/>
      <c r="SKH89" s="947"/>
      <c r="SKI89" s="947"/>
      <c r="SKJ89" s="947"/>
      <c r="SKK89" s="947"/>
      <c r="SKL89" s="947"/>
      <c r="SKM89" s="947"/>
      <c r="SKN89" s="947"/>
      <c r="SKO89" s="947"/>
      <c r="SKP89" s="947"/>
      <c r="SKQ89" s="947"/>
      <c r="SKR89" s="947"/>
      <c r="SKS89" s="947"/>
      <c r="SKT89" s="947"/>
      <c r="SKU89" s="947"/>
      <c r="SKV89" s="947"/>
      <c r="SKW89" s="947"/>
      <c r="SKX89" s="947"/>
      <c r="SKY89" s="947"/>
      <c r="SKZ89" s="947"/>
      <c r="SLA89" s="947"/>
      <c r="SLB89" s="947"/>
      <c r="SLC89" s="947"/>
      <c r="SLD89" s="947"/>
      <c r="SLE89" s="947"/>
      <c r="SLF89" s="947"/>
      <c r="SLG89" s="947"/>
      <c r="SLH89" s="947"/>
      <c r="SLI89" s="947"/>
      <c r="SLJ89" s="947"/>
      <c r="SLK89" s="947"/>
      <c r="SLL89" s="947"/>
      <c r="SLM89" s="947"/>
      <c r="SLN89" s="947"/>
      <c r="SLO89" s="947"/>
      <c r="SLP89" s="947"/>
      <c r="SLQ89" s="947"/>
      <c r="SLR89" s="947"/>
      <c r="SLS89" s="947"/>
      <c r="SLT89" s="947"/>
      <c r="SLU89" s="947"/>
      <c r="SLV89" s="947"/>
      <c r="SLW89" s="947"/>
      <c r="SLX89" s="947"/>
      <c r="SLY89" s="947"/>
      <c r="SLZ89" s="947"/>
      <c r="SMA89" s="947"/>
      <c r="SMB89" s="947"/>
      <c r="SMC89" s="947"/>
      <c r="SMD89" s="947"/>
      <c r="SME89" s="947"/>
      <c r="SMF89" s="947"/>
      <c r="SMG89" s="947"/>
      <c r="SMH89" s="947"/>
      <c r="SMI89" s="947"/>
      <c r="SMJ89" s="947"/>
      <c r="SMK89" s="947"/>
      <c r="SML89" s="947"/>
      <c r="SMM89" s="947"/>
      <c r="SMN89" s="947"/>
      <c r="SMO89" s="947"/>
      <c r="SMP89" s="947"/>
      <c r="SMQ89" s="947"/>
      <c r="SMR89" s="947"/>
      <c r="SMS89" s="947"/>
      <c r="SMT89" s="947"/>
      <c r="SMU89" s="947"/>
      <c r="SMV89" s="947"/>
      <c r="SMW89" s="947"/>
      <c r="SMX89" s="947"/>
      <c r="SMY89" s="947"/>
      <c r="SMZ89" s="947"/>
      <c r="SNA89" s="947"/>
      <c r="SNB89" s="947"/>
      <c r="SNC89" s="947"/>
      <c r="SND89" s="947"/>
      <c r="SNE89" s="947"/>
      <c r="SNF89" s="947"/>
      <c r="SNG89" s="947"/>
      <c r="SNH89" s="947"/>
      <c r="SNI89" s="947"/>
      <c r="SNJ89" s="947"/>
      <c r="SNK89" s="947"/>
      <c r="SNL89" s="947"/>
      <c r="SNM89" s="947"/>
      <c r="SNN89" s="947"/>
      <c r="SNO89" s="947"/>
      <c r="SNP89" s="947"/>
      <c r="SNQ89" s="947"/>
      <c r="SNR89" s="947"/>
      <c r="SNS89" s="947"/>
      <c r="SNT89" s="947"/>
      <c r="SNU89" s="947"/>
      <c r="SNV89" s="947"/>
      <c r="SNW89" s="947"/>
      <c r="SNX89" s="947"/>
      <c r="SNY89" s="947"/>
      <c r="SNZ89" s="947"/>
      <c r="SOA89" s="947"/>
      <c r="SOB89" s="947"/>
      <c r="SOC89" s="947"/>
      <c r="SOD89" s="947"/>
      <c r="SOE89" s="947"/>
      <c r="SOF89" s="947"/>
      <c r="SOG89" s="947"/>
      <c r="SOH89" s="947"/>
      <c r="SOI89" s="947"/>
      <c r="SOJ89" s="947"/>
      <c r="SOK89" s="947"/>
      <c r="SOL89" s="947"/>
      <c r="SOM89" s="947"/>
      <c r="SON89" s="947"/>
      <c r="SOO89" s="947"/>
      <c r="SOP89" s="947"/>
      <c r="SOQ89" s="947"/>
      <c r="SOR89" s="947"/>
      <c r="SOS89" s="947"/>
      <c r="SOT89" s="947"/>
      <c r="SOU89" s="947"/>
      <c r="SOV89" s="947"/>
      <c r="SOW89" s="947"/>
      <c r="SOX89" s="947"/>
      <c r="SOY89" s="947"/>
      <c r="SOZ89" s="947"/>
      <c r="SPA89" s="947"/>
      <c r="SPB89" s="947"/>
      <c r="SPC89" s="947"/>
      <c r="SPD89" s="947"/>
      <c r="SPE89" s="947"/>
      <c r="SPF89" s="947"/>
      <c r="SPG89" s="947"/>
      <c r="SPH89" s="947"/>
      <c r="SPI89" s="947"/>
      <c r="SPJ89" s="947"/>
      <c r="SPK89" s="947"/>
      <c r="SPL89" s="947"/>
      <c r="SPM89" s="947"/>
      <c r="SPN89" s="947"/>
      <c r="SPO89" s="947"/>
      <c r="SPP89" s="947"/>
      <c r="SPQ89" s="947"/>
      <c r="SPR89" s="947"/>
      <c r="SPS89" s="947"/>
      <c r="SPT89" s="947"/>
      <c r="SPU89" s="947"/>
      <c r="SPV89" s="947"/>
      <c r="SPW89" s="947"/>
      <c r="SPX89" s="947"/>
      <c r="SPY89" s="947"/>
      <c r="SPZ89" s="947"/>
      <c r="SQA89" s="947"/>
      <c r="SQB89" s="947"/>
      <c r="SQC89" s="947"/>
      <c r="SQD89" s="947"/>
      <c r="SQE89" s="947"/>
      <c r="SQF89" s="947"/>
      <c r="SQG89" s="947"/>
      <c r="SQH89" s="947"/>
      <c r="SQI89" s="947"/>
      <c r="SQJ89" s="947"/>
      <c r="SQK89" s="947"/>
      <c r="SQL89" s="947"/>
      <c r="SQM89" s="947"/>
      <c r="SQN89" s="947"/>
      <c r="SQO89" s="947"/>
      <c r="SQP89" s="947"/>
      <c r="SQQ89" s="947"/>
      <c r="SQR89" s="947"/>
      <c r="SQS89" s="947"/>
      <c r="SQT89" s="947"/>
      <c r="SQU89" s="947"/>
      <c r="SQV89" s="947"/>
      <c r="SQW89" s="947"/>
      <c r="SQX89" s="947"/>
      <c r="SQY89" s="947"/>
      <c r="SQZ89" s="947"/>
      <c r="SRA89" s="947"/>
      <c r="SRB89" s="947"/>
      <c r="SRC89" s="947"/>
      <c r="SRD89" s="947"/>
      <c r="SRE89" s="947"/>
      <c r="SRF89" s="947"/>
      <c r="SRG89" s="947"/>
      <c r="SRH89" s="947"/>
      <c r="SRI89" s="947"/>
      <c r="SRJ89" s="947"/>
      <c r="SRK89" s="947"/>
      <c r="SRL89" s="947"/>
      <c r="SRM89" s="947"/>
      <c r="SRN89" s="947"/>
      <c r="SRO89" s="947"/>
      <c r="SRP89" s="947"/>
      <c r="SRQ89" s="947"/>
      <c r="SRR89" s="947"/>
      <c r="SRS89" s="947"/>
      <c r="SRT89" s="947"/>
      <c r="SRU89" s="947"/>
      <c r="SRV89" s="947"/>
      <c r="SRW89" s="947"/>
      <c r="SRX89" s="947"/>
      <c r="SRY89" s="947"/>
      <c r="SRZ89" s="947"/>
      <c r="SSA89" s="947"/>
      <c r="SSB89" s="947"/>
      <c r="SSC89" s="947"/>
      <c r="SSD89" s="947"/>
      <c r="SSE89" s="947"/>
      <c r="SSF89" s="947"/>
      <c r="SSG89" s="947"/>
      <c r="SSH89" s="947"/>
      <c r="SSI89" s="947"/>
      <c r="SSJ89" s="947"/>
      <c r="SSK89" s="947"/>
      <c r="SSL89" s="947"/>
      <c r="SSM89" s="947"/>
      <c r="SSN89" s="947"/>
      <c r="SSO89" s="947"/>
      <c r="SSP89" s="947"/>
      <c r="SSQ89" s="947"/>
      <c r="SSR89" s="947"/>
      <c r="SSS89" s="947"/>
      <c r="SST89" s="947"/>
      <c r="SSU89" s="947"/>
      <c r="SSV89" s="947"/>
      <c r="SSW89" s="947"/>
      <c r="SSX89" s="947"/>
      <c r="SSY89" s="947"/>
      <c r="SSZ89" s="947"/>
      <c r="STA89" s="947"/>
      <c r="STB89" s="947"/>
      <c r="STC89" s="947"/>
      <c r="STD89" s="947"/>
      <c r="STE89" s="947"/>
      <c r="STF89" s="947"/>
      <c r="STG89" s="947"/>
      <c r="STH89" s="947"/>
      <c r="STI89" s="947"/>
      <c r="STJ89" s="947"/>
      <c r="STK89" s="947"/>
      <c r="STL89" s="947"/>
      <c r="STM89" s="947"/>
      <c r="STN89" s="947"/>
      <c r="STO89" s="947"/>
      <c r="STP89" s="947"/>
      <c r="STQ89" s="947"/>
      <c r="STR89" s="947"/>
      <c r="STS89" s="947"/>
      <c r="STT89" s="947"/>
      <c r="STU89" s="947"/>
      <c r="STV89" s="947"/>
      <c r="STW89" s="947"/>
      <c r="STX89" s="947"/>
      <c r="STY89" s="947"/>
      <c r="STZ89" s="947"/>
      <c r="SUA89" s="947"/>
      <c r="SUB89" s="947"/>
      <c r="SUC89" s="947"/>
      <c r="SUD89" s="947"/>
      <c r="SUE89" s="947"/>
      <c r="SUF89" s="947"/>
      <c r="SUG89" s="947"/>
      <c r="SUH89" s="947"/>
      <c r="SUI89" s="947"/>
      <c r="SUJ89" s="947"/>
      <c r="SUK89" s="947"/>
      <c r="SUL89" s="947"/>
      <c r="SUM89" s="947"/>
      <c r="SUN89" s="947"/>
      <c r="SUO89" s="947"/>
      <c r="SUP89" s="947"/>
      <c r="SUQ89" s="947"/>
      <c r="SUR89" s="947"/>
      <c r="SUS89" s="947"/>
      <c r="SUT89" s="947"/>
      <c r="SUU89" s="947"/>
      <c r="SUV89" s="947"/>
      <c r="SUW89" s="947"/>
      <c r="SUX89" s="947"/>
      <c r="SUY89" s="947"/>
      <c r="SUZ89" s="947"/>
      <c r="SVA89" s="947"/>
      <c r="SVB89" s="947"/>
      <c r="SVC89" s="947"/>
      <c r="SVD89" s="947"/>
      <c r="SVE89" s="947"/>
      <c r="SVF89" s="947"/>
      <c r="SVG89" s="947"/>
      <c r="SVH89" s="947"/>
      <c r="SVI89" s="947"/>
      <c r="SVJ89" s="947"/>
      <c r="SVK89" s="947"/>
      <c r="SVL89" s="947"/>
      <c r="SVM89" s="947"/>
      <c r="SVN89" s="947"/>
      <c r="SVO89" s="947"/>
      <c r="SVP89" s="947"/>
      <c r="SVQ89" s="947"/>
      <c r="SVR89" s="947"/>
      <c r="SVS89" s="947"/>
      <c r="SVT89" s="947"/>
      <c r="SVU89" s="947"/>
      <c r="SVV89" s="947"/>
      <c r="SVW89" s="947"/>
      <c r="SVX89" s="947"/>
      <c r="SVY89" s="947"/>
      <c r="SVZ89" s="947"/>
      <c r="SWA89" s="947"/>
      <c r="SWB89" s="947"/>
      <c r="SWC89" s="947"/>
      <c r="SWD89" s="947"/>
      <c r="SWE89" s="947"/>
      <c r="SWF89" s="947"/>
      <c r="SWG89" s="947"/>
      <c r="SWH89" s="947"/>
      <c r="SWI89" s="947"/>
      <c r="SWJ89" s="947"/>
      <c r="SWK89" s="947"/>
      <c r="SWL89" s="947"/>
      <c r="SWM89" s="947"/>
      <c r="SWN89" s="947"/>
      <c r="SWO89" s="947"/>
      <c r="SWP89" s="947"/>
      <c r="SWQ89" s="947"/>
      <c r="SWR89" s="947"/>
      <c r="SWS89" s="947"/>
      <c r="SWT89" s="947"/>
      <c r="SWU89" s="947"/>
      <c r="SWV89" s="947"/>
      <c r="SWW89" s="947"/>
      <c r="SWX89" s="947"/>
      <c r="SWY89" s="947"/>
      <c r="SWZ89" s="947"/>
      <c r="SXA89" s="947"/>
      <c r="SXB89" s="947"/>
      <c r="SXC89" s="947"/>
      <c r="SXD89" s="947"/>
      <c r="SXE89" s="947"/>
      <c r="SXF89" s="947"/>
      <c r="SXG89" s="947"/>
      <c r="SXH89" s="947"/>
      <c r="SXI89" s="947"/>
      <c r="SXJ89" s="947"/>
      <c r="SXK89" s="947"/>
      <c r="SXL89" s="947"/>
      <c r="SXM89" s="947"/>
      <c r="SXN89" s="947"/>
      <c r="SXO89" s="947"/>
      <c r="SXP89" s="947"/>
      <c r="SXQ89" s="947"/>
      <c r="SXR89" s="947"/>
      <c r="SXS89" s="947"/>
      <c r="SXT89" s="947"/>
      <c r="SXU89" s="947"/>
      <c r="SXV89" s="947"/>
      <c r="SXW89" s="947"/>
      <c r="SXX89" s="947"/>
      <c r="SXY89" s="947"/>
      <c r="SXZ89" s="947"/>
      <c r="SYA89" s="947"/>
      <c r="SYB89" s="947"/>
      <c r="SYC89" s="947"/>
      <c r="SYD89" s="947"/>
      <c r="SYE89" s="947"/>
      <c r="SYF89" s="947"/>
      <c r="SYG89" s="947"/>
      <c r="SYH89" s="947"/>
      <c r="SYI89" s="947"/>
      <c r="SYJ89" s="947"/>
      <c r="SYK89" s="947"/>
      <c r="SYL89" s="947"/>
      <c r="SYM89" s="947"/>
      <c r="SYN89" s="947"/>
      <c r="SYO89" s="947"/>
      <c r="SYP89" s="947"/>
      <c r="SYQ89" s="947"/>
      <c r="SYR89" s="947"/>
      <c r="SYS89" s="947"/>
      <c r="SYT89" s="947"/>
      <c r="SYU89" s="947"/>
      <c r="SYV89" s="947"/>
      <c r="SYW89" s="947"/>
      <c r="SYX89" s="947"/>
      <c r="SYY89" s="947"/>
      <c r="SYZ89" s="947"/>
      <c r="SZA89" s="947"/>
      <c r="SZB89" s="947"/>
      <c r="SZC89" s="947"/>
      <c r="SZD89" s="947"/>
      <c r="SZE89" s="947"/>
      <c r="SZF89" s="947"/>
      <c r="SZG89" s="947"/>
      <c r="SZH89" s="947"/>
      <c r="SZI89" s="947"/>
      <c r="SZJ89" s="947"/>
      <c r="SZK89" s="947"/>
      <c r="SZL89" s="947"/>
      <c r="SZM89" s="947"/>
      <c r="SZN89" s="947"/>
      <c r="SZO89" s="947"/>
      <c r="SZP89" s="947"/>
      <c r="SZQ89" s="947"/>
      <c r="SZR89" s="947"/>
      <c r="SZS89" s="947"/>
      <c r="SZT89" s="947"/>
      <c r="SZU89" s="947"/>
      <c r="SZV89" s="947"/>
      <c r="SZW89" s="947"/>
      <c r="SZX89" s="947"/>
      <c r="SZY89" s="947"/>
      <c r="SZZ89" s="947"/>
      <c r="TAA89" s="947"/>
      <c r="TAB89" s="947"/>
      <c r="TAC89" s="947"/>
      <c r="TAD89" s="947"/>
      <c r="TAE89" s="947"/>
      <c r="TAF89" s="947"/>
      <c r="TAG89" s="947"/>
      <c r="TAH89" s="947"/>
      <c r="TAI89" s="947"/>
      <c r="TAJ89" s="947"/>
      <c r="TAK89" s="947"/>
      <c r="TAL89" s="947"/>
      <c r="TAM89" s="947"/>
      <c r="TAN89" s="947"/>
      <c r="TAO89" s="947"/>
      <c r="TAP89" s="947"/>
      <c r="TAQ89" s="947"/>
      <c r="TAR89" s="947"/>
      <c r="TAS89" s="947"/>
      <c r="TAT89" s="947"/>
      <c r="TAU89" s="947"/>
      <c r="TAV89" s="947"/>
      <c r="TAW89" s="947"/>
      <c r="TAX89" s="947"/>
      <c r="TAY89" s="947"/>
      <c r="TAZ89" s="947"/>
      <c r="TBA89" s="947"/>
      <c r="TBB89" s="947"/>
      <c r="TBC89" s="947"/>
      <c r="TBD89" s="947"/>
      <c r="TBE89" s="947"/>
      <c r="TBF89" s="947"/>
      <c r="TBG89" s="947"/>
      <c r="TBH89" s="947"/>
      <c r="TBI89" s="947"/>
      <c r="TBJ89" s="947"/>
      <c r="TBK89" s="947"/>
      <c r="TBL89" s="947"/>
      <c r="TBM89" s="947"/>
      <c r="TBN89" s="947"/>
      <c r="TBO89" s="947"/>
      <c r="TBP89" s="947"/>
      <c r="TBQ89" s="947"/>
      <c r="TBR89" s="947"/>
      <c r="TBS89" s="947"/>
      <c r="TBT89" s="947"/>
      <c r="TBU89" s="947"/>
      <c r="TBV89" s="947"/>
      <c r="TBW89" s="947"/>
      <c r="TBX89" s="947"/>
      <c r="TBY89" s="947"/>
      <c r="TBZ89" s="947"/>
      <c r="TCA89" s="947"/>
      <c r="TCB89" s="947"/>
      <c r="TCC89" s="947"/>
      <c r="TCD89" s="947"/>
      <c r="TCE89" s="947"/>
      <c r="TCF89" s="947"/>
      <c r="TCG89" s="947"/>
      <c r="TCH89" s="947"/>
      <c r="TCI89" s="947"/>
      <c r="TCJ89" s="947"/>
      <c r="TCK89" s="947"/>
      <c r="TCL89" s="947"/>
      <c r="TCM89" s="947"/>
      <c r="TCN89" s="947"/>
      <c r="TCO89" s="947"/>
      <c r="TCP89" s="947"/>
      <c r="TCQ89" s="947"/>
      <c r="TCR89" s="947"/>
      <c r="TCS89" s="947"/>
      <c r="TCT89" s="947"/>
      <c r="TCU89" s="947"/>
      <c r="TCV89" s="947"/>
      <c r="TCW89" s="947"/>
      <c r="TCX89" s="947"/>
      <c r="TCY89" s="947"/>
      <c r="TCZ89" s="947"/>
      <c r="TDA89" s="947"/>
      <c r="TDB89" s="947"/>
      <c r="TDC89" s="947"/>
      <c r="TDD89" s="947"/>
      <c r="TDE89" s="947"/>
      <c r="TDF89" s="947"/>
      <c r="TDG89" s="947"/>
      <c r="TDH89" s="947"/>
      <c r="TDI89" s="947"/>
      <c r="TDJ89" s="947"/>
      <c r="TDK89" s="947"/>
      <c r="TDL89" s="947"/>
      <c r="TDM89" s="947"/>
      <c r="TDN89" s="947"/>
      <c r="TDO89" s="947"/>
      <c r="TDP89" s="947"/>
      <c r="TDQ89" s="947"/>
      <c r="TDR89" s="947"/>
      <c r="TDS89" s="947"/>
      <c r="TDT89" s="947"/>
      <c r="TDU89" s="947"/>
      <c r="TDV89" s="947"/>
      <c r="TDW89" s="947"/>
      <c r="TDX89" s="947"/>
      <c r="TDY89" s="947"/>
      <c r="TDZ89" s="947"/>
      <c r="TEA89" s="947"/>
      <c r="TEB89" s="947"/>
      <c r="TEC89" s="947"/>
      <c r="TED89" s="947"/>
      <c r="TEE89" s="947"/>
      <c r="TEF89" s="947"/>
      <c r="TEG89" s="947"/>
      <c r="TEH89" s="947"/>
      <c r="TEI89" s="947"/>
      <c r="TEJ89" s="947"/>
      <c r="TEK89" s="947"/>
      <c r="TEL89" s="947"/>
      <c r="TEM89" s="947"/>
      <c r="TEN89" s="947"/>
      <c r="TEO89" s="947"/>
      <c r="TEP89" s="947"/>
      <c r="TEQ89" s="947"/>
      <c r="TER89" s="947"/>
      <c r="TES89" s="947"/>
      <c r="TET89" s="947"/>
      <c r="TEU89" s="947"/>
      <c r="TEV89" s="947"/>
      <c r="TEW89" s="947"/>
      <c r="TEX89" s="947"/>
      <c r="TEY89" s="947"/>
      <c r="TEZ89" s="947"/>
      <c r="TFA89" s="947"/>
      <c r="TFB89" s="947"/>
      <c r="TFC89" s="947"/>
      <c r="TFD89" s="947"/>
      <c r="TFE89" s="947"/>
      <c r="TFF89" s="947"/>
      <c r="TFG89" s="947"/>
      <c r="TFH89" s="947"/>
      <c r="TFI89" s="947"/>
      <c r="TFJ89" s="947"/>
      <c r="TFK89" s="947"/>
      <c r="TFL89" s="947"/>
      <c r="TFM89" s="947"/>
      <c r="TFN89" s="947"/>
      <c r="TFO89" s="947"/>
      <c r="TFP89" s="947"/>
      <c r="TFQ89" s="947"/>
      <c r="TFR89" s="947"/>
      <c r="TFS89" s="947"/>
      <c r="TFT89" s="947"/>
      <c r="TFU89" s="947"/>
      <c r="TFV89" s="947"/>
      <c r="TFW89" s="947"/>
      <c r="TFX89" s="947"/>
      <c r="TFY89" s="947"/>
      <c r="TFZ89" s="947"/>
      <c r="TGA89" s="947"/>
      <c r="TGB89" s="947"/>
      <c r="TGC89" s="947"/>
      <c r="TGD89" s="947"/>
      <c r="TGE89" s="947"/>
      <c r="TGF89" s="947"/>
      <c r="TGG89" s="947"/>
      <c r="TGH89" s="947"/>
      <c r="TGI89" s="947"/>
      <c r="TGJ89" s="947"/>
      <c r="TGK89" s="947"/>
      <c r="TGL89" s="947"/>
      <c r="TGM89" s="947"/>
      <c r="TGN89" s="947"/>
      <c r="TGO89" s="947"/>
      <c r="TGP89" s="947"/>
      <c r="TGQ89" s="947"/>
      <c r="TGR89" s="947"/>
      <c r="TGS89" s="947"/>
      <c r="TGT89" s="947"/>
      <c r="TGU89" s="947"/>
      <c r="TGV89" s="947"/>
      <c r="TGW89" s="947"/>
      <c r="TGX89" s="947"/>
      <c r="TGY89" s="947"/>
      <c r="TGZ89" s="947"/>
      <c r="THA89" s="947"/>
      <c r="THB89" s="947"/>
      <c r="THC89" s="947"/>
      <c r="THD89" s="947"/>
      <c r="THE89" s="947"/>
      <c r="THF89" s="947"/>
      <c r="THG89" s="947"/>
      <c r="THH89" s="947"/>
      <c r="THI89" s="947"/>
      <c r="THJ89" s="947"/>
      <c r="THK89" s="947"/>
      <c r="THL89" s="947"/>
      <c r="THM89" s="947"/>
      <c r="THN89" s="947"/>
      <c r="THO89" s="947"/>
      <c r="THP89" s="947"/>
      <c r="THQ89" s="947"/>
      <c r="THR89" s="947"/>
      <c r="THS89" s="947"/>
      <c r="THT89" s="947"/>
      <c r="THU89" s="947"/>
      <c r="THV89" s="947"/>
      <c r="THW89" s="947"/>
      <c r="THX89" s="947"/>
      <c r="THY89" s="947"/>
      <c r="THZ89" s="947"/>
      <c r="TIA89" s="947"/>
      <c r="TIB89" s="947"/>
      <c r="TIC89" s="947"/>
      <c r="TID89" s="947"/>
      <c r="TIE89" s="947"/>
      <c r="TIF89" s="947"/>
      <c r="TIG89" s="947"/>
      <c r="TIH89" s="947"/>
      <c r="TII89" s="947"/>
      <c r="TIJ89" s="947"/>
      <c r="TIK89" s="947"/>
      <c r="TIL89" s="947"/>
      <c r="TIM89" s="947"/>
      <c r="TIN89" s="947"/>
      <c r="TIO89" s="947"/>
      <c r="TIP89" s="947"/>
      <c r="TIQ89" s="947"/>
      <c r="TIR89" s="947"/>
      <c r="TIS89" s="947"/>
      <c r="TIT89" s="947"/>
      <c r="TIU89" s="947"/>
      <c r="TIV89" s="947"/>
      <c r="TIW89" s="947"/>
      <c r="TIX89" s="947"/>
      <c r="TIY89" s="947"/>
      <c r="TIZ89" s="947"/>
      <c r="TJA89" s="947"/>
      <c r="TJB89" s="947"/>
      <c r="TJC89" s="947"/>
      <c r="TJD89" s="947"/>
      <c r="TJE89" s="947"/>
      <c r="TJF89" s="947"/>
      <c r="TJG89" s="947"/>
      <c r="TJH89" s="947"/>
      <c r="TJI89" s="947"/>
      <c r="TJJ89" s="947"/>
      <c r="TJK89" s="947"/>
      <c r="TJL89" s="947"/>
      <c r="TJM89" s="947"/>
      <c r="TJN89" s="947"/>
      <c r="TJO89" s="947"/>
      <c r="TJP89" s="947"/>
      <c r="TJQ89" s="947"/>
      <c r="TJR89" s="947"/>
      <c r="TJS89" s="947"/>
      <c r="TJT89" s="947"/>
      <c r="TJU89" s="947"/>
      <c r="TJV89" s="947"/>
      <c r="TJW89" s="947"/>
      <c r="TJX89" s="947"/>
      <c r="TJY89" s="947"/>
      <c r="TJZ89" s="947"/>
      <c r="TKA89" s="947"/>
      <c r="TKB89" s="947"/>
      <c r="TKC89" s="947"/>
      <c r="TKD89" s="947"/>
      <c r="TKE89" s="947"/>
      <c r="TKF89" s="947"/>
      <c r="TKG89" s="947"/>
      <c r="TKH89" s="947"/>
      <c r="TKI89" s="947"/>
      <c r="TKJ89" s="947"/>
      <c r="TKK89" s="947"/>
      <c r="TKL89" s="947"/>
      <c r="TKM89" s="947"/>
      <c r="TKN89" s="947"/>
      <c r="TKO89" s="947"/>
      <c r="TKP89" s="947"/>
      <c r="TKQ89" s="947"/>
      <c r="TKR89" s="947"/>
      <c r="TKS89" s="947"/>
      <c r="TKT89" s="947"/>
      <c r="TKU89" s="947"/>
      <c r="TKV89" s="947"/>
      <c r="TKW89" s="947"/>
      <c r="TKX89" s="947"/>
      <c r="TKY89" s="947"/>
      <c r="TKZ89" s="947"/>
      <c r="TLA89" s="947"/>
      <c r="TLB89" s="947"/>
      <c r="TLC89" s="947"/>
      <c r="TLD89" s="947"/>
      <c r="TLE89" s="947"/>
      <c r="TLF89" s="947"/>
      <c r="TLG89" s="947"/>
      <c r="TLH89" s="947"/>
      <c r="TLI89" s="947"/>
      <c r="TLJ89" s="947"/>
      <c r="TLK89" s="947"/>
      <c r="TLL89" s="947"/>
      <c r="TLM89" s="947"/>
      <c r="TLN89" s="947"/>
      <c r="TLO89" s="947"/>
      <c r="TLP89" s="947"/>
      <c r="TLQ89" s="947"/>
      <c r="TLR89" s="947"/>
      <c r="TLS89" s="947"/>
      <c r="TLT89" s="947"/>
      <c r="TLU89" s="947"/>
      <c r="TLV89" s="947"/>
      <c r="TLW89" s="947"/>
      <c r="TLX89" s="947"/>
      <c r="TLY89" s="947"/>
      <c r="TLZ89" s="947"/>
      <c r="TMA89" s="947"/>
      <c r="TMB89" s="947"/>
      <c r="TMC89" s="947"/>
      <c r="TMD89" s="947"/>
      <c r="TME89" s="947"/>
      <c r="TMF89" s="947"/>
      <c r="TMG89" s="947"/>
      <c r="TMH89" s="947"/>
      <c r="TMI89" s="947"/>
      <c r="TMJ89" s="947"/>
      <c r="TMK89" s="947"/>
      <c r="TML89" s="947"/>
      <c r="TMM89" s="947"/>
      <c r="TMN89" s="947"/>
      <c r="TMO89" s="947"/>
      <c r="TMP89" s="947"/>
      <c r="TMQ89" s="947"/>
      <c r="TMR89" s="947"/>
      <c r="TMS89" s="947"/>
      <c r="TMT89" s="947"/>
      <c r="TMU89" s="947"/>
      <c r="TMV89" s="947"/>
      <c r="TMW89" s="947"/>
      <c r="TMX89" s="947"/>
      <c r="TMY89" s="947"/>
      <c r="TMZ89" s="947"/>
      <c r="TNA89" s="947"/>
      <c r="TNB89" s="947"/>
      <c r="TNC89" s="947"/>
      <c r="TND89" s="947"/>
      <c r="TNE89" s="947"/>
      <c r="TNF89" s="947"/>
      <c r="TNG89" s="947"/>
      <c r="TNH89" s="947"/>
      <c r="TNI89" s="947"/>
      <c r="TNJ89" s="947"/>
      <c r="TNK89" s="947"/>
      <c r="TNL89" s="947"/>
      <c r="TNM89" s="947"/>
      <c r="TNN89" s="947"/>
      <c r="TNO89" s="947"/>
      <c r="TNP89" s="947"/>
      <c r="TNQ89" s="947"/>
      <c r="TNR89" s="947"/>
      <c r="TNS89" s="947"/>
      <c r="TNT89" s="947"/>
      <c r="TNU89" s="947"/>
      <c r="TNV89" s="947"/>
      <c r="TNW89" s="947"/>
      <c r="TNX89" s="947"/>
      <c r="TNY89" s="947"/>
      <c r="TNZ89" s="947"/>
      <c r="TOA89" s="947"/>
      <c r="TOB89" s="947"/>
      <c r="TOC89" s="947"/>
      <c r="TOD89" s="947"/>
      <c r="TOE89" s="947"/>
      <c r="TOF89" s="947"/>
      <c r="TOG89" s="947"/>
      <c r="TOH89" s="947"/>
      <c r="TOI89" s="947"/>
      <c r="TOJ89" s="947"/>
      <c r="TOK89" s="947"/>
      <c r="TOL89" s="947"/>
      <c r="TOM89" s="947"/>
      <c r="TON89" s="947"/>
      <c r="TOO89" s="947"/>
      <c r="TOP89" s="947"/>
      <c r="TOQ89" s="947"/>
      <c r="TOR89" s="947"/>
      <c r="TOS89" s="947"/>
      <c r="TOT89" s="947"/>
      <c r="TOU89" s="947"/>
      <c r="TOV89" s="947"/>
      <c r="TOW89" s="947"/>
      <c r="TOX89" s="947"/>
      <c r="TOY89" s="947"/>
      <c r="TOZ89" s="947"/>
      <c r="TPA89" s="947"/>
      <c r="TPB89" s="947"/>
      <c r="TPC89" s="947"/>
      <c r="TPD89" s="947"/>
      <c r="TPE89" s="947"/>
      <c r="TPF89" s="947"/>
      <c r="TPG89" s="947"/>
      <c r="TPH89" s="947"/>
      <c r="TPI89" s="947"/>
      <c r="TPJ89" s="947"/>
      <c r="TPK89" s="947"/>
      <c r="TPL89" s="947"/>
      <c r="TPM89" s="947"/>
      <c r="TPN89" s="947"/>
      <c r="TPO89" s="947"/>
      <c r="TPP89" s="947"/>
      <c r="TPQ89" s="947"/>
      <c r="TPR89" s="947"/>
      <c r="TPS89" s="947"/>
      <c r="TPT89" s="947"/>
      <c r="TPU89" s="947"/>
      <c r="TPV89" s="947"/>
      <c r="TPW89" s="947"/>
      <c r="TPX89" s="947"/>
      <c r="TPY89" s="947"/>
      <c r="TPZ89" s="947"/>
      <c r="TQA89" s="947"/>
      <c r="TQB89" s="947"/>
      <c r="TQC89" s="947"/>
      <c r="TQD89" s="947"/>
      <c r="TQE89" s="947"/>
      <c r="TQF89" s="947"/>
      <c r="TQG89" s="947"/>
      <c r="TQH89" s="947"/>
      <c r="TQI89" s="947"/>
      <c r="TQJ89" s="947"/>
      <c r="TQK89" s="947"/>
      <c r="TQL89" s="947"/>
      <c r="TQM89" s="947"/>
      <c r="TQN89" s="947"/>
      <c r="TQO89" s="947"/>
      <c r="TQP89" s="947"/>
      <c r="TQQ89" s="947"/>
      <c r="TQR89" s="947"/>
      <c r="TQS89" s="947"/>
      <c r="TQT89" s="947"/>
      <c r="TQU89" s="947"/>
      <c r="TQV89" s="947"/>
      <c r="TQW89" s="947"/>
      <c r="TQX89" s="947"/>
      <c r="TQY89" s="947"/>
      <c r="TQZ89" s="947"/>
      <c r="TRA89" s="947"/>
      <c r="TRB89" s="947"/>
      <c r="TRC89" s="947"/>
      <c r="TRD89" s="947"/>
      <c r="TRE89" s="947"/>
      <c r="TRF89" s="947"/>
      <c r="TRG89" s="947"/>
      <c r="TRH89" s="947"/>
      <c r="TRI89" s="947"/>
      <c r="TRJ89" s="947"/>
      <c r="TRK89" s="947"/>
      <c r="TRL89" s="947"/>
      <c r="TRM89" s="947"/>
      <c r="TRN89" s="947"/>
      <c r="TRO89" s="947"/>
      <c r="TRP89" s="947"/>
      <c r="TRQ89" s="947"/>
      <c r="TRR89" s="947"/>
      <c r="TRS89" s="947"/>
      <c r="TRT89" s="947"/>
      <c r="TRU89" s="947"/>
      <c r="TRV89" s="947"/>
      <c r="TRW89" s="947"/>
      <c r="TRX89" s="947"/>
      <c r="TRY89" s="947"/>
      <c r="TRZ89" s="947"/>
      <c r="TSA89" s="947"/>
      <c r="TSB89" s="947"/>
      <c r="TSC89" s="947"/>
      <c r="TSD89" s="947"/>
      <c r="TSE89" s="947"/>
      <c r="TSF89" s="947"/>
      <c r="TSG89" s="947"/>
      <c r="TSH89" s="947"/>
      <c r="TSI89" s="947"/>
      <c r="TSJ89" s="947"/>
      <c r="TSK89" s="947"/>
      <c r="TSL89" s="947"/>
      <c r="TSM89" s="947"/>
      <c r="TSN89" s="947"/>
      <c r="TSO89" s="947"/>
      <c r="TSP89" s="947"/>
      <c r="TSQ89" s="947"/>
      <c r="TSR89" s="947"/>
      <c r="TSS89" s="947"/>
      <c r="TST89" s="947"/>
      <c r="TSU89" s="947"/>
      <c r="TSV89" s="947"/>
      <c r="TSW89" s="947"/>
      <c r="TSX89" s="947"/>
      <c r="TSY89" s="947"/>
      <c r="TSZ89" s="947"/>
      <c r="TTA89" s="947"/>
      <c r="TTB89" s="947"/>
      <c r="TTC89" s="947"/>
      <c r="TTD89" s="947"/>
      <c r="TTE89" s="947"/>
      <c r="TTF89" s="947"/>
      <c r="TTG89" s="947"/>
      <c r="TTH89" s="947"/>
      <c r="TTI89" s="947"/>
      <c r="TTJ89" s="947"/>
      <c r="TTK89" s="947"/>
      <c r="TTL89" s="947"/>
      <c r="TTM89" s="947"/>
      <c r="TTN89" s="947"/>
      <c r="TTO89" s="947"/>
      <c r="TTP89" s="947"/>
      <c r="TTQ89" s="947"/>
      <c r="TTR89" s="947"/>
      <c r="TTS89" s="947"/>
      <c r="TTT89" s="947"/>
      <c r="TTU89" s="947"/>
      <c r="TTV89" s="947"/>
      <c r="TTW89" s="947"/>
      <c r="TTX89" s="947"/>
      <c r="TTY89" s="947"/>
      <c r="TTZ89" s="947"/>
      <c r="TUA89" s="947"/>
      <c r="TUB89" s="947"/>
      <c r="TUC89" s="947"/>
      <c r="TUD89" s="947"/>
      <c r="TUE89" s="947"/>
      <c r="TUF89" s="947"/>
      <c r="TUG89" s="947"/>
      <c r="TUH89" s="947"/>
      <c r="TUI89" s="947"/>
      <c r="TUJ89" s="947"/>
      <c r="TUK89" s="947"/>
      <c r="TUL89" s="947"/>
      <c r="TUM89" s="947"/>
      <c r="TUN89" s="947"/>
      <c r="TUO89" s="947"/>
      <c r="TUP89" s="947"/>
      <c r="TUQ89" s="947"/>
      <c r="TUR89" s="947"/>
      <c r="TUS89" s="947"/>
      <c r="TUT89" s="947"/>
      <c r="TUU89" s="947"/>
      <c r="TUV89" s="947"/>
      <c r="TUW89" s="947"/>
      <c r="TUX89" s="947"/>
      <c r="TUY89" s="947"/>
      <c r="TUZ89" s="947"/>
      <c r="TVA89" s="947"/>
      <c r="TVB89" s="947"/>
      <c r="TVC89" s="947"/>
      <c r="TVD89" s="947"/>
      <c r="TVE89" s="947"/>
      <c r="TVF89" s="947"/>
      <c r="TVG89" s="947"/>
      <c r="TVH89" s="947"/>
      <c r="TVI89" s="947"/>
      <c r="TVJ89" s="947"/>
      <c r="TVK89" s="947"/>
      <c r="TVL89" s="947"/>
      <c r="TVM89" s="947"/>
      <c r="TVN89" s="947"/>
      <c r="TVO89" s="947"/>
      <c r="TVP89" s="947"/>
      <c r="TVQ89" s="947"/>
      <c r="TVR89" s="947"/>
      <c r="TVS89" s="947"/>
      <c r="TVT89" s="947"/>
      <c r="TVU89" s="947"/>
      <c r="TVV89" s="947"/>
      <c r="TVW89" s="947"/>
      <c r="TVX89" s="947"/>
      <c r="TVY89" s="947"/>
      <c r="TVZ89" s="947"/>
      <c r="TWA89" s="947"/>
      <c r="TWB89" s="947"/>
      <c r="TWC89" s="947"/>
      <c r="TWD89" s="947"/>
      <c r="TWE89" s="947"/>
      <c r="TWF89" s="947"/>
      <c r="TWG89" s="947"/>
      <c r="TWH89" s="947"/>
      <c r="TWI89" s="947"/>
      <c r="TWJ89" s="947"/>
      <c r="TWK89" s="947"/>
      <c r="TWL89" s="947"/>
      <c r="TWM89" s="947"/>
      <c r="TWN89" s="947"/>
      <c r="TWO89" s="947"/>
      <c r="TWP89" s="947"/>
      <c r="TWQ89" s="947"/>
      <c r="TWR89" s="947"/>
      <c r="TWS89" s="947"/>
      <c r="TWT89" s="947"/>
      <c r="TWU89" s="947"/>
      <c r="TWV89" s="947"/>
      <c r="TWW89" s="947"/>
      <c r="TWX89" s="947"/>
      <c r="TWY89" s="947"/>
      <c r="TWZ89" s="947"/>
      <c r="TXA89" s="947"/>
      <c r="TXB89" s="947"/>
      <c r="TXC89" s="947"/>
      <c r="TXD89" s="947"/>
      <c r="TXE89" s="947"/>
      <c r="TXF89" s="947"/>
      <c r="TXG89" s="947"/>
      <c r="TXH89" s="947"/>
      <c r="TXI89" s="947"/>
      <c r="TXJ89" s="947"/>
      <c r="TXK89" s="947"/>
      <c r="TXL89" s="947"/>
      <c r="TXM89" s="947"/>
      <c r="TXN89" s="947"/>
      <c r="TXO89" s="947"/>
      <c r="TXP89" s="947"/>
      <c r="TXQ89" s="947"/>
      <c r="TXR89" s="947"/>
      <c r="TXS89" s="947"/>
      <c r="TXT89" s="947"/>
      <c r="TXU89" s="947"/>
      <c r="TXV89" s="947"/>
      <c r="TXW89" s="947"/>
      <c r="TXX89" s="947"/>
      <c r="TXY89" s="947"/>
      <c r="TXZ89" s="947"/>
      <c r="TYA89" s="947"/>
      <c r="TYB89" s="947"/>
      <c r="TYC89" s="947"/>
      <c r="TYD89" s="947"/>
      <c r="TYE89" s="947"/>
      <c r="TYF89" s="947"/>
      <c r="TYG89" s="947"/>
      <c r="TYH89" s="947"/>
      <c r="TYI89" s="947"/>
      <c r="TYJ89" s="947"/>
      <c r="TYK89" s="947"/>
      <c r="TYL89" s="947"/>
      <c r="TYM89" s="947"/>
      <c r="TYN89" s="947"/>
      <c r="TYO89" s="947"/>
      <c r="TYP89" s="947"/>
      <c r="TYQ89" s="947"/>
      <c r="TYR89" s="947"/>
      <c r="TYS89" s="947"/>
      <c r="TYT89" s="947"/>
      <c r="TYU89" s="947"/>
      <c r="TYV89" s="947"/>
      <c r="TYW89" s="947"/>
      <c r="TYX89" s="947"/>
      <c r="TYY89" s="947"/>
      <c r="TYZ89" s="947"/>
      <c r="TZA89" s="947"/>
      <c r="TZB89" s="947"/>
      <c r="TZC89" s="947"/>
      <c r="TZD89" s="947"/>
      <c r="TZE89" s="947"/>
      <c r="TZF89" s="947"/>
      <c r="TZG89" s="947"/>
      <c r="TZH89" s="947"/>
      <c r="TZI89" s="947"/>
      <c r="TZJ89" s="947"/>
      <c r="TZK89" s="947"/>
      <c r="TZL89" s="947"/>
      <c r="TZM89" s="947"/>
      <c r="TZN89" s="947"/>
      <c r="TZO89" s="947"/>
      <c r="TZP89" s="947"/>
      <c r="TZQ89" s="947"/>
      <c r="TZR89" s="947"/>
      <c r="TZS89" s="947"/>
      <c r="TZT89" s="947"/>
      <c r="TZU89" s="947"/>
      <c r="TZV89" s="947"/>
      <c r="TZW89" s="947"/>
      <c r="TZX89" s="947"/>
      <c r="TZY89" s="947"/>
      <c r="TZZ89" s="947"/>
      <c r="UAA89" s="947"/>
      <c r="UAB89" s="947"/>
      <c r="UAC89" s="947"/>
      <c r="UAD89" s="947"/>
      <c r="UAE89" s="947"/>
      <c r="UAF89" s="947"/>
      <c r="UAG89" s="947"/>
      <c r="UAH89" s="947"/>
      <c r="UAI89" s="947"/>
      <c r="UAJ89" s="947"/>
      <c r="UAK89" s="947"/>
      <c r="UAL89" s="947"/>
      <c r="UAM89" s="947"/>
      <c r="UAN89" s="947"/>
      <c r="UAO89" s="947"/>
      <c r="UAP89" s="947"/>
      <c r="UAQ89" s="947"/>
      <c r="UAR89" s="947"/>
      <c r="UAS89" s="947"/>
      <c r="UAT89" s="947"/>
      <c r="UAU89" s="947"/>
      <c r="UAV89" s="947"/>
      <c r="UAW89" s="947"/>
      <c r="UAX89" s="947"/>
      <c r="UAY89" s="947"/>
      <c r="UAZ89" s="947"/>
      <c r="UBA89" s="947"/>
      <c r="UBB89" s="947"/>
      <c r="UBC89" s="947"/>
      <c r="UBD89" s="947"/>
      <c r="UBE89" s="947"/>
      <c r="UBF89" s="947"/>
      <c r="UBG89" s="947"/>
      <c r="UBH89" s="947"/>
      <c r="UBI89" s="947"/>
      <c r="UBJ89" s="947"/>
      <c r="UBK89" s="947"/>
      <c r="UBL89" s="947"/>
      <c r="UBM89" s="947"/>
      <c r="UBN89" s="947"/>
      <c r="UBO89" s="947"/>
      <c r="UBP89" s="947"/>
      <c r="UBQ89" s="947"/>
      <c r="UBR89" s="947"/>
      <c r="UBS89" s="947"/>
      <c r="UBT89" s="947"/>
      <c r="UBU89" s="947"/>
      <c r="UBV89" s="947"/>
      <c r="UBW89" s="947"/>
      <c r="UBX89" s="947"/>
      <c r="UBY89" s="947"/>
      <c r="UBZ89" s="947"/>
      <c r="UCA89" s="947"/>
      <c r="UCB89" s="947"/>
      <c r="UCC89" s="947"/>
      <c r="UCD89" s="947"/>
      <c r="UCE89" s="947"/>
      <c r="UCF89" s="947"/>
      <c r="UCG89" s="947"/>
      <c r="UCH89" s="947"/>
      <c r="UCI89" s="947"/>
      <c r="UCJ89" s="947"/>
      <c r="UCK89" s="947"/>
      <c r="UCL89" s="947"/>
      <c r="UCM89" s="947"/>
      <c r="UCN89" s="947"/>
      <c r="UCO89" s="947"/>
      <c r="UCP89" s="947"/>
      <c r="UCQ89" s="947"/>
      <c r="UCR89" s="947"/>
      <c r="UCS89" s="947"/>
      <c r="UCT89" s="947"/>
      <c r="UCU89" s="947"/>
      <c r="UCV89" s="947"/>
      <c r="UCW89" s="947"/>
      <c r="UCX89" s="947"/>
      <c r="UCY89" s="947"/>
      <c r="UCZ89" s="947"/>
      <c r="UDA89" s="947"/>
      <c r="UDB89" s="947"/>
      <c r="UDC89" s="947"/>
      <c r="UDD89" s="947"/>
      <c r="UDE89" s="947"/>
      <c r="UDF89" s="947"/>
      <c r="UDG89" s="947"/>
      <c r="UDH89" s="947"/>
      <c r="UDI89" s="947"/>
      <c r="UDJ89" s="947"/>
      <c r="UDK89" s="947"/>
      <c r="UDL89" s="947"/>
      <c r="UDM89" s="947"/>
      <c r="UDN89" s="947"/>
      <c r="UDO89" s="947"/>
      <c r="UDP89" s="947"/>
      <c r="UDQ89" s="947"/>
      <c r="UDR89" s="947"/>
      <c r="UDS89" s="947"/>
      <c r="UDT89" s="947"/>
      <c r="UDU89" s="947"/>
      <c r="UDV89" s="947"/>
      <c r="UDW89" s="947"/>
      <c r="UDX89" s="947"/>
      <c r="UDY89" s="947"/>
      <c r="UDZ89" s="947"/>
      <c r="UEA89" s="947"/>
      <c r="UEB89" s="947"/>
      <c r="UEC89" s="947"/>
      <c r="UED89" s="947"/>
      <c r="UEE89" s="947"/>
      <c r="UEF89" s="947"/>
      <c r="UEG89" s="947"/>
      <c r="UEH89" s="947"/>
      <c r="UEI89" s="947"/>
      <c r="UEJ89" s="947"/>
      <c r="UEK89" s="947"/>
      <c r="UEL89" s="947"/>
      <c r="UEM89" s="947"/>
      <c r="UEN89" s="947"/>
      <c r="UEO89" s="947"/>
      <c r="UEP89" s="947"/>
      <c r="UEQ89" s="947"/>
      <c r="UER89" s="947"/>
      <c r="UES89" s="947"/>
      <c r="UET89" s="947"/>
      <c r="UEU89" s="947"/>
      <c r="UEV89" s="947"/>
      <c r="UEW89" s="947"/>
      <c r="UEX89" s="947"/>
      <c r="UEY89" s="947"/>
      <c r="UEZ89" s="947"/>
      <c r="UFA89" s="947"/>
      <c r="UFB89" s="947"/>
      <c r="UFC89" s="947"/>
      <c r="UFD89" s="947"/>
      <c r="UFE89" s="947"/>
      <c r="UFF89" s="947"/>
      <c r="UFG89" s="947"/>
      <c r="UFH89" s="947"/>
      <c r="UFI89" s="947"/>
      <c r="UFJ89" s="947"/>
      <c r="UFK89" s="947"/>
      <c r="UFL89" s="947"/>
      <c r="UFM89" s="947"/>
      <c r="UFN89" s="947"/>
      <c r="UFO89" s="947"/>
      <c r="UFP89" s="947"/>
      <c r="UFQ89" s="947"/>
      <c r="UFR89" s="947"/>
      <c r="UFS89" s="947"/>
      <c r="UFT89" s="947"/>
      <c r="UFU89" s="947"/>
      <c r="UFV89" s="947"/>
      <c r="UFW89" s="947"/>
      <c r="UFX89" s="947"/>
      <c r="UFY89" s="947"/>
      <c r="UFZ89" s="947"/>
      <c r="UGA89" s="947"/>
      <c r="UGB89" s="947"/>
      <c r="UGC89" s="947"/>
      <c r="UGD89" s="947"/>
      <c r="UGE89" s="947"/>
      <c r="UGF89" s="947"/>
      <c r="UGG89" s="947"/>
      <c r="UGH89" s="947"/>
      <c r="UGI89" s="947"/>
      <c r="UGJ89" s="947"/>
      <c r="UGK89" s="947"/>
      <c r="UGL89" s="947"/>
      <c r="UGM89" s="947"/>
      <c r="UGN89" s="947"/>
      <c r="UGO89" s="947"/>
      <c r="UGP89" s="947"/>
      <c r="UGQ89" s="947"/>
      <c r="UGR89" s="947"/>
      <c r="UGS89" s="947"/>
      <c r="UGT89" s="947"/>
      <c r="UGU89" s="947"/>
      <c r="UGV89" s="947"/>
      <c r="UGW89" s="947"/>
      <c r="UGX89" s="947"/>
      <c r="UGY89" s="947"/>
      <c r="UGZ89" s="947"/>
      <c r="UHA89" s="947"/>
      <c r="UHB89" s="947"/>
      <c r="UHC89" s="947"/>
      <c r="UHD89" s="947"/>
      <c r="UHE89" s="947"/>
      <c r="UHF89" s="947"/>
      <c r="UHG89" s="947"/>
      <c r="UHH89" s="947"/>
      <c r="UHI89" s="947"/>
      <c r="UHJ89" s="947"/>
      <c r="UHK89" s="947"/>
      <c r="UHL89" s="947"/>
      <c r="UHM89" s="947"/>
      <c r="UHN89" s="947"/>
      <c r="UHO89" s="947"/>
      <c r="UHP89" s="947"/>
      <c r="UHQ89" s="947"/>
      <c r="UHR89" s="947"/>
      <c r="UHS89" s="947"/>
      <c r="UHT89" s="947"/>
      <c r="UHU89" s="947"/>
      <c r="UHV89" s="947"/>
      <c r="UHW89" s="947"/>
      <c r="UHX89" s="947"/>
      <c r="UHY89" s="947"/>
      <c r="UHZ89" s="947"/>
      <c r="UIA89" s="947"/>
      <c r="UIB89" s="947"/>
      <c r="UIC89" s="947"/>
      <c r="UID89" s="947"/>
      <c r="UIE89" s="947"/>
      <c r="UIF89" s="947"/>
      <c r="UIG89" s="947"/>
      <c r="UIH89" s="947"/>
      <c r="UII89" s="947"/>
      <c r="UIJ89" s="947"/>
      <c r="UIK89" s="947"/>
      <c r="UIL89" s="947"/>
      <c r="UIM89" s="947"/>
      <c r="UIN89" s="947"/>
      <c r="UIO89" s="947"/>
      <c r="UIP89" s="947"/>
      <c r="UIQ89" s="947"/>
      <c r="UIR89" s="947"/>
      <c r="UIS89" s="947"/>
      <c r="UIT89" s="947"/>
      <c r="UIU89" s="947"/>
      <c r="UIV89" s="947"/>
      <c r="UIW89" s="947"/>
      <c r="UIX89" s="947"/>
      <c r="UIY89" s="947"/>
      <c r="UIZ89" s="947"/>
      <c r="UJA89" s="947"/>
      <c r="UJB89" s="947"/>
      <c r="UJC89" s="947"/>
      <c r="UJD89" s="947"/>
      <c r="UJE89" s="947"/>
      <c r="UJF89" s="947"/>
      <c r="UJG89" s="947"/>
      <c r="UJH89" s="947"/>
      <c r="UJI89" s="947"/>
      <c r="UJJ89" s="947"/>
      <c r="UJK89" s="947"/>
      <c r="UJL89" s="947"/>
      <c r="UJM89" s="947"/>
      <c r="UJN89" s="947"/>
      <c r="UJO89" s="947"/>
      <c r="UJP89" s="947"/>
      <c r="UJQ89" s="947"/>
      <c r="UJR89" s="947"/>
      <c r="UJS89" s="947"/>
      <c r="UJT89" s="947"/>
      <c r="UJU89" s="947"/>
      <c r="UJV89" s="947"/>
      <c r="UJW89" s="947"/>
      <c r="UJX89" s="947"/>
      <c r="UJY89" s="947"/>
      <c r="UJZ89" s="947"/>
      <c r="UKA89" s="947"/>
      <c r="UKB89" s="947"/>
      <c r="UKC89" s="947"/>
      <c r="UKD89" s="947"/>
      <c r="UKE89" s="947"/>
      <c r="UKF89" s="947"/>
      <c r="UKG89" s="947"/>
      <c r="UKH89" s="947"/>
      <c r="UKI89" s="947"/>
      <c r="UKJ89" s="947"/>
      <c r="UKK89" s="947"/>
      <c r="UKL89" s="947"/>
      <c r="UKM89" s="947"/>
      <c r="UKN89" s="947"/>
      <c r="UKO89" s="947"/>
      <c r="UKP89" s="947"/>
      <c r="UKQ89" s="947"/>
      <c r="UKR89" s="947"/>
      <c r="UKS89" s="947"/>
      <c r="UKT89" s="947"/>
      <c r="UKU89" s="947"/>
      <c r="UKV89" s="947"/>
      <c r="UKW89" s="947"/>
      <c r="UKX89" s="947"/>
      <c r="UKY89" s="947"/>
      <c r="UKZ89" s="947"/>
      <c r="ULA89" s="947"/>
      <c r="ULB89" s="947"/>
      <c r="ULC89" s="947"/>
      <c r="ULD89" s="947"/>
      <c r="ULE89" s="947"/>
      <c r="ULF89" s="947"/>
      <c r="ULG89" s="947"/>
      <c r="ULH89" s="947"/>
      <c r="ULI89" s="947"/>
      <c r="ULJ89" s="947"/>
      <c r="ULK89" s="947"/>
      <c r="ULL89" s="947"/>
      <c r="ULM89" s="947"/>
      <c r="ULN89" s="947"/>
      <c r="ULO89" s="947"/>
      <c r="ULP89" s="947"/>
      <c r="ULQ89" s="947"/>
      <c r="ULR89" s="947"/>
      <c r="ULS89" s="947"/>
      <c r="ULT89" s="947"/>
      <c r="ULU89" s="947"/>
      <c r="ULV89" s="947"/>
      <c r="ULW89" s="947"/>
      <c r="ULX89" s="947"/>
      <c r="ULY89" s="947"/>
      <c r="ULZ89" s="947"/>
      <c r="UMA89" s="947"/>
      <c r="UMB89" s="947"/>
      <c r="UMC89" s="947"/>
      <c r="UMD89" s="947"/>
      <c r="UME89" s="947"/>
      <c r="UMF89" s="947"/>
      <c r="UMG89" s="947"/>
      <c r="UMH89" s="947"/>
      <c r="UMI89" s="947"/>
      <c r="UMJ89" s="947"/>
      <c r="UMK89" s="947"/>
      <c r="UML89" s="947"/>
      <c r="UMM89" s="947"/>
      <c r="UMN89" s="947"/>
      <c r="UMO89" s="947"/>
      <c r="UMP89" s="947"/>
      <c r="UMQ89" s="947"/>
      <c r="UMR89" s="947"/>
      <c r="UMS89" s="947"/>
      <c r="UMT89" s="947"/>
      <c r="UMU89" s="947"/>
      <c r="UMV89" s="947"/>
      <c r="UMW89" s="947"/>
      <c r="UMX89" s="947"/>
      <c r="UMY89" s="947"/>
      <c r="UMZ89" s="947"/>
      <c r="UNA89" s="947"/>
      <c r="UNB89" s="947"/>
      <c r="UNC89" s="947"/>
      <c r="UND89" s="947"/>
      <c r="UNE89" s="947"/>
      <c r="UNF89" s="947"/>
      <c r="UNG89" s="947"/>
      <c r="UNH89" s="947"/>
      <c r="UNI89" s="947"/>
      <c r="UNJ89" s="947"/>
      <c r="UNK89" s="947"/>
      <c r="UNL89" s="947"/>
      <c r="UNM89" s="947"/>
      <c r="UNN89" s="947"/>
      <c r="UNO89" s="947"/>
      <c r="UNP89" s="947"/>
      <c r="UNQ89" s="947"/>
      <c r="UNR89" s="947"/>
      <c r="UNS89" s="947"/>
      <c r="UNT89" s="947"/>
      <c r="UNU89" s="947"/>
      <c r="UNV89" s="947"/>
      <c r="UNW89" s="947"/>
      <c r="UNX89" s="947"/>
      <c r="UNY89" s="947"/>
      <c r="UNZ89" s="947"/>
      <c r="UOA89" s="947"/>
      <c r="UOB89" s="947"/>
      <c r="UOC89" s="947"/>
      <c r="UOD89" s="947"/>
      <c r="UOE89" s="947"/>
      <c r="UOF89" s="947"/>
      <c r="UOG89" s="947"/>
      <c r="UOH89" s="947"/>
      <c r="UOI89" s="947"/>
      <c r="UOJ89" s="947"/>
      <c r="UOK89" s="947"/>
      <c r="UOL89" s="947"/>
      <c r="UOM89" s="947"/>
      <c r="UON89" s="947"/>
      <c r="UOO89" s="947"/>
      <c r="UOP89" s="947"/>
      <c r="UOQ89" s="947"/>
      <c r="UOR89" s="947"/>
      <c r="UOS89" s="947"/>
      <c r="UOT89" s="947"/>
      <c r="UOU89" s="947"/>
      <c r="UOV89" s="947"/>
      <c r="UOW89" s="947"/>
      <c r="UOX89" s="947"/>
      <c r="UOY89" s="947"/>
      <c r="UOZ89" s="947"/>
      <c r="UPA89" s="947"/>
      <c r="UPB89" s="947"/>
      <c r="UPC89" s="947"/>
      <c r="UPD89" s="947"/>
      <c r="UPE89" s="947"/>
      <c r="UPF89" s="947"/>
      <c r="UPG89" s="947"/>
      <c r="UPH89" s="947"/>
      <c r="UPI89" s="947"/>
      <c r="UPJ89" s="947"/>
      <c r="UPK89" s="947"/>
      <c r="UPL89" s="947"/>
      <c r="UPM89" s="947"/>
      <c r="UPN89" s="947"/>
      <c r="UPO89" s="947"/>
      <c r="UPP89" s="947"/>
      <c r="UPQ89" s="947"/>
      <c r="UPR89" s="947"/>
      <c r="UPS89" s="947"/>
      <c r="UPT89" s="947"/>
      <c r="UPU89" s="947"/>
      <c r="UPV89" s="947"/>
      <c r="UPW89" s="947"/>
      <c r="UPX89" s="947"/>
      <c r="UPY89" s="947"/>
      <c r="UPZ89" s="947"/>
      <c r="UQA89" s="947"/>
      <c r="UQB89" s="947"/>
      <c r="UQC89" s="947"/>
      <c r="UQD89" s="947"/>
      <c r="UQE89" s="947"/>
      <c r="UQF89" s="947"/>
      <c r="UQG89" s="947"/>
      <c r="UQH89" s="947"/>
      <c r="UQI89" s="947"/>
      <c r="UQJ89" s="947"/>
      <c r="UQK89" s="947"/>
      <c r="UQL89" s="947"/>
      <c r="UQM89" s="947"/>
      <c r="UQN89" s="947"/>
      <c r="UQO89" s="947"/>
      <c r="UQP89" s="947"/>
      <c r="UQQ89" s="947"/>
      <c r="UQR89" s="947"/>
      <c r="UQS89" s="947"/>
      <c r="UQT89" s="947"/>
      <c r="UQU89" s="947"/>
      <c r="UQV89" s="947"/>
      <c r="UQW89" s="947"/>
      <c r="UQX89" s="947"/>
      <c r="UQY89" s="947"/>
      <c r="UQZ89" s="947"/>
      <c r="URA89" s="947"/>
      <c r="URB89" s="947"/>
      <c r="URC89" s="947"/>
      <c r="URD89" s="947"/>
      <c r="URE89" s="947"/>
      <c r="URF89" s="947"/>
      <c r="URG89" s="947"/>
      <c r="URH89" s="947"/>
      <c r="URI89" s="947"/>
      <c r="URJ89" s="947"/>
      <c r="URK89" s="947"/>
      <c r="URL89" s="947"/>
      <c r="URM89" s="947"/>
      <c r="URN89" s="947"/>
      <c r="URO89" s="947"/>
      <c r="URP89" s="947"/>
      <c r="URQ89" s="947"/>
      <c r="URR89" s="947"/>
      <c r="URS89" s="947"/>
      <c r="URT89" s="947"/>
      <c r="URU89" s="947"/>
      <c r="URV89" s="947"/>
      <c r="URW89" s="947"/>
      <c r="URX89" s="947"/>
      <c r="URY89" s="947"/>
      <c r="URZ89" s="947"/>
      <c r="USA89" s="947"/>
      <c r="USB89" s="947"/>
      <c r="USC89" s="947"/>
      <c r="USD89" s="947"/>
      <c r="USE89" s="947"/>
      <c r="USF89" s="947"/>
      <c r="USG89" s="947"/>
      <c r="USH89" s="947"/>
      <c r="USI89" s="947"/>
      <c r="USJ89" s="947"/>
      <c r="USK89" s="947"/>
      <c r="USL89" s="947"/>
      <c r="USM89" s="947"/>
      <c r="USN89" s="947"/>
      <c r="USO89" s="947"/>
      <c r="USP89" s="947"/>
      <c r="USQ89" s="947"/>
      <c r="USR89" s="947"/>
      <c r="USS89" s="947"/>
      <c r="UST89" s="947"/>
      <c r="USU89" s="947"/>
      <c r="USV89" s="947"/>
      <c r="USW89" s="947"/>
      <c r="USX89" s="947"/>
      <c r="USY89" s="947"/>
      <c r="USZ89" s="947"/>
      <c r="UTA89" s="947"/>
      <c r="UTB89" s="947"/>
      <c r="UTC89" s="947"/>
      <c r="UTD89" s="947"/>
      <c r="UTE89" s="947"/>
      <c r="UTF89" s="947"/>
      <c r="UTG89" s="947"/>
      <c r="UTH89" s="947"/>
      <c r="UTI89" s="947"/>
      <c r="UTJ89" s="947"/>
      <c r="UTK89" s="947"/>
      <c r="UTL89" s="947"/>
      <c r="UTM89" s="947"/>
      <c r="UTN89" s="947"/>
      <c r="UTO89" s="947"/>
      <c r="UTP89" s="947"/>
      <c r="UTQ89" s="947"/>
      <c r="UTR89" s="947"/>
      <c r="UTS89" s="947"/>
      <c r="UTT89" s="947"/>
      <c r="UTU89" s="947"/>
      <c r="UTV89" s="947"/>
      <c r="UTW89" s="947"/>
      <c r="UTX89" s="947"/>
      <c r="UTY89" s="947"/>
      <c r="UTZ89" s="947"/>
      <c r="UUA89" s="947"/>
      <c r="UUB89" s="947"/>
      <c r="UUC89" s="947"/>
      <c r="UUD89" s="947"/>
      <c r="UUE89" s="947"/>
      <c r="UUF89" s="947"/>
      <c r="UUG89" s="947"/>
      <c r="UUH89" s="947"/>
      <c r="UUI89" s="947"/>
      <c r="UUJ89" s="947"/>
      <c r="UUK89" s="947"/>
      <c r="UUL89" s="947"/>
      <c r="UUM89" s="947"/>
      <c r="UUN89" s="947"/>
      <c r="UUO89" s="947"/>
      <c r="UUP89" s="947"/>
      <c r="UUQ89" s="947"/>
      <c r="UUR89" s="947"/>
      <c r="UUS89" s="947"/>
      <c r="UUT89" s="947"/>
      <c r="UUU89" s="947"/>
      <c r="UUV89" s="947"/>
      <c r="UUW89" s="947"/>
      <c r="UUX89" s="947"/>
      <c r="UUY89" s="947"/>
      <c r="UUZ89" s="947"/>
      <c r="UVA89" s="947"/>
      <c r="UVB89" s="947"/>
      <c r="UVC89" s="947"/>
      <c r="UVD89" s="947"/>
      <c r="UVE89" s="947"/>
      <c r="UVF89" s="947"/>
      <c r="UVG89" s="947"/>
      <c r="UVH89" s="947"/>
      <c r="UVI89" s="947"/>
      <c r="UVJ89" s="947"/>
      <c r="UVK89" s="947"/>
      <c r="UVL89" s="947"/>
      <c r="UVM89" s="947"/>
      <c r="UVN89" s="947"/>
      <c r="UVO89" s="947"/>
      <c r="UVP89" s="947"/>
      <c r="UVQ89" s="947"/>
      <c r="UVR89" s="947"/>
      <c r="UVS89" s="947"/>
      <c r="UVT89" s="947"/>
      <c r="UVU89" s="947"/>
      <c r="UVV89" s="947"/>
      <c r="UVW89" s="947"/>
      <c r="UVX89" s="947"/>
      <c r="UVY89" s="947"/>
      <c r="UVZ89" s="947"/>
      <c r="UWA89" s="947"/>
      <c r="UWB89" s="947"/>
      <c r="UWC89" s="947"/>
      <c r="UWD89" s="947"/>
      <c r="UWE89" s="947"/>
      <c r="UWF89" s="947"/>
      <c r="UWG89" s="947"/>
      <c r="UWH89" s="947"/>
      <c r="UWI89" s="947"/>
      <c r="UWJ89" s="947"/>
      <c r="UWK89" s="947"/>
      <c r="UWL89" s="947"/>
      <c r="UWM89" s="947"/>
      <c r="UWN89" s="947"/>
      <c r="UWO89" s="947"/>
      <c r="UWP89" s="947"/>
      <c r="UWQ89" s="947"/>
      <c r="UWR89" s="947"/>
      <c r="UWS89" s="947"/>
      <c r="UWT89" s="947"/>
      <c r="UWU89" s="947"/>
      <c r="UWV89" s="947"/>
      <c r="UWW89" s="947"/>
      <c r="UWX89" s="947"/>
      <c r="UWY89" s="947"/>
      <c r="UWZ89" s="947"/>
      <c r="UXA89" s="947"/>
      <c r="UXB89" s="947"/>
      <c r="UXC89" s="947"/>
      <c r="UXD89" s="947"/>
      <c r="UXE89" s="947"/>
      <c r="UXF89" s="947"/>
      <c r="UXG89" s="947"/>
      <c r="UXH89" s="947"/>
      <c r="UXI89" s="947"/>
      <c r="UXJ89" s="947"/>
      <c r="UXK89" s="947"/>
      <c r="UXL89" s="947"/>
      <c r="UXM89" s="947"/>
      <c r="UXN89" s="947"/>
      <c r="UXO89" s="947"/>
      <c r="UXP89" s="947"/>
      <c r="UXQ89" s="947"/>
      <c r="UXR89" s="947"/>
      <c r="UXS89" s="947"/>
      <c r="UXT89" s="947"/>
      <c r="UXU89" s="947"/>
      <c r="UXV89" s="947"/>
      <c r="UXW89" s="947"/>
      <c r="UXX89" s="947"/>
      <c r="UXY89" s="947"/>
      <c r="UXZ89" s="947"/>
      <c r="UYA89" s="947"/>
      <c r="UYB89" s="947"/>
      <c r="UYC89" s="947"/>
      <c r="UYD89" s="947"/>
      <c r="UYE89" s="947"/>
      <c r="UYF89" s="947"/>
      <c r="UYG89" s="947"/>
      <c r="UYH89" s="947"/>
      <c r="UYI89" s="947"/>
      <c r="UYJ89" s="947"/>
      <c r="UYK89" s="947"/>
      <c r="UYL89" s="947"/>
      <c r="UYM89" s="947"/>
      <c r="UYN89" s="947"/>
      <c r="UYO89" s="947"/>
      <c r="UYP89" s="947"/>
      <c r="UYQ89" s="947"/>
      <c r="UYR89" s="947"/>
      <c r="UYS89" s="947"/>
      <c r="UYT89" s="947"/>
      <c r="UYU89" s="947"/>
      <c r="UYV89" s="947"/>
      <c r="UYW89" s="947"/>
      <c r="UYX89" s="947"/>
      <c r="UYY89" s="947"/>
      <c r="UYZ89" s="947"/>
      <c r="UZA89" s="947"/>
      <c r="UZB89" s="947"/>
      <c r="UZC89" s="947"/>
      <c r="UZD89" s="947"/>
      <c r="UZE89" s="947"/>
      <c r="UZF89" s="947"/>
      <c r="UZG89" s="947"/>
      <c r="UZH89" s="947"/>
      <c r="UZI89" s="947"/>
      <c r="UZJ89" s="947"/>
      <c r="UZK89" s="947"/>
      <c r="UZL89" s="947"/>
      <c r="UZM89" s="947"/>
      <c r="UZN89" s="947"/>
      <c r="UZO89" s="947"/>
      <c r="UZP89" s="947"/>
      <c r="UZQ89" s="947"/>
      <c r="UZR89" s="947"/>
      <c r="UZS89" s="947"/>
      <c r="UZT89" s="947"/>
      <c r="UZU89" s="947"/>
      <c r="UZV89" s="947"/>
      <c r="UZW89" s="947"/>
      <c r="UZX89" s="947"/>
      <c r="UZY89" s="947"/>
      <c r="UZZ89" s="947"/>
      <c r="VAA89" s="947"/>
      <c r="VAB89" s="947"/>
      <c r="VAC89" s="947"/>
      <c r="VAD89" s="947"/>
      <c r="VAE89" s="947"/>
      <c r="VAF89" s="947"/>
      <c r="VAG89" s="947"/>
      <c r="VAH89" s="947"/>
      <c r="VAI89" s="947"/>
      <c r="VAJ89" s="947"/>
      <c r="VAK89" s="947"/>
      <c r="VAL89" s="947"/>
      <c r="VAM89" s="947"/>
      <c r="VAN89" s="947"/>
      <c r="VAO89" s="947"/>
      <c r="VAP89" s="947"/>
      <c r="VAQ89" s="947"/>
      <c r="VAR89" s="947"/>
      <c r="VAS89" s="947"/>
      <c r="VAT89" s="947"/>
      <c r="VAU89" s="947"/>
      <c r="VAV89" s="947"/>
      <c r="VAW89" s="947"/>
      <c r="VAX89" s="947"/>
      <c r="VAY89" s="947"/>
      <c r="VAZ89" s="947"/>
      <c r="VBA89" s="947"/>
      <c r="VBB89" s="947"/>
      <c r="VBC89" s="947"/>
      <c r="VBD89" s="947"/>
      <c r="VBE89" s="947"/>
      <c r="VBF89" s="947"/>
      <c r="VBG89" s="947"/>
      <c r="VBH89" s="947"/>
      <c r="VBI89" s="947"/>
      <c r="VBJ89" s="947"/>
      <c r="VBK89" s="947"/>
      <c r="VBL89" s="947"/>
      <c r="VBM89" s="947"/>
      <c r="VBN89" s="947"/>
      <c r="VBO89" s="947"/>
      <c r="VBP89" s="947"/>
      <c r="VBQ89" s="947"/>
      <c r="VBR89" s="947"/>
      <c r="VBS89" s="947"/>
      <c r="VBT89" s="947"/>
      <c r="VBU89" s="947"/>
      <c r="VBV89" s="947"/>
      <c r="VBW89" s="947"/>
      <c r="VBX89" s="947"/>
      <c r="VBY89" s="947"/>
      <c r="VBZ89" s="947"/>
      <c r="VCA89" s="947"/>
      <c r="VCB89" s="947"/>
      <c r="VCC89" s="947"/>
      <c r="VCD89" s="947"/>
      <c r="VCE89" s="947"/>
      <c r="VCF89" s="947"/>
      <c r="VCG89" s="947"/>
      <c r="VCH89" s="947"/>
      <c r="VCI89" s="947"/>
      <c r="VCJ89" s="947"/>
      <c r="VCK89" s="947"/>
      <c r="VCL89" s="947"/>
      <c r="VCM89" s="947"/>
      <c r="VCN89" s="947"/>
      <c r="VCO89" s="947"/>
      <c r="VCP89" s="947"/>
      <c r="VCQ89" s="947"/>
      <c r="VCR89" s="947"/>
      <c r="VCS89" s="947"/>
      <c r="VCT89" s="947"/>
      <c r="VCU89" s="947"/>
      <c r="VCV89" s="947"/>
      <c r="VCW89" s="947"/>
      <c r="VCX89" s="947"/>
      <c r="VCY89" s="947"/>
      <c r="VCZ89" s="947"/>
      <c r="VDA89" s="947"/>
      <c r="VDB89" s="947"/>
      <c r="VDC89" s="947"/>
      <c r="VDD89" s="947"/>
      <c r="VDE89" s="947"/>
      <c r="VDF89" s="947"/>
      <c r="VDG89" s="947"/>
      <c r="VDH89" s="947"/>
      <c r="VDI89" s="947"/>
      <c r="VDJ89" s="947"/>
      <c r="VDK89" s="947"/>
      <c r="VDL89" s="947"/>
      <c r="VDM89" s="947"/>
      <c r="VDN89" s="947"/>
      <c r="VDO89" s="947"/>
      <c r="VDP89" s="947"/>
      <c r="VDQ89" s="947"/>
      <c r="VDR89" s="947"/>
      <c r="VDS89" s="947"/>
      <c r="VDT89" s="947"/>
      <c r="VDU89" s="947"/>
      <c r="VDV89" s="947"/>
      <c r="VDW89" s="947"/>
      <c r="VDX89" s="947"/>
      <c r="VDY89" s="947"/>
      <c r="VDZ89" s="947"/>
      <c r="VEA89" s="947"/>
      <c r="VEB89" s="947"/>
      <c r="VEC89" s="947"/>
      <c r="VED89" s="947"/>
      <c r="VEE89" s="947"/>
      <c r="VEF89" s="947"/>
      <c r="VEG89" s="947"/>
      <c r="VEH89" s="947"/>
      <c r="VEI89" s="947"/>
      <c r="VEJ89" s="947"/>
      <c r="VEK89" s="947"/>
      <c r="VEL89" s="947"/>
      <c r="VEM89" s="947"/>
      <c r="VEN89" s="947"/>
      <c r="VEO89" s="947"/>
      <c r="VEP89" s="947"/>
      <c r="VEQ89" s="947"/>
      <c r="VER89" s="947"/>
      <c r="VES89" s="947"/>
      <c r="VET89" s="947"/>
      <c r="VEU89" s="947"/>
      <c r="VEV89" s="947"/>
      <c r="VEW89" s="947"/>
      <c r="VEX89" s="947"/>
      <c r="VEY89" s="947"/>
      <c r="VEZ89" s="947"/>
      <c r="VFA89" s="947"/>
      <c r="VFB89" s="947"/>
      <c r="VFC89" s="947"/>
      <c r="VFD89" s="947"/>
      <c r="VFE89" s="947"/>
      <c r="VFF89" s="947"/>
      <c r="VFG89" s="947"/>
      <c r="VFH89" s="947"/>
      <c r="VFI89" s="947"/>
      <c r="VFJ89" s="947"/>
      <c r="VFK89" s="947"/>
      <c r="VFL89" s="947"/>
      <c r="VFM89" s="947"/>
      <c r="VFN89" s="947"/>
      <c r="VFO89" s="947"/>
      <c r="VFP89" s="947"/>
      <c r="VFQ89" s="947"/>
      <c r="VFR89" s="947"/>
      <c r="VFS89" s="947"/>
      <c r="VFT89" s="947"/>
      <c r="VFU89" s="947"/>
      <c r="VFV89" s="947"/>
      <c r="VFW89" s="947"/>
      <c r="VFX89" s="947"/>
      <c r="VFY89" s="947"/>
      <c r="VFZ89" s="947"/>
      <c r="VGA89" s="947"/>
      <c r="VGB89" s="947"/>
      <c r="VGC89" s="947"/>
      <c r="VGD89" s="947"/>
      <c r="VGE89" s="947"/>
      <c r="VGF89" s="947"/>
      <c r="VGG89" s="947"/>
      <c r="VGH89" s="947"/>
      <c r="VGI89" s="947"/>
      <c r="VGJ89" s="947"/>
      <c r="VGK89" s="947"/>
      <c r="VGL89" s="947"/>
      <c r="VGM89" s="947"/>
      <c r="VGN89" s="947"/>
      <c r="VGO89" s="947"/>
      <c r="VGP89" s="947"/>
      <c r="VGQ89" s="947"/>
      <c r="VGR89" s="947"/>
      <c r="VGS89" s="947"/>
      <c r="VGT89" s="947"/>
      <c r="VGU89" s="947"/>
      <c r="VGV89" s="947"/>
      <c r="VGW89" s="947"/>
      <c r="VGX89" s="947"/>
      <c r="VGY89" s="947"/>
      <c r="VGZ89" s="947"/>
      <c r="VHA89" s="947"/>
      <c r="VHB89" s="947"/>
      <c r="VHC89" s="947"/>
      <c r="VHD89" s="947"/>
      <c r="VHE89" s="947"/>
      <c r="VHF89" s="947"/>
      <c r="VHG89" s="947"/>
      <c r="VHH89" s="947"/>
      <c r="VHI89" s="947"/>
      <c r="VHJ89" s="947"/>
      <c r="VHK89" s="947"/>
      <c r="VHL89" s="947"/>
      <c r="VHM89" s="947"/>
      <c r="VHN89" s="947"/>
      <c r="VHO89" s="947"/>
      <c r="VHP89" s="947"/>
      <c r="VHQ89" s="947"/>
      <c r="VHR89" s="947"/>
      <c r="VHS89" s="947"/>
      <c r="VHT89" s="947"/>
      <c r="VHU89" s="947"/>
      <c r="VHV89" s="947"/>
      <c r="VHW89" s="947"/>
      <c r="VHX89" s="947"/>
      <c r="VHY89" s="947"/>
      <c r="VHZ89" s="947"/>
      <c r="VIA89" s="947"/>
      <c r="VIB89" s="947"/>
      <c r="VIC89" s="947"/>
      <c r="VID89" s="947"/>
      <c r="VIE89" s="947"/>
      <c r="VIF89" s="947"/>
      <c r="VIG89" s="947"/>
      <c r="VIH89" s="947"/>
      <c r="VII89" s="947"/>
      <c r="VIJ89" s="947"/>
      <c r="VIK89" s="947"/>
      <c r="VIL89" s="947"/>
      <c r="VIM89" s="947"/>
      <c r="VIN89" s="947"/>
      <c r="VIO89" s="947"/>
      <c r="VIP89" s="947"/>
      <c r="VIQ89" s="947"/>
      <c r="VIR89" s="947"/>
      <c r="VIS89" s="947"/>
      <c r="VIT89" s="947"/>
      <c r="VIU89" s="947"/>
      <c r="VIV89" s="947"/>
      <c r="VIW89" s="947"/>
      <c r="VIX89" s="947"/>
      <c r="VIY89" s="947"/>
      <c r="VIZ89" s="947"/>
      <c r="VJA89" s="947"/>
      <c r="VJB89" s="947"/>
      <c r="VJC89" s="947"/>
      <c r="VJD89" s="947"/>
      <c r="VJE89" s="947"/>
      <c r="VJF89" s="947"/>
      <c r="VJG89" s="947"/>
      <c r="VJH89" s="947"/>
      <c r="VJI89" s="947"/>
      <c r="VJJ89" s="947"/>
      <c r="VJK89" s="947"/>
      <c r="VJL89" s="947"/>
      <c r="VJM89" s="947"/>
      <c r="VJN89" s="947"/>
      <c r="VJO89" s="947"/>
      <c r="VJP89" s="947"/>
      <c r="VJQ89" s="947"/>
      <c r="VJR89" s="947"/>
      <c r="VJS89" s="947"/>
      <c r="VJT89" s="947"/>
      <c r="VJU89" s="947"/>
      <c r="VJV89" s="947"/>
      <c r="VJW89" s="947"/>
      <c r="VJX89" s="947"/>
      <c r="VJY89" s="947"/>
      <c r="VJZ89" s="947"/>
      <c r="VKA89" s="947"/>
      <c r="VKB89" s="947"/>
      <c r="VKC89" s="947"/>
      <c r="VKD89" s="947"/>
      <c r="VKE89" s="947"/>
      <c r="VKF89" s="947"/>
      <c r="VKG89" s="947"/>
      <c r="VKH89" s="947"/>
      <c r="VKI89" s="947"/>
      <c r="VKJ89" s="947"/>
      <c r="VKK89" s="947"/>
      <c r="VKL89" s="947"/>
      <c r="VKM89" s="947"/>
      <c r="VKN89" s="947"/>
      <c r="VKO89" s="947"/>
      <c r="VKP89" s="947"/>
      <c r="VKQ89" s="947"/>
      <c r="VKR89" s="947"/>
      <c r="VKS89" s="947"/>
      <c r="VKT89" s="947"/>
      <c r="VKU89" s="947"/>
      <c r="VKV89" s="947"/>
      <c r="VKW89" s="947"/>
      <c r="VKX89" s="947"/>
      <c r="VKY89" s="947"/>
      <c r="VKZ89" s="947"/>
      <c r="VLA89" s="947"/>
      <c r="VLB89" s="947"/>
      <c r="VLC89" s="947"/>
      <c r="VLD89" s="947"/>
      <c r="VLE89" s="947"/>
      <c r="VLF89" s="947"/>
      <c r="VLG89" s="947"/>
      <c r="VLH89" s="947"/>
      <c r="VLI89" s="947"/>
      <c r="VLJ89" s="947"/>
      <c r="VLK89" s="947"/>
      <c r="VLL89" s="947"/>
      <c r="VLM89" s="947"/>
      <c r="VLN89" s="947"/>
      <c r="VLO89" s="947"/>
      <c r="VLP89" s="947"/>
      <c r="VLQ89" s="947"/>
      <c r="VLR89" s="947"/>
      <c r="VLS89" s="947"/>
      <c r="VLT89" s="947"/>
      <c r="VLU89" s="947"/>
      <c r="VLV89" s="947"/>
      <c r="VLW89" s="947"/>
      <c r="VLX89" s="947"/>
      <c r="VLY89" s="947"/>
      <c r="VLZ89" s="947"/>
      <c r="VMA89" s="947"/>
      <c r="VMB89" s="947"/>
      <c r="VMC89" s="947"/>
      <c r="VMD89" s="947"/>
      <c r="VME89" s="947"/>
      <c r="VMF89" s="947"/>
      <c r="VMG89" s="947"/>
      <c r="VMH89" s="947"/>
      <c r="VMI89" s="947"/>
      <c r="VMJ89" s="947"/>
      <c r="VMK89" s="947"/>
      <c r="VML89" s="947"/>
      <c r="VMM89" s="947"/>
      <c r="VMN89" s="947"/>
      <c r="VMO89" s="947"/>
      <c r="VMP89" s="947"/>
      <c r="VMQ89" s="947"/>
      <c r="VMR89" s="947"/>
      <c r="VMS89" s="947"/>
      <c r="VMT89" s="947"/>
      <c r="VMU89" s="947"/>
      <c r="VMV89" s="947"/>
      <c r="VMW89" s="947"/>
      <c r="VMX89" s="947"/>
      <c r="VMY89" s="947"/>
      <c r="VMZ89" s="947"/>
      <c r="VNA89" s="947"/>
      <c r="VNB89" s="947"/>
      <c r="VNC89" s="947"/>
      <c r="VND89" s="947"/>
      <c r="VNE89" s="947"/>
      <c r="VNF89" s="947"/>
      <c r="VNG89" s="947"/>
      <c r="VNH89" s="947"/>
      <c r="VNI89" s="947"/>
      <c r="VNJ89" s="947"/>
      <c r="VNK89" s="947"/>
      <c r="VNL89" s="947"/>
      <c r="VNM89" s="947"/>
      <c r="VNN89" s="947"/>
      <c r="VNO89" s="947"/>
      <c r="VNP89" s="947"/>
      <c r="VNQ89" s="947"/>
      <c r="VNR89" s="947"/>
      <c r="VNS89" s="947"/>
      <c r="VNT89" s="947"/>
      <c r="VNU89" s="947"/>
      <c r="VNV89" s="947"/>
      <c r="VNW89" s="947"/>
      <c r="VNX89" s="947"/>
      <c r="VNY89" s="947"/>
      <c r="VNZ89" s="947"/>
      <c r="VOA89" s="947"/>
      <c r="VOB89" s="947"/>
      <c r="VOC89" s="947"/>
      <c r="VOD89" s="947"/>
      <c r="VOE89" s="947"/>
      <c r="VOF89" s="947"/>
      <c r="VOG89" s="947"/>
      <c r="VOH89" s="947"/>
      <c r="VOI89" s="947"/>
      <c r="VOJ89" s="947"/>
      <c r="VOK89" s="947"/>
      <c r="VOL89" s="947"/>
      <c r="VOM89" s="947"/>
      <c r="VON89" s="947"/>
      <c r="VOO89" s="947"/>
      <c r="VOP89" s="947"/>
      <c r="VOQ89" s="947"/>
      <c r="VOR89" s="947"/>
      <c r="VOS89" s="947"/>
      <c r="VOT89" s="947"/>
      <c r="VOU89" s="947"/>
      <c r="VOV89" s="947"/>
      <c r="VOW89" s="947"/>
      <c r="VOX89" s="947"/>
      <c r="VOY89" s="947"/>
      <c r="VOZ89" s="947"/>
      <c r="VPA89" s="947"/>
      <c r="VPB89" s="947"/>
      <c r="VPC89" s="947"/>
      <c r="VPD89" s="947"/>
      <c r="VPE89" s="947"/>
      <c r="VPF89" s="947"/>
      <c r="VPG89" s="947"/>
      <c r="VPH89" s="947"/>
      <c r="VPI89" s="947"/>
      <c r="VPJ89" s="947"/>
      <c r="VPK89" s="947"/>
      <c r="VPL89" s="947"/>
      <c r="VPM89" s="947"/>
      <c r="VPN89" s="947"/>
      <c r="VPO89" s="947"/>
      <c r="VPP89" s="947"/>
      <c r="VPQ89" s="947"/>
      <c r="VPR89" s="947"/>
      <c r="VPS89" s="947"/>
      <c r="VPT89" s="947"/>
      <c r="VPU89" s="947"/>
      <c r="VPV89" s="947"/>
      <c r="VPW89" s="947"/>
      <c r="VPX89" s="947"/>
      <c r="VPY89" s="947"/>
      <c r="VPZ89" s="947"/>
      <c r="VQA89" s="947"/>
      <c r="VQB89" s="947"/>
      <c r="VQC89" s="947"/>
      <c r="VQD89" s="947"/>
      <c r="VQE89" s="947"/>
      <c r="VQF89" s="947"/>
      <c r="VQG89" s="947"/>
      <c r="VQH89" s="947"/>
      <c r="VQI89" s="947"/>
      <c r="VQJ89" s="947"/>
      <c r="VQK89" s="947"/>
      <c r="VQL89" s="947"/>
      <c r="VQM89" s="947"/>
      <c r="VQN89" s="947"/>
      <c r="VQO89" s="947"/>
      <c r="VQP89" s="947"/>
      <c r="VQQ89" s="947"/>
      <c r="VQR89" s="947"/>
      <c r="VQS89" s="947"/>
      <c r="VQT89" s="947"/>
      <c r="VQU89" s="947"/>
      <c r="VQV89" s="947"/>
      <c r="VQW89" s="947"/>
      <c r="VQX89" s="947"/>
      <c r="VQY89" s="947"/>
      <c r="VQZ89" s="947"/>
      <c r="VRA89" s="947"/>
      <c r="VRB89" s="947"/>
      <c r="VRC89" s="947"/>
      <c r="VRD89" s="947"/>
      <c r="VRE89" s="947"/>
      <c r="VRF89" s="947"/>
      <c r="VRG89" s="947"/>
      <c r="VRH89" s="947"/>
      <c r="VRI89" s="947"/>
      <c r="VRJ89" s="947"/>
      <c r="VRK89" s="947"/>
      <c r="VRL89" s="947"/>
      <c r="VRM89" s="947"/>
      <c r="VRN89" s="947"/>
      <c r="VRO89" s="947"/>
      <c r="VRP89" s="947"/>
      <c r="VRQ89" s="947"/>
      <c r="VRR89" s="947"/>
      <c r="VRS89" s="947"/>
      <c r="VRT89" s="947"/>
      <c r="VRU89" s="947"/>
      <c r="VRV89" s="947"/>
      <c r="VRW89" s="947"/>
      <c r="VRX89" s="947"/>
      <c r="VRY89" s="947"/>
      <c r="VRZ89" s="947"/>
      <c r="VSA89" s="947"/>
      <c r="VSB89" s="947"/>
      <c r="VSC89" s="947"/>
      <c r="VSD89" s="947"/>
      <c r="VSE89" s="947"/>
      <c r="VSF89" s="947"/>
      <c r="VSG89" s="947"/>
      <c r="VSH89" s="947"/>
      <c r="VSI89" s="947"/>
      <c r="VSJ89" s="947"/>
      <c r="VSK89" s="947"/>
      <c r="VSL89" s="947"/>
      <c r="VSM89" s="947"/>
      <c r="VSN89" s="947"/>
      <c r="VSO89" s="947"/>
      <c r="VSP89" s="947"/>
      <c r="VSQ89" s="947"/>
      <c r="VSR89" s="947"/>
      <c r="VSS89" s="947"/>
      <c r="VST89" s="947"/>
      <c r="VSU89" s="947"/>
      <c r="VSV89" s="947"/>
      <c r="VSW89" s="947"/>
      <c r="VSX89" s="947"/>
      <c r="VSY89" s="947"/>
      <c r="VSZ89" s="947"/>
      <c r="VTA89" s="947"/>
      <c r="VTB89" s="947"/>
      <c r="VTC89" s="947"/>
      <c r="VTD89" s="947"/>
      <c r="VTE89" s="947"/>
      <c r="VTF89" s="947"/>
      <c r="VTG89" s="947"/>
      <c r="VTH89" s="947"/>
      <c r="VTI89" s="947"/>
      <c r="VTJ89" s="947"/>
      <c r="VTK89" s="947"/>
      <c r="VTL89" s="947"/>
      <c r="VTM89" s="947"/>
      <c r="VTN89" s="947"/>
      <c r="VTO89" s="947"/>
      <c r="VTP89" s="947"/>
      <c r="VTQ89" s="947"/>
      <c r="VTR89" s="947"/>
      <c r="VTS89" s="947"/>
      <c r="VTT89" s="947"/>
      <c r="VTU89" s="947"/>
      <c r="VTV89" s="947"/>
      <c r="VTW89" s="947"/>
      <c r="VTX89" s="947"/>
      <c r="VTY89" s="947"/>
      <c r="VTZ89" s="947"/>
      <c r="VUA89" s="947"/>
      <c r="VUB89" s="947"/>
      <c r="VUC89" s="947"/>
      <c r="VUD89" s="947"/>
      <c r="VUE89" s="947"/>
      <c r="VUF89" s="947"/>
      <c r="VUG89" s="947"/>
      <c r="VUH89" s="947"/>
      <c r="VUI89" s="947"/>
      <c r="VUJ89" s="947"/>
      <c r="VUK89" s="947"/>
      <c r="VUL89" s="947"/>
      <c r="VUM89" s="947"/>
      <c r="VUN89" s="947"/>
      <c r="VUO89" s="947"/>
      <c r="VUP89" s="947"/>
      <c r="VUQ89" s="947"/>
      <c r="VUR89" s="947"/>
      <c r="VUS89" s="947"/>
      <c r="VUT89" s="947"/>
      <c r="VUU89" s="947"/>
      <c r="VUV89" s="947"/>
      <c r="VUW89" s="947"/>
      <c r="VUX89" s="947"/>
      <c r="VUY89" s="947"/>
      <c r="VUZ89" s="947"/>
      <c r="VVA89" s="947"/>
      <c r="VVB89" s="947"/>
      <c r="VVC89" s="947"/>
      <c r="VVD89" s="947"/>
      <c r="VVE89" s="947"/>
      <c r="VVF89" s="947"/>
      <c r="VVG89" s="947"/>
      <c r="VVH89" s="947"/>
      <c r="VVI89" s="947"/>
      <c r="VVJ89" s="947"/>
      <c r="VVK89" s="947"/>
      <c r="VVL89" s="947"/>
      <c r="VVM89" s="947"/>
      <c r="VVN89" s="947"/>
      <c r="VVO89" s="947"/>
      <c r="VVP89" s="947"/>
      <c r="VVQ89" s="947"/>
      <c r="VVR89" s="947"/>
      <c r="VVS89" s="947"/>
      <c r="VVT89" s="947"/>
      <c r="VVU89" s="947"/>
      <c r="VVV89" s="947"/>
      <c r="VVW89" s="947"/>
      <c r="VVX89" s="947"/>
      <c r="VVY89" s="947"/>
      <c r="VVZ89" s="947"/>
      <c r="VWA89" s="947"/>
      <c r="VWB89" s="947"/>
      <c r="VWC89" s="947"/>
      <c r="VWD89" s="947"/>
      <c r="VWE89" s="947"/>
      <c r="VWF89" s="947"/>
      <c r="VWG89" s="947"/>
      <c r="VWH89" s="947"/>
      <c r="VWI89" s="947"/>
      <c r="VWJ89" s="947"/>
      <c r="VWK89" s="947"/>
      <c r="VWL89" s="947"/>
      <c r="VWM89" s="947"/>
      <c r="VWN89" s="947"/>
      <c r="VWO89" s="947"/>
      <c r="VWP89" s="947"/>
      <c r="VWQ89" s="947"/>
      <c r="VWR89" s="947"/>
      <c r="VWS89" s="947"/>
      <c r="VWT89" s="947"/>
      <c r="VWU89" s="947"/>
      <c r="VWV89" s="947"/>
      <c r="VWW89" s="947"/>
      <c r="VWX89" s="947"/>
      <c r="VWY89" s="947"/>
      <c r="VWZ89" s="947"/>
      <c r="VXA89" s="947"/>
      <c r="VXB89" s="947"/>
      <c r="VXC89" s="947"/>
      <c r="VXD89" s="947"/>
      <c r="VXE89" s="947"/>
      <c r="VXF89" s="947"/>
      <c r="VXG89" s="947"/>
      <c r="VXH89" s="947"/>
      <c r="VXI89" s="947"/>
      <c r="VXJ89" s="947"/>
      <c r="VXK89" s="947"/>
      <c r="VXL89" s="947"/>
      <c r="VXM89" s="947"/>
      <c r="VXN89" s="947"/>
      <c r="VXO89" s="947"/>
      <c r="VXP89" s="947"/>
      <c r="VXQ89" s="947"/>
      <c r="VXR89" s="947"/>
      <c r="VXS89" s="947"/>
      <c r="VXT89" s="947"/>
      <c r="VXU89" s="947"/>
      <c r="VXV89" s="947"/>
      <c r="VXW89" s="947"/>
      <c r="VXX89" s="947"/>
      <c r="VXY89" s="947"/>
      <c r="VXZ89" s="947"/>
      <c r="VYA89" s="947"/>
      <c r="VYB89" s="947"/>
      <c r="VYC89" s="947"/>
      <c r="VYD89" s="947"/>
      <c r="VYE89" s="947"/>
      <c r="VYF89" s="947"/>
      <c r="VYG89" s="947"/>
      <c r="VYH89" s="947"/>
      <c r="VYI89" s="947"/>
      <c r="VYJ89" s="947"/>
      <c r="VYK89" s="947"/>
      <c r="VYL89" s="947"/>
      <c r="VYM89" s="947"/>
      <c r="VYN89" s="947"/>
      <c r="VYO89" s="947"/>
      <c r="VYP89" s="947"/>
      <c r="VYQ89" s="947"/>
      <c r="VYR89" s="947"/>
      <c r="VYS89" s="947"/>
      <c r="VYT89" s="947"/>
      <c r="VYU89" s="947"/>
      <c r="VYV89" s="947"/>
      <c r="VYW89" s="947"/>
      <c r="VYX89" s="947"/>
      <c r="VYY89" s="947"/>
      <c r="VYZ89" s="947"/>
      <c r="VZA89" s="947"/>
      <c r="VZB89" s="947"/>
      <c r="VZC89" s="947"/>
      <c r="VZD89" s="947"/>
      <c r="VZE89" s="947"/>
      <c r="VZF89" s="947"/>
      <c r="VZG89" s="947"/>
      <c r="VZH89" s="947"/>
      <c r="VZI89" s="947"/>
      <c r="VZJ89" s="947"/>
      <c r="VZK89" s="947"/>
      <c r="VZL89" s="947"/>
      <c r="VZM89" s="947"/>
      <c r="VZN89" s="947"/>
      <c r="VZO89" s="947"/>
      <c r="VZP89" s="947"/>
      <c r="VZQ89" s="947"/>
      <c r="VZR89" s="947"/>
      <c r="VZS89" s="947"/>
      <c r="VZT89" s="947"/>
      <c r="VZU89" s="947"/>
      <c r="VZV89" s="947"/>
      <c r="VZW89" s="947"/>
      <c r="VZX89" s="947"/>
      <c r="VZY89" s="947"/>
      <c r="VZZ89" s="947"/>
      <c r="WAA89" s="947"/>
      <c r="WAB89" s="947"/>
      <c r="WAC89" s="947"/>
      <c r="WAD89" s="947"/>
      <c r="WAE89" s="947"/>
      <c r="WAF89" s="947"/>
      <c r="WAG89" s="947"/>
      <c r="WAH89" s="947"/>
      <c r="WAI89" s="947"/>
      <c r="WAJ89" s="947"/>
      <c r="WAK89" s="947"/>
      <c r="WAL89" s="947"/>
      <c r="WAM89" s="947"/>
      <c r="WAN89" s="947"/>
      <c r="WAO89" s="947"/>
      <c r="WAP89" s="947"/>
      <c r="WAQ89" s="947"/>
      <c r="WAR89" s="947"/>
      <c r="WAS89" s="947"/>
      <c r="WAT89" s="947"/>
      <c r="WAU89" s="947"/>
      <c r="WAV89" s="947"/>
      <c r="WAW89" s="947"/>
      <c r="WAX89" s="947"/>
      <c r="WAY89" s="947"/>
      <c r="WAZ89" s="947"/>
      <c r="WBA89" s="947"/>
      <c r="WBB89" s="947"/>
      <c r="WBC89" s="947"/>
      <c r="WBD89" s="947"/>
      <c r="WBE89" s="947"/>
      <c r="WBF89" s="947"/>
      <c r="WBG89" s="947"/>
      <c r="WBH89" s="947"/>
      <c r="WBI89" s="947"/>
      <c r="WBJ89" s="947"/>
      <c r="WBK89" s="947"/>
      <c r="WBL89" s="947"/>
      <c r="WBM89" s="947"/>
      <c r="WBN89" s="947"/>
      <c r="WBO89" s="947"/>
      <c r="WBP89" s="947"/>
      <c r="WBQ89" s="947"/>
      <c r="WBR89" s="947"/>
      <c r="WBS89" s="947"/>
      <c r="WBT89" s="947"/>
      <c r="WBU89" s="947"/>
      <c r="WBV89" s="947"/>
      <c r="WBW89" s="947"/>
      <c r="WBX89" s="947"/>
      <c r="WBY89" s="947"/>
      <c r="WBZ89" s="947"/>
      <c r="WCA89" s="947"/>
      <c r="WCB89" s="947"/>
      <c r="WCC89" s="947"/>
      <c r="WCD89" s="947"/>
      <c r="WCE89" s="947"/>
      <c r="WCF89" s="947"/>
      <c r="WCG89" s="947"/>
      <c r="WCH89" s="947"/>
      <c r="WCI89" s="947"/>
      <c r="WCJ89" s="947"/>
      <c r="WCK89" s="947"/>
      <c r="WCL89" s="947"/>
      <c r="WCM89" s="947"/>
      <c r="WCN89" s="947"/>
      <c r="WCO89" s="947"/>
      <c r="WCP89" s="947"/>
      <c r="WCQ89" s="947"/>
      <c r="WCR89" s="947"/>
      <c r="WCS89" s="947"/>
      <c r="WCT89" s="947"/>
      <c r="WCU89" s="947"/>
      <c r="WCV89" s="947"/>
      <c r="WCW89" s="947"/>
      <c r="WCX89" s="947"/>
      <c r="WCY89" s="947"/>
      <c r="WCZ89" s="947"/>
      <c r="WDA89" s="947"/>
      <c r="WDB89" s="947"/>
      <c r="WDC89" s="947"/>
      <c r="WDD89" s="947"/>
      <c r="WDE89" s="947"/>
      <c r="WDF89" s="947"/>
      <c r="WDG89" s="947"/>
      <c r="WDH89" s="947"/>
      <c r="WDI89" s="947"/>
      <c r="WDJ89" s="947"/>
      <c r="WDK89" s="947"/>
      <c r="WDL89" s="947"/>
      <c r="WDM89" s="947"/>
      <c r="WDN89" s="947"/>
      <c r="WDO89" s="947"/>
      <c r="WDP89" s="947"/>
      <c r="WDQ89" s="947"/>
      <c r="WDR89" s="947"/>
      <c r="WDS89" s="947"/>
      <c r="WDT89" s="947"/>
      <c r="WDU89" s="947"/>
      <c r="WDV89" s="947"/>
      <c r="WDW89" s="947"/>
      <c r="WDX89" s="947"/>
      <c r="WDY89" s="947"/>
      <c r="WDZ89" s="947"/>
      <c r="WEA89" s="947"/>
      <c r="WEB89" s="947"/>
      <c r="WEC89" s="947"/>
      <c r="WED89" s="947"/>
      <c r="WEE89" s="947"/>
      <c r="WEF89" s="947"/>
      <c r="WEG89" s="947"/>
      <c r="WEH89" s="947"/>
      <c r="WEI89" s="947"/>
      <c r="WEJ89" s="947"/>
      <c r="WEK89" s="947"/>
      <c r="WEL89" s="947"/>
      <c r="WEM89" s="947"/>
      <c r="WEN89" s="947"/>
      <c r="WEO89" s="947"/>
      <c r="WEP89" s="947"/>
      <c r="WEQ89" s="947"/>
      <c r="WER89" s="947"/>
      <c r="WES89" s="947"/>
      <c r="WET89" s="947"/>
      <c r="WEU89" s="947"/>
      <c r="WEV89" s="947"/>
      <c r="WEW89" s="947"/>
      <c r="WEX89" s="947"/>
      <c r="WEY89" s="947"/>
      <c r="WEZ89" s="947"/>
      <c r="WFA89" s="947"/>
      <c r="WFB89" s="947"/>
      <c r="WFC89" s="947"/>
      <c r="WFD89" s="947"/>
      <c r="WFE89" s="947"/>
      <c r="WFF89" s="947"/>
      <c r="WFG89" s="947"/>
      <c r="WFH89" s="947"/>
      <c r="WFI89" s="947"/>
      <c r="WFJ89" s="947"/>
      <c r="WFK89" s="947"/>
      <c r="WFL89" s="947"/>
      <c r="WFM89" s="947"/>
      <c r="WFN89" s="947"/>
      <c r="WFO89" s="947"/>
      <c r="WFP89" s="947"/>
      <c r="WFQ89" s="947"/>
      <c r="WFR89" s="947"/>
      <c r="WFS89" s="947"/>
      <c r="WFT89" s="947"/>
      <c r="WFU89" s="947"/>
      <c r="WFV89" s="947"/>
      <c r="WFW89" s="947"/>
      <c r="WFX89" s="947"/>
      <c r="WFY89" s="947"/>
      <c r="WFZ89" s="947"/>
      <c r="WGA89" s="947"/>
      <c r="WGB89" s="947"/>
      <c r="WGC89" s="947"/>
      <c r="WGD89" s="947"/>
      <c r="WGE89" s="947"/>
      <c r="WGF89" s="947"/>
      <c r="WGG89" s="947"/>
      <c r="WGH89" s="947"/>
      <c r="WGI89" s="947"/>
      <c r="WGJ89" s="947"/>
      <c r="WGK89" s="947"/>
      <c r="WGL89" s="947"/>
      <c r="WGM89" s="947"/>
      <c r="WGN89" s="947"/>
      <c r="WGO89" s="947"/>
      <c r="WGP89" s="947"/>
      <c r="WGQ89" s="947"/>
      <c r="WGR89" s="947"/>
      <c r="WGS89" s="947"/>
      <c r="WGT89" s="947"/>
      <c r="WGU89" s="947"/>
      <c r="WGV89" s="947"/>
      <c r="WGW89" s="947"/>
      <c r="WGX89" s="947"/>
      <c r="WGY89" s="947"/>
      <c r="WGZ89" s="947"/>
      <c r="WHA89" s="947"/>
      <c r="WHB89" s="947"/>
      <c r="WHC89" s="947"/>
      <c r="WHD89" s="947"/>
      <c r="WHE89" s="947"/>
      <c r="WHF89" s="947"/>
      <c r="WHG89" s="947"/>
      <c r="WHH89" s="947"/>
      <c r="WHI89" s="947"/>
      <c r="WHJ89" s="947"/>
      <c r="WHK89" s="947"/>
      <c r="WHL89" s="947"/>
      <c r="WHM89" s="947"/>
      <c r="WHN89" s="947"/>
      <c r="WHO89" s="947"/>
      <c r="WHP89" s="947"/>
      <c r="WHQ89" s="947"/>
      <c r="WHR89" s="947"/>
      <c r="WHS89" s="947"/>
      <c r="WHT89" s="947"/>
      <c r="WHU89" s="947"/>
      <c r="WHV89" s="947"/>
      <c r="WHW89" s="947"/>
      <c r="WHX89" s="947"/>
      <c r="WHY89" s="947"/>
      <c r="WHZ89" s="947"/>
      <c r="WIA89" s="947"/>
      <c r="WIB89" s="947"/>
      <c r="WIC89" s="947"/>
      <c r="WID89" s="947"/>
      <c r="WIE89" s="947"/>
      <c r="WIF89" s="947"/>
      <c r="WIG89" s="947"/>
      <c r="WIH89" s="947"/>
      <c r="WII89" s="947"/>
      <c r="WIJ89" s="947"/>
      <c r="WIK89" s="947"/>
      <c r="WIL89" s="947"/>
      <c r="WIM89" s="947"/>
      <c r="WIN89" s="947"/>
      <c r="WIO89" s="947"/>
      <c r="WIP89" s="947"/>
      <c r="WIQ89" s="947"/>
      <c r="WIR89" s="947"/>
      <c r="WIS89" s="947"/>
      <c r="WIT89" s="947"/>
      <c r="WIU89" s="947"/>
      <c r="WIV89" s="947"/>
      <c r="WIW89" s="947"/>
      <c r="WIX89" s="947"/>
      <c r="WIY89" s="947"/>
      <c r="WIZ89" s="947"/>
      <c r="WJA89" s="947"/>
      <c r="WJB89" s="947"/>
      <c r="WJC89" s="947"/>
      <c r="WJD89" s="947"/>
      <c r="WJE89" s="947"/>
      <c r="WJF89" s="947"/>
      <c r="WJG89" s="947"/>
      <c r="WJH89" s="947"/>
      <c r="WJI89" s="947"/>
      <c r="WJJ89" s="947"/>
      <c r="WJK89" s="947"/>
      <c r="WJL89" s="947"/>
      <c r="WJM89" s="947"/>
      <c r="WJN89" s="947"/>
      <c r="WJO89" s="947"/>
      <c r="WJP89" s="947"/>
      <c r="WJQ89" s="947"/>
      <c r="WJR89" s="947"/>
      <c r="WJS89" s="947"/>
      <c r="WJT89" s="947"/>
      <c r="WJU89" s="947"/>
      <c r="WJV89" s="947"/>
      <c r="WJW89" s="947"/>
      <c r="WJX89" s="947"/>
      <c r="WJY89" s="947"/>
      <c r="WJZ89" s="947"/>
      <c r="WKA89" s="947"/>
      <c r="WKB89" s="947"/>
      <c r="WKC89" s="947"/>
      <c r="WKD89" s="947"/>
      <c r="WKE89" s="947"/>
      <c r="WKF89" s="947"/>
      <c r="WKG89" s="947"/>
      <c r="WKH89" s="947"/>
      <c r="WKI89" s="947"/>
      <c r="WKJ89" s="947"/>
      <c r="WKK89" s="947"/>
      <c r="WKL89" s="947"/>
      <c r="WKM89" s="947"/>
      <c r="WKN89" s="947"/>
      <c r="WKO89" s="947"/>
      <c r="WKP89" s="947"/>
      <c r="WKQ89" s="947"/>
      <c r="WKR89" s="947"/>
      <c r="WKS89" s="947"/>
      <c r="WKT89" s="947"/>
      <c r="WKU89" s="947"/>
      <c r="WKV89" s="947"/>
      <c r="WKW89" s="947"/>
      <c r="WKX89" s="947"/>
      <c r="WKY89" s="947"/>
      <c r="WKZ89" s="947"/>
      <c r="WLA89" s="947"/>
      <c r="WLB89" s="947"/>
      <c r="WLC89" s="947"/>
      <c r="WLD89" s="947"/>
      <c r="WLE89" s="947"/>
      <c r="WLF89" s="947"/>
      <c r="WLG89" s="947"/>
      <c r="WLH89" s="947"/>
      <c r="WLI89" s="947"/>
      <c r="WLJ89" s="947"/>
      <c r="WLK89" s="947"/>
      <c r="WLL89" s="947"/>
      <c r="WLM89" s="947"/>
      <c r="WLN89" s="947"/>
      <c r="WLO89" s="947"/>
      <c r="WLP89" s="947"/>
      <c r="WLQ89" s="947"/>
      <c r="WLR89" s="947"/>
      <c r="WLS89" s="947"/>
      <c r="WLT89" s="947"/>
      <c r="WLU89" s="947"/>
      <c r="WLV89" s="947"/>
      <c r="WLW89" s="947"/>
      <c r="WLX89" s="947"/>
      <c r="WLY89" s="947"/>
      <c r="WLZ89" s="947"/>
      <c r="WMA89" s="947"/>
      <c r="WMB89" s="947"/>
      <c r="WMC89" s="947"/>
      <c r="WMD89" s="947"/>
      <c r="WME89" s="947"/>
      <c r="WMF89" s="947"/>
      <c r="WMG89" s="947"/>
      <c r="WMH89" s="947"/>
      <c r="WMI89" s="947"/>
      <c r="WMJ89" s="947"/>
      <c r="WMK89" s="947"/>
      <c r="WML89" s="947"/>
      <c r="WMM89" s="947"/>
      <c r="WMN89" s="947"/>
      <c r="WMO89" s="947"/>
      <c r="WMP89" s="947"/>
      <c r="WMQ89" s="947"/>
      <c r="WMR89" s="947"/>
      <c r="WMS89" s="947"/>
      <c r="WMT89" s="947"/>
      <c r="WMU89" s="947"/>
      <c r="WMV89" s="947"/>
      <c r="WMW89" s="947"/>
      <c r="WMX89" s="947"/>
      <c r="WMY89" s="947"/>
      <c r="WMZ89" s="947"/>
      <c r="WNA89" s="947"/>
      <c r="WNB89" s="947"/>
      <c r="WNC89" s="947"/>
      <c r="WND89" s="947"/>
      <c r="WNE89" s="947"/>
      <c r="WNF89" s="947"/>
      <c r="WNG89" s="947"/>
      <c r="WNH89" s="947"/>
      <c r="WNI89" s="947"/>
      <c r="WNJ89" s="947"/>
      <c r="WNK89" s="947"/>
      <c r="WNL89" s="947"/>
      <c r="WNM89" s="947"/>
      <c r="WNN89" s="947"/>
      <c r="WNO89" s="947"/>
      <c r="WNP89" s="947"/>
      <c r="WNQ89" s="947"/>
      <c r="WNR89" s="947"/>
      <c r="WNS89" s="947"/>
      <c r="WNT89" s="947"/>
      <c r="WNU89" s="947"/>
      <c r="WNV89" s="947"/>
      <c r="WNW89" s="947"/>
      <c r="WNX89" s="947"/>
      <c r="WNY89" s="947"/>
      <c r="WNZ89" s="947"/>
      <c r="WOA89" s="947"/>
      <c r="WOB89" s="947"/>
      <c r="WOC89" s="947"/>
      <c r="WOD89" s="947"/>
      <c r="WOE89" s="947"/>
      <c r="WOF89" s="947"/>
      <c r="WOG89" s="947"/>
      <c r="WOH89" s="947"/>
      <c r="WOI89" s="947"/>
      <c r="WOJ89" s="947"/>
      <c r="WOK89" s="947"/>
      <c r="WOL89" s="947"/>
      <c r="WOM89" s="947"/>
      <c r="WON89" s="947"/>
      <c r="WOO89" s="947"/>
      <c r="WOP89" s="947"/>
      <c r="WOQ89" s="947"/>
      <c r="WOR89" s="947"/>
      <c r="WOS89" s="947"/>
      <c r="WOT89" s="947"/>
      <c r="WOU89" s="947"/>
      <c r="WOV89" s="947"/>
      <c r="WOW89" s="947"/>
      <c r="WOX89" s="947"/>
      <c r="WOY89" s="947"/>
      <c r="WOZ89" s="947"/>
      <c r="WPA89" s="947"/>
      <c r="WPB89" s="947"/>
      <c r="WPC89" s="947"/>
      <c r="WPD89" s="947"/>
      <c r="WPE89" s="947"/>
      <c r="WPF89" s="947"/>
      <c r="WPG89" s="947"/>
      <c r="WPH89" s="947"/>
      <c r="WPI89" s="947"/>
      <c r="WPJ89" s="947"/>
      <c r="WPK89" s="947"/>
      <c r="WPL89" s="947"/>
      <c r="WPM89" s="947"/>
      <c r="WPN89" s="947"/>
      <c r="WPO89" s="947"/>
      <c r="WPP89" s="947"/>
      <c r="WPQ89" s="947"/>
      <c r="WPR89" s="947"/>
      <c r="WPS89" s="947"/>
      <c r="WPT89" s="947"/>
      <c r="WPU89" s="947"/>
      <c r="WPV89" s="947"/>
      <c r="WPW89" s="947"/>
      <c r="WPX89" s="947"/>
      <c r="WPY89" s="947"/>
      <c r="WPZ89" s="947"/>
      <c r="WQA89" s="947"/>
      <c r="WQB89" s="947"/>
      <c r="WQC89" s="947"/>
      <c r="WQD89" s="947"/>
      <c r="WQE89" s="947"/>
      <c r="WQF89" s="947"/>
      <c r="WQG89" s="947"/>
      <c r="WQH89" s="947"/>
      <c r="WQI89" s="947"/>
      <c r="WQJ89" s="947"/>
      <c r="WQK89" s="947"/>
      <c r="WQL89" s="947"/>
      <c r="WQM89" s="947"/>
      <c r="WQN89" s="947"/>
      <c r="WQO89" s="947"/>
      <c r="WQP89" s="947"/>
      <c r="WQQ89" s="947"/>
      <c r="WQR89" s="947"/>
      <c r="WQS89" s="947"/>
      <c r="WQT89" s="947"/>
      <c r="WQU89" s="947"/>
      <c r="WQV89" s="947"/>
      <c r="WQW89" s="947"/>
      <c r="WQX89" s="947"/>
      <c r="WQY89" s="947"/>
      <c r="WQZ89" s="947"/>
      <c r="WRA89" s="947"/>
      <c r="WRB89" s="947"/>
      <c r="WRC89" s="947"/>
      <c r="WRD89" s="947"/>
      <c r="WRE89" s="947"/>
      <c r="WRF89" s="947"/>
      <c r="WRG89" s="947"/>
      <c r="WRH89" s="947"/>
      <c r="WRI89" s="947"/>
      <c r="WRJ89" s="947"/>
      <c r="WRK89" s="947"/>
      <c r="WRL89" s="947"/>
      <c r="WRM89" s="947"/>
      <c r="WRN89" s="947"/>
      <c r="WRO89" s="947"/>
      <c r="WRP89" s="947"/>
      <c r="WRQ89" s="947"/>
      <c r="WRR89" s="947"/>
      <c r="WRS89" s="947"/>
      <c r="WRT89" s="947"/>
      <c r="WRU89" s="947"/>
      <c r="WRV89" s="947"/>
      <c r="WRW89" s="947"/>
      <c r="WRX89" s="947"/>
      <c r="WRY89" s="947"/>
      <c r="WRZ89" s="947"/>
      <c r="WSA89" s="947"/>
      <c r="WSB89" s="947"/>
      <c r="WSC89" s="947"/>
      <c r="WSD89" s="947"/>
      <c r="WSE89" s="947"/>
      <c r="WSF89" s="947"/>
      <c r="WSG89" s="947"/>
      <c r="WSH89" s="947"/>
      <c r="WSI89" s="947"/>
      <c r="WSJ89" s="947"/>
      <c r="WSK89" s="947"/>
      <c r="WSL89" s="947"/>
      <c r="WSM89" s="947"/>
      <c r="WSN89" s="947"/>
      <c r="WSO89" s="947"/>
      <c r="WSP89" s="947"/>
      <c r="WSQ89" s="947"/>
      <c r="WSR89" s="947"/>
      <c r="WSS89" s="947"/>
      <c r="WST89" s="947"/>
      <c r="WSU89" s="947"/>
      <c r="WSV89" s="947"/>
      <c r="WSW89" s="947"/>
      <c r="WSX89" s="947"/>
      <c r="WSY89" s="947"/>
      <c r="WSZ89" s="947"/>
      <c r="WTA89" s="947"/>
      <c r="WTB89" s="947"/>
      <c r="WTC89" s="947"/>
      <c r="WTD89" s="947"/>
      <c r="WTE89" s="947"/>
      <c r="WTF89" s="947"/>
      <c r="WTG89" s="947"/>
      <c r="WTH89" s="947"/>
      <c r="WTI89" s="947"/>
      <c r="WTJ89" s="947"/>
      <c r="WTK89" s="947"/>
      <c r="WTL89" s="947"/>
      <c r="WTM89" s="947"/>
      <c r="WTN89" s="947"/>
      <c r="WTO89" s="947"/>
      <c r="WTP89" s="947"/>
      <c r="WTQ89" s="947"/>
      <c r="WTR89" s="947"/>
      <c r="WTS89" s="947"/>
      <c r="WTT89" s="947"/>
      <c r="WTU89" s="947"/>
      <c r="WTV89" s="947"/>
      <c r="WTW89" s="947"/>
      <c r="WTX89" s="947"/>
      <c r="WTY89" s="947"/>
      <c r="WTZ89" s="947"/>
      <c r="WUA89" s="947"/>
      <c r="WUB89" s="947"/>
      <c r="WUC89" s="947"/>
      <c r="WUD89" s="947"/>
      <c r="WUE89" s="947"/>
      <c r="WUF89" s="947"/>
      <c r="WUG89" s="947"/>
      <c r="WUH89" s="947"/>
      <c r="WUI89" s="947"/>
      <c r="WUJ89" s="947"/>
      <c r="WUK89" s="947"/>
      <c r="WUL89" s="947"/>
      <c r="WUM89" s="947"/>
      <c r="WUN89" s="947"/>
      <c r="WUO89" s="947"/>
      <c r="WUP89" s="947"/>
      <c r="WUQ89" s="947"/>
      <c r="WUR89" s="947"/>
      <c r="WUS89" s="947"/>
      <c r="WUT89" s="947"/>
      <c r="WUU89" s="947"/>
      <c r="WUV89" s="947"/>
      <c r="WUW89" s="947"/>
      <c r="WUX89" s="947"/>
      <c r="WUY89" s="947"/>
      <c r="WUZ89" s="947"/>
      <c r="WVA89" s="947"/>
      <c r="WVB89" s="947"/>
      <c r="WVC89" s="947"/>
      <c r="WVD89" s="947"/>
      <c r="WVE89" s="947"/>
      <c r="WVF89" s="947"/>
      <c r="WVG89" s="947"/>
      <c r="WVH89" s="947"/>
      <c r="WVI89" s="947"/>
      <c r="WVJ89" s="947"/>
      <c r="WVK89" s="947"/>
      <c r="WVL89" s="947"/>
      <c r="WVM89" s="947"/>
      <c r="WVN89" s="947"/>
      <c r="WVO89" s="947"/>
      <c r="WVP89" s="947"/>
      <c r="WVQ89" s="947"/>
      <c r="WVR89" s="947"/>
      <c r="WVS89" s="947"/>
      <c r="WVT89" s="947"/>
      <c r="WVU89" s="947"/>
      <c r="WVV89" s="947"/>
      <c r="WVW89" s="947"/>
      <c r="WVX89" s="947"/>
      <c r="WVY89" s="947"/>
      <c r="WVZ89" s="947"/>
      <c r="WWA89" s="947"/>
      <c r="WWB89" s="947"/>
      <c r="WWC89" s="947"/>
      <c r="WWD89" s="947"/>
      <c r="WWE89" s="947"/>
      <c r="WWF89" s="947"/>
      <c r="WWG89" s="947"/>
      <c r="WWH89" s="947"/>
      <c r="WWI89" s="947"/>
      <c r="WWJ89" s="947"/>
      <c r="WWK89" s="947"/>
      <c r="WWL89" s="947"/>
      <c r="WWM89" s="947"/>
      <c r="WWN89" s="947"/>
      <c r="WWO89" s="947"/>
      <c r="WWP89" s="947"/>
      <c r="WWQ89" s="947"/>
      <c r="WWR89" s="947"/>
      <c r="WWS89" s="947"/>
      <c r="WWT89" s="947"/>
      <c r="WWU89" s="947"/>
      <c r="WWV89" s="947"/>
      <c r="WWW89" s="947"/>
      <c r="WWX89" s="947"/>
      <c r="WWY89" s="947"/>
      <c r="WWZ89" s="947"/>
      <c r="WXA89" s="947"/>
      <c r="WXB89" s="947"/>
      <c r="WXC89" s="947"/>
      <c r="WXD89" s="947"/>
      <c r="WXE89" s="947"/>
      <c r="WXF89" s="947"/>
      <c r="WXG89" s="947"/>
      <c r="WXH89" s="947"/>
      <c r="WXI89" s="947"/>
      <c r="WXJ89" s="947"/>
      <c r="WXK89" s="947"/>
      <c r="WXL89" s="947"/>
      <c r="WXM89" s="947"/>
      <c r="WXN89" s="947"/>
      <c r="WXO89" s="947"/>
      <c r="WXP89" s="947"/>
      <c r="WXQ89" s="947"/>
      <c r="WXR89" s="947"/>
      <c r="WXS89" s="947"/>
      <c r="WXT89" s="947"/>
      <c r="WXU89" s="947"/>
      <c r="WXV89" s="947"/>
      <c r="WXW89" s="947"/>
      <c r="WXX89" s="947"/>
      <c r="WXY89" s="947"/>
      <c r="WXZ89" s="947"/>
      <c r="WYA89" s="947"/>
      <c r="WYB89" s="947"/>
      <c r="WYC89" s="947"/>
      <c r="WYD89" s="947"/>
      <c r="WYE89" s="947"/>
      <c r="WYF89" s="947"/>
      <c r="WYG89" s="947"/>
      <c r="WYH89" s="947"/>
      <c r="WYI89" s="947"/>
      <c r="WYJ89" s="947"/>
      <c r="WYK89" s="947"/>
      <c r="WYL89" s="947"/>
      <c r="WYM89" s="947"/>
      <c r="WYN89" s="947"/>
      <c r="WYO89" s="947"/>
      <c r="WYP89" s="947"/>
      <c r="WYQ89" s="947"/>
      <c r="WYR89" s="947"/>
      <c r="WYS89" s="947"/>
      <c r="WYT89" s="947"/>
      <c r="WYU89" s="947"/>
      <c r="WYV89" s="947"/>
      <c r="WYW89" s="947"/>
      <c r="WYX89" s="947"/>
      <c r="WYY89" s="947"/>
      <c r="WYZ89" s="947"/>
      <c r="WZA89" s="947"/>
      <c r="WZB89" s="947"/>
      <c r="WZC89" s="947"/>
      <c r="WZD89" s="947"/>
      <c r="WZE89" s="947"/>
      <c r="WZF89" s="947"/>
      <c r="WZG89" s="947"/>
      <c r="WZH89" s="947"/>
      <c r="WZI89" s="947"/>
      <c r="WZJ89" s="947"/>
      <c r="WZK89" s="947"/>
      <c r="WZL89" s="947"/>
      <c r="WZM89" s="947"/>
      <c r="WZN89" s="947"/>
      <c r="WZO89" s="947"/>
      <c r="WZP89" s="947"/>
      <c r="WZQ89" s="947"/>
      <c r="WZR89" s="947"/>
      <c r="WZS89" s="947"/>
      <c r="WZT89" s="947"/>
      <c r="WZU89" s="947"/>
      <c r="WZV89" s="947"/>
      <c r="WZW89" s="947"/>
      <c r="WZX89" s="947"/>
      <c r="WZY89" s="947"/>
      <c r="WZZ89" s="947"/>
      <c r="XAA89" s="947"/>
      <c r="XAB89" s="947"/>
      <c r="XAC89" s="947"/>
      <c r="XAD89" s="947"/>
      <c r="XAE89" s="947"/>
      <c r="XAF89" s="947"/>
      <c r="XAG89" s="947"/>
      <c r="XAH89" s="947"/>
      <c r="XAI89" s="947"/>
      <c r="XAJ89" s="947"/>
      <c r="XAK89" s="947"/>
      <c r="XAL89" s="947"/>
      <c r="XAM89" s="947"/>
      <c r="XAN89" s="947"/>
      <c r="XAO89" s="947"/>
      <c r="XAP89" s="947"/>
      <c r="XAQ89" s="947"/>
      <c r="XAR89" s="947"/>
      <c r="XAS89" s="947"/>
      <c r="XAT89" s="947"/>
      <c r="XAU89" s="947"/>
      <c r="XAV89" s="947"/>
      <c r="XAW89" s="947"/>
      <c r="XAX89" s="947"/>
      <c r="XAY89" s="947"/>
      <c r="XAZ89" s="947"/>
      <c r="XBA89" s="947"/>
      <c r="XBB89" s="947"/>
      <c r="XBC89" s="947"/>
      <c r="XBD89" s="947"/>
      <c r="XBE89" s="947"/>
      <c r="XBF89" s="947"/>
      <c r="XBG89" s="947"/>
      <c r="XBH89" s="947"/>
      <c r="XBI89" s="947"/>
      <c r="XBJ89" s="947"/>
      <c r="XBK89" s="947"/>
      <c r="XBL89" s="947"/>
      <c r="XBM89" s="947"/>
      <c r="XBN89" s="947"/>
      <c r="XBO89" s="947"/>
      <c r="XBP89" s="947"/>
      <c r="XBQ89" s="947"/>
      <c r="XBR89" s="947"/>
      <c r="XBS89" s="947"/>
      <c r="XBT89" s="947"/>
      <c r="XBU89" s="947"/>
      <c r="XBV89" s="947"/>
      <c r="XBW89" s="947"/>
      <c r="XBX89" s="947"/>
      <c r="XBY89" s="947"/>
      <c r="XBZ89" s="947"/>
      <c r="XCA89" s="947"/>
      <c r="XCB89" s="947"/>
      <c r="XCC89" s="947"/>
      <c r="XCD89" s="947"/>
      <c r="XCE89" s="947"/>
      <c r="XCF89" s="947"/>
      <c r="XCG89" s="947"/>
      <c r="XCH89" s="947"/>
      <c r="XCI89" s="947"/>
      <c r="XCJ89" s="947"/>
      <c r="XCK89" s="947"/>
      <c r="XCL89" s="947"/>
      <c r="XCM89" s="947"/>
      <c r="XCN89" s="947"/>
      <c r="XCO89" s="947"/>
      <c r="XCP89" s="947"/>
      <c r="XCQ89" s="947"/>
      <c r="XCR89" s="947"/>
      <c r="XCS89" s="947"/>
      <c r="XCT89" s="947"/>
      <c r="XCU89" s="947"/>
      <c r="XCV89" s="947"/>
      <c r="XCW89" s="947"/>
      <c r="XCX89" s="947"/>
      <c r="XCY89" s="947"/>
      <c r="XCZ89" s="947"/>
      <c r="XDA89" s="947"/>
      <c r="XDB89" s="947"/>
      <c r="XDC89" s="947"/>
      <c r="XDD89" s="947"/>
      <c r="XDE89" s="947"/>
      <c r="XDF89" s="947"/>
      <c r="XDG89" s="947"/>
      <c r="XDH89" s="947"/>
      <c r="XDI89" s="947"/>
      <c r="XDJ89" s="947"/>
      <c r="XDK89" s="947"/>
      <c r="XDL89" s="947"/>
      <c r="XDM89" s="947"/>
      <c r="XDN89" s="947"/>
      <c r="XDO89" s="947"/>
      <c r="XDP89" s="947"/>
      <c r="XDQ89" s="947"/>
      <c r="XDR89" s="947"/>
      <c r="XDS89" s="947"/>
      <c r="XDT89" s="947"/>
      <c r="XDU89" s="947"/>
      <c r="XDV89" s="947"/>
      <c r="XDW89" s="947"/>
      <c r="XDX89" s="947"/>
      <c r="XDY89" s="947"/>
      <c r="XDZ89" s="947"/>
      <c r="XEA89" s="947"/>
      <c r="XEB89" s="947"/>
      <c r="XEC89" s="947"/>
      <c r="XED89" s="947"/>
      <c r="XEE89" s="947"/>
      <c r="XEF89" s="947"/>
      <c r="XEG89" s="947"/>
      <c r="XEH89" s="947"/>
      <c r="XEI89" s="947"/>
      <c r="XEJ89" s="947"/>
      <c r="XEK89" s="947"/>
      <c r="XEL89" s="947"/>
      <c r="XEM89" s="947"/>
      <c r="XEN89" s="947"/>
      <c r="XEO89" s="947"/>
      <c r="XEP89" s="947"/>
      <c r="XEQ89" s="947"/>
      <c r="XER89" s="947"/>
      <c r="XES89" s="947"/>
      <c r="XET89" s="947"/>
      <c r="XEU89" s="947"/>
      <c r="XEV89" s="947"/>
      <c r="XEW89" s="947"/>
      <c r="XEX89" s="947"/>
      <c r="XEY89" s="947"/>
      <c r="XEZ89" s="947"/>
      <c r="XFA89" s="947"/>
      <c r="XFB89" s="947"/>
      <c r="XFC89" s="947"/>
      <c r="XFD89" s="947"/>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5" t="s">
        <v>724</v>
      </c>
      <c r="B91" s="945"/>
      <c r="C91" s="945"/>
      <c r="D91" s="945"/>
      <c r="E91" s="945"/>
      <c r="F91" s="945"/>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c r="AD91" s="945"/>
      <c r="AE91" s="945"/>
      <c r="AF91" s="945"/>
      <c r="AG91" s="945"/>
      <c r="AH91" s="945"/>
      <c r="AI91" s="945"/>
      <c r="AJ91" s="945"/>
      <c r="AK91" s="945"/>
      <c r="AL91" s="945"/>
      <c r="AM91" s="945"/>
      <c r="AN91" s="945"/>
      <c r="AO91" s="945"/>
      <c r="AP91" s="945"/>
      <c r="AQ91" s="945"/>
      <c r="AR91" s="945"/>
      <c r="AS91" s="945"/>
      <c r="AT91" s="945"/>
    </row>
    <row r="92" spans="1:16384" ht="12.9" customHeight="1">
      <c r="A92" s="945"/>
      <c r="B92" s="945"/>
      <c r="C92" s="945"/>
      <c r="D92" s="945"/>
      <c r="E92" s="945"/>
      <c r="F92" s="945"/>
      <c r="G92" s="945"/>
      <c r="H92" s="945"/>
      <c r="I92" s="945"/>
      <c r="J92" s="945"/>
      <c r="K92" s="945"/>
      <c r="L92" s="945"/>
      <c r="M92" s="945"/>
      <c r="N92" s="945"/>
      <c r="O92" s="945"/>
      <c r="P92" s="945"/>
      <c r="Q92" s="945"/>
      <c r="R92" s="945"/>
      <c r="S92" s="945"/>
      <c r="T92" s="945"/>
      <c r="U92" s="945"/>
      <c r="V92" s="945"/>
      <c r="W92" s="945"/>
      <c r="X92" s="945"/>
      <c r="Y92" s="945"/>
      <c r="Z92" s="945"/>
      <c r="AA92" s="945"/>
      <c r="AB92" s="945"/>
      <c r="AC92" s="945"/>
      <c r="AD92" s="945"/>
      <c r="AE92" s="945"/>
      <c r="AF92" s="945"/>
      <c r="AG92" s="945"/>
      <c r="AH92" s="945"/>
      <c r="AI92" s="945"/>
      <c r="AJ92" s="945"/>
      <c r="AK92" s="945"/>
      <c r="AL92" s="945"/>
      <c r="AM92" s="945"/>
      <c r="AN92" s="945"/>
      <c r="AO92" s="945"/>
      <c r="AP92" s="945"/>
      <c r="AQ92" s="945"/>
      <c r="AR92" s="945"/>
      <c r="AS92" s="945"/>
      <c r="AT92" s="945"/>
    </row>
    <row r="93" spans="1:16384" ht="12.9" customHeight="1">
      <c r="A93" s="945"/>
      <c r="B93" s="945"/>
      <c r="C93" s="945"/>
      <c r="D93" s="945"/>
      <c r="E93" s="945"/>
      <c r="F93" s="945"/>
      <c r="G93" s="945"/>
      <c r="H93" s="945"/>
      <c r="I93" s="945"/>
      <c r="J93" s="945"/>
      <c r="K93" s="945"/>
      <c r="L93" s="945"/>
      <c r="M93" s="945"/>
      <c r="N93" s="945"/>
      <c r="O93" s="945"/>
      <c r="P93" s="945"/>
      <c r="Q93" s="945"/>
      <c r="R93" s="945"/>
      <c r="S93" s="945"/>
      <c r="T93" s="945"/>
      <c r="U93" s="945"/>
      <c r="V93" s="945"/>
      <c r="W93" s="945"/>
      <c r="X93" s="945"/>
      <c r="Y93" s="945"/>
      <c r="Z93" s="945"/>
      <c r="AA93" s="945"/>
      <c r="AB93" s="945"/>
      <c r="AC93" s="945"/>
      <c r="AD93" s="945"/>
      <c r="AE93" s="945"/>
      <c r="AF93" s="945"/>
      <c r="AG93" s="945"/>
      <c r="AH93" s="945"/>
      <c r="AI93" s="945"/>
      <c r="AJ93" s="945"/>
      <c r="AK93" s="945"/>
      <c r="AL93" s="945"/>
      <c r="AM93" s="945"/>
      <c r="AN93" s="945"/>
      <c r="AO93" s="945"/>
      <c r="AP93" s="945"/>
      <c r="AQ93" s="945"/>
      <c r="AR93" s="945"/>
      <c r="AS93" s="945"/>
      <c r="AT93" s="945"/>
    </row>
    <row r="94" spans="1:16384" ht="12.9" customHeight="1">
      <c r="A94" s="945"/>
      <c r="B94" s="945"/>
      <c r="C94" s="945"/>
      <c r="D94" s="945"/>
      <c r="E94" s="945"/>
      <c r="F94" s="945"/>
      <c r="G94" s="945"/>
      <c r="H94" s="945"/>
      <c r="I94" s="945"/>
      <c r="J94" s="945"/>
      <c r="K94" s="945"/>
      <c r="L94" s="945"/>
      <c r="M94" s="945"/>
      <c r="N94" s="945"/>
      <c r="O94" s="945"/>
      <c r="P94" s="945"/>
      <c r="Q94" s="945"/>
      <c r="R94" s="945"/>
      <c r="S94" s="945"/>
      <c r="T94" s="945"/>
      <c r="U94" s="945"/>
      <c r="V94" s="945"/>
      <c r="W94" s="945"/>
      <c r="X94" s="945"/>
      <c r="Y94" s="945"/>
      <c r="Z94" s="945"/>
      <c r="AA94" s="945"/>
      <c r="AB94" s="945"/>
      <c r="AC94" s="945"/>
      <c r="AD94" s="945"/>
      <c r="AE94" s="945"/>
      <c r="AF94" s="945"/>
      <c r="AG94" s="945"/>
      <c r="AH94" s="945"/>
      <c r="AI94" s="945"/>
      <c r="AJ94" s="945"/>
      <c r="AK94" s="945"/>
      <c r="AL94" s="945"/>
      <c r="AM94" s="945"/>
      <c r="AN94" s="945"/>
      <c r="AO94" s="945"/>
      <c r="AP94" s="945"/>
      <c r="AQ94" s="945"/>
      <c r="AR94" s="945"/>
      <c r="AS94" s="945"/>
      <c r="AT94" s="945"/>
    </row>
    <row r="95" spans="1:16384" ht="12.9" customHeight="1">
      <c r="A95" s="945"/>
      <c r="B95" s="945"/>
      <c r="C95" s="945"/>
      <c r="D95" s="945"/>
      <c r="E95" s="945"/>
      <c r="F95" s="945"/>
      <c r="G95" s="945"/>
      <c r="H95" s="945"/>
      <c r="I95" s="945"/>
      <c r="J95" s="945"/>
      <c r="K95" s="945"/>
      <c r="L95" s="945"/>
      <c r="M95" s="945"/>
      <c r="N95" s="945"/>
      <c r="O95" s="945"/>
      <c r="P95" s="945"/>
      <c r="Q95" s="945"/>
      <c r="R95" s="945"/>
      <c r="S95" s="945"/>
      <c r="T95" s="945"/>
      <c r="U95" s="945"/>
      <c r="V95" s="945"/>
      <c r="W95" s="945"/>
      <c r="X95" s="945"/>
      <c r="Y95" s="945"/>
      <c r="Z95" s="945"/>
      <c r="AA95" s="945"/>
      <c r="AB95" s="945"/>
      <c r="AC95" s="945"/>
      <c r="AD95" s="945"/>
      <c r="AE95" s="945"/>
      <c r="AF95" s="945"/>
      <c r="AG95" s="945"/>
      <c r="AH95" s="945"/>
      <c r="AI95" s="945"/>
      <c r="AJ95" s="945"/>
      <c r="AK95" s="945"/>
      <c r="AL95" s="945"/>
      <c r="AM95" s="945"/>
      <c r="AN95" s="945"/>
      <c r="AO95" s="945"/>
      <c r="AP95" s="945"/>
      <c r="AQ95" s="945"/>
      <c r="AR95" s="945"/>
      <c r="AS95" s="945"/>
      <c r="AT95" s="945"/>
    </row>
    <row r="96" spans="1:16384" ht="12.9" customHeight="1">
      <c r="A96" s="945"/>
      <c r="B96" s="945"/>
      <c r="C96" s="945"/>
      <c r="D96" s="945"/>
      <c r="E96" s="945"/>
      <c r="F96" s="945"/>
      <c r="G96" s="945"/>
      <c r="H96" s="945"/>
      <c r="I96" s="945"/>
      <c r="J96" s="945"/>
      <c r="K96" s="945"/>
      <c r="L96" s="945"/>
      <c r="M96" s="945"/>
      <c r="N96" s="945"/>
      <c r="O96" s="945"/>
      <c r="P96" s="945"/>
      <c r="Q96" s="945"/>
      <c r="R96" s="945"/>
      <c r="S96" s="945"/>
      <c r="T96" s="945"/>
      <c r="U96" s="945"/>
      <c r="V96" s="945"/>
      <c r="W96" s="945"/>
      <c r="X96" s="945"/>
      <c r="Y96" s="945"/>
      <c r="Z96" s="945"/>
      <c r="AA96" s="945"/>
      <c r="AB96" s="945"/>
      <c r="AC96" s="945"/>
      <c r="AD96" s="945"/>
      <c r="AE96" s="945"/>
      <c r="AF96" s="945"/>
      <c r="AG96" s="945"/>
      <c r="AH96" s="945"/>
      <c r="AI96" s="945"/>
      <c r="AJ96" s="945"/>
      <c r="AK96" s="945"/>
      <c r="AL96" s="945"/>
      <c r="AM96" s="945"/>
      <c r="AN96" s="945"/>
      <c r="AO96" s="945"/>
      <c r="AP96" s="945"/>
      <c r="AQ96" s="945"/>
      <c r="AR96" s="945"/>
      <c r="AS96" s="945"/>
      <c r="AT96" s="945"/>
    </row>
    <row r="97" spans="1:46" ht="12.9" customHeight="1">
      <c r="A97" s="945"/>
      <c r="B97" s="945"/>
      <c r="C97" s="945"/>
      <c r="D97" s="945"/>
      <c r="E97" s="945"/>
      <c r="F97" s="945"/>
      <c r="G97" s="945"/>
      <c r="H97" s="945"/>
      <c r="I97" s="945"/>
      <c r="J97" s="945"/>
      <c r="K97" s="945"/>
      <c r="L97" s="945"/>
      <c r="M97" s="945"/>
      <c r="N97" s="945"/>
      <c r="O97" s="945"/>
      <c r="P97" s="945"/>
      <c r="Q97" s="945"/>
      <c r="R97" s="945"/>
      <c r="S97" s="945"/>
      <c r="T97" s="945"/>
      <c r="U97" s="945"/>
      <c r="V97" s="945"/>
      <c r="W97" s="945"/>
      <c r="X97" s="945"/>
      <c r="Y97" s="945"/>
      <c r="Z97" s="945"/>
      <c r="AA97" s="945"/>
      <c r="AB97" s="945"/>
      <c r="AC97" s="945"/>
      <c r="AD97" s="945"/>
      <c r="AE97" s="945"/>
      <c r="AF97" s="945"/>
      <c r="AG97" s="945"/>
      <c r="AH97" s="945"/>
      <c r="AI97" s="945"/>
      <c r="AJ97" s="945"/>
      <c r="AK97" s="945"/>
      <c r="AL97" s="945"/>
      <c r="AM97" s="945"/>
      <c r="AN97" s="945"/>
      <c r="AO97" s="945"/>
      <c r="AP97" s="945"/>
      <c r="AQ97" s="945"/>
      <c r="AR97" s="945"/>
      <c r="AS97" s="945"/>
      <c r="AT97" s="945"/>
    </row>
    <row r="98" spans="1:46" ht="12.9" customHeight="1">
      <c r="A98" s="945"/>
      <c r="B98" s="945"/>
      <c r="C98" s="945"/>
      <c r="D98" s="945"/>
      <c r="E98" s="945"/>
      <c r="F98" s="945"/>
      <c r="G98" s="945"/>
      <c r="H98" s="945"/>
      <c r="I98" s="945"/>
      <c r="J98" s="945"/>
      <c r="K98" s="945"/>
      <c r="L98" s="945"/>
      <c r="M98" s="945"/>
      <c r="N98" s="945"/>
      <c r="O98" s="945"/>
      <c r="P98" s="945"/>
      <c r="Q98" s="945"/>
      <c r="R98" s="945"/>
      <c r="S98" s="945"/>
      <c r="T98" s="945"/>
      <c r="U98" s="945"/>
      <c r="V98" s="945"/>
      <c r="W98" s="945"/>
      <c r="X98" s="945"/>
      <c r="Y98" s="945"/>
      <c r="Z98" s="945"/>
      <c r="AA98" s="945"/>
      <c r="AB98" s="945"/>
      <c r="AC98" s="945"/>
      <c r="AD98" s="945"/>
      <c r="AE98" s="945"/>
      <c r="AF98" s="945"/>
      <c r="AG98" s="945"/>
      <c r="AH98" s="945"/>
      <c r="AI98" s="945"/>
      <c r="AJ98" s="945"/>
      <c r="AK98" s="945"/>
      <c r="AL98" s="945"/>
      <c r="AM98" s="945"/>
      <c r="AN98" s="945"/>
      <c r="AO98" s="945"/>
      <c r="AP98" s="945"/>
      <c r="AQ98" s="945"/>
      <c r="AR98" s="945"/>
      <c r="AS98" s="945"/>
      <c r="AT98" s="945"/>
    </row>
    <row r="99" spans="1:46" ht="12.9" customHeight="1">
      <c r="A99" s="945"/>
      <c r="B99" s="945"/>
      <c r="C99" s="945"/>
      <c r="D99" s="945"/>
      <c r="E99" s="945"/>
      <c r="F99" s="945"/>
      <c r="G99" s="945"/>
      <c r="H99" s="945"/>
      <c r="I99" s="945"/>
      <c r="J99" s="945"/>
      <c r="K99" s="945"/>
      <c r="L99" s="945"/>
      <c r="M99" s="945"/>
      <c r="N99" s="945"/>
      <c r="O99" s="945"/>
      <c r="P99" s="945"/>
      <c r="Q99" s="945"/>
      <c r="R99" s="945"/>
      <c r="S99" s="945"/>
      <c r="T99" s="945"/>
      <c r="U99" s="945"/>
      <c r="V99" s="945"/>
      <c r="W99" s="945"/>
      <c r="X99" s="945"/>
      <c r="Y99" s="945"/>
      <c r="Z99" s="945"/>
      <c r="AA99" s="945"/>
      <c r="AB99" s="945"/>
      <c r="AC99" s="945"/>
      <c r="AD99" s="945"/>
      <c r="AE99" s="945"/>
      <c r="AF99" s="945"/>
      <c r="AG99" s="945"/>
      <c r="AH99" s="945"/>
      <c r="AI99" s="945"/>
      <c r="AJ99" s="945"/>
      <c r="AK99" s="945"/>
      <c r="AL99" s="945"/>
      <c r="AM99" s="945"/>
      <c r="AN99" s="945"/>
      <c r="AO99" s="945"/>
      <c r="AP99" s="945"/>
      <c r="AQ99" s="945"/>
      <c r="AR99" s="945"/>
      <c r="AS99" s="945"/>
      <c r="AT99" s="945"/>
    </row>
    <row r="100" spans="1:46" ht="12.9" customHeight="1">
      <c r="A100" s="945"/>
      <c r="B100" s="945"/>
      <c r="C100" s="945"/>
      <c r="D100" s="945"/>
      <c r="E100" s="945"/>
      <c r="F100" s="945"/>
      <c r="G100" s="945"/>
      <c r="H100" s="945"/>
      <c r="I100" s="945"/>
      <c r="J100" s="945"/>
      <c r="K100" s="945"/>
      <c r="L100" s="945"/>
      <c r="M100" s="945"/>
      <c r="N100" s="945"/>
      <c r="O100" s="945"/>
      <c r="P100" s="945"/>
      <c r="Q100" s="945"/>
      <c r="R100" s="945"/>
      <c r="S100" s="945"/>
      <c r="T100" s="945"/>
      <c r="U100" s="945"/>
      <c r="V100" s="945"/>
      <c r="W100" s="945"/>
      <c r="X100" s="945"/>
      <c r="Y100" s="945"/>
      <c r="Z100" s="945"/>
      <c r="AA100" s="945"/>
      <c r="AB100" s="945"/>
      <c r="AC100" s="945"/>
      <c r="AD100" s="945"/>
      <c r="AE100" s="945"/>
      <c r="AF100" s="945"/>
      <c r="AG100" s="945"/>
      <c r="AH100" s="945"/>
      <c r="AI100" s="945"/>
      <c r="AJ100" s="945"/>
      <c r="AK100" s="945"/>
      <c r="AL100" s="945"/>
      <c r="AM100" s="945"/>
      <c r="AN100" s="945"/>
      <c r="AO100" s="945"/>
      <c r="AP100" s="945"/>
      <c r="AQ100" s="945"/>
      <c r="AR100" s="945"/>
      <c r="AS100" s="945"/>
      <c r="AT100" s="945"/>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2.9"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2.9"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2.9"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001" t="s">
        <v>726</v>
      </c>
      <c r="B107" s="1001"/>
      <c r="C107" s="1001"/>
      <c r="D107" s="1001"/>
      <c r="E107" s="1001"/>
      <c r="F107" s="1001"/>
      <c r="G107" s="1001"/>
      <c r="H107" s="1001"/>
      <c r="I107" s="1001"/>
      <c r="J107" s="1001"/>
      <c r="K107" s="1001"/>
      <c r="L107" s="1001"/>
      <c r="M107" s="1001"/>
      <c r="N107" s="1001"/>
      <c r="O107" s="1001"/>
      <c r="P107" s="1001"/>
      <c r="Q107" s="1001"/>
      <c r="R107" s="1001"/>
      <c r="S107" s="1001"/>
      <c r="T107" s="1001"/>
      <c r="U107" s="1001"/>
      <c r="V107" s="1001"/>
      <c r="W107" s="1001"/>
      <c r="X107" s="1001"/>
      <c r="Y107" s="1001"/>
      <c r="Z107" s="1001"/>
      <c r="AA107" s="1001"/>
      <c r="AB107" s="1001"/>
      <c r="AC107" s="1001"/>
      <c r="AD107" s="1001"/>
      <c r="AE107" s="1001"/>
      <c r="AF107" s="1001"/>
      <c r="AG107" s="1001"/>
      <c r="AH107" s="1001"/>
      <c r="AI107" s="1001"/>
      <c r="AJ107" s="1001"/>
      <c r="AK107" s="1001"/>
      <c r="AL107" s="1001"/>
      <c r="AM107" s="1001"/>
      <c r="AN107" s="1001"/>
      <c r="AO107" s="1001"/>
      <c r="AP107" s="1001"/>
      <c r="AQ107" s="1001"/>
      <c r="AR107" s="1001"/>
      <c r="AS107" s="1001"/>
      <c r="AT107" s="1001"/>
    </row>
    <row r="108" spans="1:46" ht="12.9" customHeight="1">
      <c r="A108" s="1001"/>
      <c r="B108" s="1001"/>
      <c r="C108" s="1001"/>
      <c r="D108" s="1001"/>
      <c r="E108" s="1001"/>
      <c r="F108" s="1001"/>
      <c r="G108" s="1001"/>
      <c r="H108" s="1001"/>
      <c r="I108" s="1001"/>
      <c r="J108" s="1001"/>
      <c r="K108" s="1001"/>
      <c r="L108" s="1001"/>
      <c r="M108" s="1001"/>
      <c r="N108" s="1001"/>
      <c r="O108" s="1001"/>
      <c r="P108" s="1001"/>
      <c r="Q108" s="1001"/>
      <c r="R108" s="1001"/>
      <c r="S108" s="1001"/>
      <c r="T108" s="1001"/>
      <c r="U108" s="1001"/>
      <c r="V108" s="1001"/>
      <c r="W108" s="1001"/>
      <c r="X108" s="1001"/>
      <c r="Y108" s="1001"/>
      <c r="Z108" s="1001"/>
      <c r="AA108" s="1001"/>
      <c r="AB108" s="1001"/>
      <c r="AC108" s="1001"/>
      <c r="AD108" s="1001"/>
      <c r="AE108" s="1001"/>
      <c r="AF108" s="1001"/>
      <c r="AG108" s="1001"/>
      <c r="AH108" s="1001"/>
      <c r="AI108" s="1001"/>
      <c r="AJ108" s="1001"/>
      <c r="AK108" s="1001"/>
      <c r="AL108" s="1001"/>
      <c r="AM108" s="1001"/>
      <c r="AN108" s="1001"/>
      <c r="AO108" s="1001"/>
      <c r="AP108" s="1001"/>
      <c r="AQ108" s="1001"/>
      <c r="AR108" s="1001"/>
      <c r="AS108" s="1001"/>
      <c r="AT108" s="1001"/>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2.9"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61"/>
      <c r="H115" s="1061"/>
      <c r="I115" s="37" t="s">
        <v>729</v>
      </c>
      <c r="J115" s="37"/>
      <c r="L115" s="1274"/>
      <c r="M115" s="1274"/>
      <c r="N115" s="1274"/>
      <c r="O115" s="37" t="s">
        <v>730</v>
      </c>
      <c r="P115" s="37"/>
      <c r="Q115" s="37"/>
      <c r="R115" s="37"/>
      <c r="S115" s="266"/>
      <c r="T115" s="266"/>
      <c r="U115" s="266"/>
      <c r="V115" s="266"/>
      <c r="W115" s="266"/>
      <c r="X115" s="37" t="s">
        <v>731</v>
      </c>
      <c r="Y115" s="334"/>
      <c r="Z115" s="334"/>
      <c r="AA115" s="334"/>
      <c r="AB115" s="334"/>
      <c r="AC115" s="334"/>
      <c r="AD115" s="334"/>
      <c r="AE115" s="334"/>
      <c r="AF115" s="334"/>
      <c r="AG115" s="334"/>
      <c r="AH115" s="334"/>
      <c r="AI115" s="334"/>
      <c r="AJ115" s="334"/>
      <c r="AK115" s="334"/>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2.9" customHeight="1">
      <c r="A117" s="266"/>
      <c r="C117" s="1274" t="s">
        <v>733</v>
      </c>
      <c r="D117" s="1274"/>
      <c r="E117" s="1274"/>
      <c r="F117" s="1274"/>
      <c r="G117" s="1274"/>
      <c r="H117" s="1274"/>
      <c r="I117" s="1274"/>
      <c r="J117" s="1274"/>
      <c r="K117" s="1274"/>
      <c r="L117" s="263" t="s">
        <v>734</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02" t="s">
        <v>735</v>
      </c>
      <c r="Z118" s="1002"/>
      <c r="AA118" s="1002"/>
      <c r="AB118" s="1002"/>
      <c r="AC118" s="1002"/>
      <c r="AD118" s="1002"/>
      <c r="AE118" s="1002"/>
      <c r="AF118" s="1002"/>
      <c r="AG118" s="1002"/>
      <c r="AH118" s="1002"/>
      <c r="AI118" s="1002"/>
      <c r="AJ118" s="1002"/>
      <c r="AK118" s="1002"/>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736</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02" t="s">
        <v>737</v>
      </c>
      <c r="Z121" s="1002"/>
      <c r="AA121" s="1002"/>
      <c r="AB121" s="1002"/>
      <c r="AC121" s="1002"/>
      <c r="AD121" s="1002"/>
      <c r="AE121" s="1002"/>
      <c r="AF121" s="1002"/>
      <c r="AG121" s="1002"/>
      <c r="AH121" s="1002"/>
      <c r="AI121" s="1002"/>
      <c r="AJ121" s="1002"/>
      <c r="AK121" s="1002"/>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738</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1"/>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1"/>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1"/>
      <c r="B136" s="37"/>
      <c r="AL136" s="401"/>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739</v>
      </c>
      <c r="O156" s="1002" t="s">
        <v>740</v>
      </c>
      <c r="P156" s="1002"/>
      <c r="Q156" s="1002"/>
      <c r="R156" s="1002"/>
      <c r="S156" s="1002"/>
      <c r="T156" s="1002"/>
      <c r="U156" s="1002"/>
      <c r="V156" s="1002"/>
      <c r="W156" s="1002"/>
      <c r="X156" s="1002"/>
      <c r="Y156" s="1002"/>
      <c r="Z156" s="1002"/>
      <c r="AA156" s="1002"/>
      <c r="AB156" s="1002"/>
      <c r="AC156" s="1002"/>
      <c r="AD156" s="1002"/>
      <c r="AE156" s="1002"/>
      <c r="AF156" s="1002"/>
      <c r="AG156" s="1002"/>
      <c r="AH156" s="1002"/>
      <c r="BT156" t="s">
        <v>320</v>
      </c>
    </row>
    <row r="157" spans="1:72" ht="12.9" customHeight="1">
      <c r="D157" s="280" t="s">
        <v>741</v>
      </c>
      <c r="O157" s="1003" t="s">
        <v>742</v>
      </c>
      <c r="P157" s="1003"/>
      <c r="Q157" s="1003"/>
      <c r="R157" s="1003"/>
      <c r="S157" s="1003"/>
      <c r="T157" s="1003"/>
      <c r="U157" s="1003"/>
      <c r="V157" s="1003"/>
      <c r="W157" s="1003"/>
      <c r="X157" s="1003"/>
      <c r="Y157" s="1003"/>
      <c r="Z157" s="1003"/>
      <c r="AA157" s="1003"/>
      <c r="AB157" s="1003"/>
      <c r="AC157" s="1003"/>
      <c r="AD157" s="1003"/>
      <c r="AE157" s="1003"/>
      <c r="AF157" s="1003"/>
      <c r="AG157" s="1003"/>
      <c r="AH157" s="1003"/>
      <c r="AI157" t="s">
        <v>743</v>
      </c>
      <c r="BN157" s="228" t="s">
        <v>744</v>
      </c>
      <c r="BT157" t="s">
        <v>745</v>
      </c>
    </row>
    <row r="158" spans="1:72" ht="12.9" customHeight="1">
      <c r="D158" s="12" t="s">
        <v>746</v>
      </c>
      <c r="F158" s="12"/>
      <c r="G158" s="12"/>
      <c r="H158" s="12"/>
      <c r="I158" s="12"/>
      <c r="J158" s="12"/>
      <c r="K158" s="12"/>
      <c r="L158" s="12"/>
      <c r="M158" s="12"/>
      <c r="N158" s="12"/>
      <c r="O158" s="1272" t="s">
        <v>747</v>
      </c>
      <c r="P158" s="1272"/>
      <c r="Q158" s="1272"/>
      <c r="R158" s="1272"/>
      <c r="S158" s="1272"/>
      <c r="T158" s="1272"/>
      <c r="U158" s="1272"/>
      <c r="V158" s="1272"/>
      <c r="W158" s="1272"/>
      <c r="X158" s="1272"/>
      <c r="Y158" s="1272"/>
      <c r="Z158" s="1272"/>
      <c r="AA158" s="1272"/>
      <c r="AB158" s="1272"/>
      <c r="AC158" s="1272"/>
      <c r="AD158" s="1272"/>
      <c r="AE158" s="1272"/>
      <c r="AF158" s="1272"/>
      <c r="AG158" s="1272"/>
      <c r="AH158" s="1272"/>
      <c r="BN158" s="228" t="s">
        <v>748</v>
      </c>
      <c r="BT158" t="s">
        <v>749</v>
      </c>
    </row>
    <row r="159" spans="1:72" ht="12.9" customHeight="1">
      <c r="D159" t="s">
        <v>750</v>
      </c>
      <c r="O159" s="1002" t="s">
        <v>751</v>
      </c>
      <c r="P159" s="1005"/>
      <c r="Q159" s="1005"/>
      <c r="R159" s="1005"/>
      <c r="S159" s="1005"/>
      <c r="T159" s="1005"/>
      <c r="U159" s="1005"/>
      <c r="V159" s="1005"/>
      <c r="W159" s="1005"/>
      <c r="X159" s="1005"/>
      <c r="Y159" s="1005"/>
      <c r="Z159" s="1005"/>
      <c r="AA159" s="1005"/>
      <c r="AB159" s="1005"/>
      <c r="AC159" s="1005"/>
      <c r="AD159" s="1005"/>
      <c r="AE159" s="1005"/>
      <c r="AF159" s="1005"/>
      <c r="AG159" s="1005"/>
      <c r="AH159" s="1005"/>
      <c r="BN159" s="228" t="s">
        <v>752</v>
      </c>
      <c r="BT159" t="s">
        <v>753</v>
      </c>
    </row>
    <row r="160" spans="1:72" ht="12.9" customHeight="1">
      <c r="D160" t="s">
        <v>754</v>
      </c>
      <c r="O160" s="1002" t="s">
        <v>755</v>
      </c>
      <c r="P160" s="1002"/>
      <c r="Q160" s="1002"/>
      <c r="R160" s="1002"/>
      <c r="S160" s="1002"/>
      <c r="T160" s="1002"/>
      <c r="U160" s="1002"/>
      <c r="V160" s="1002"/>
      <c r="W160" s="1002"/>
      <c r="X160" s="1002"/>
      <c r="Y160" s="12"/>
      <c r="Z160" s="12"/>
      <c r="AA160" s="12"/>
      <c r="AB160" s="12"/>
      <c r="AC160" s="12"/>
      <c r="AD160" s="12"/>
      <c r="AE160" s="12"/>
      <c r="AF160" s="12"/>
      <c r="BN160" s="228" t="s">
        <v>756</v>
      </c>
      <c r="BT160" t="s">
        <v>757</v>
      </c>
    </row>
    <row r="161" spans="1:72" ht="12.9" customHeight="1">
      <c r="D161" t="s">
        <v>758</v>
      </c>
      <c r="O161" s="1261">
        <v>93654</v>
      </c>
      <c r="P161" s="1261"/>
      <c r="Q161" s="1261"/>
      <c r="R161" s="1261"/>
      <c r="S161" s="13"/>
      <c r="T161" s="13"/>
      <c r="U161" s="13"/>
      <c r="V161" s="13"/>
      <c r="W161" s="13"/>
      <c r="X161" s="13"/>
      <c r="Y161" s="13"/>
      <c r="Z161" s="13"/>
      <c r="AA161" s="13"/>
      <c r="AB161" s="13"/>
      <c r="AC161" s="13"/>
      <c r="AD161" s="13"/>
      <c r="AE161" s="13"/>
      <c r="AF161" s="13"/>
      <c r="BJ161" t="s">
        <v>759</v>
      </c>
      <c r="BN161" s="228" t="s">
        <v>760</v>
      </c>
      <c r="BT161" t="s">
        <v>761</v>
      </c>
    </row>
    <row r="162" spans="1:72" ht="12.9" customHeight="1">
      <c r="D162" t="s">
        <v>762</v>
      </c>
      <c r="O162" s="1007" t="s">
        <v>763</v>
      </c>
      <c r="P162" s="1252"/>
      <c r="Q162" s="1252"/>
      <c r="R162" s="1252"/>
      <c r="S162" s="1252"/>
      <c r="T162" s="1252"/>
      <c r="V162" s="157" t="s">
        <v>764</v>
      </c>
      <c r="W162" s="1262"/>
      <c r="X162" s="1262"/>
      <c r="Y162" s="14"/>
      <c r="Z162" s="14"/>
      <c r="AA162" s="14"/>
      <c r="AB162" s="14"/>
      <c r="AC162" s="14"/>
      <c r="AD162" s="14"/>
      <c r="AE162" s="14"/>
      <c r="AF162" s="14"/>
      <c r="BJ162" t="s">
        <v>708</v>
      </c>
      <c r="BN162" s="228" t="s">
        <v>765</v>
      </c>
      <c r="BT162" t="s">
        <v>766</v>
      </c>
    </row>
    <row r="163" spans="1:72" ht="12.9" customHeight="1">
      <c r="D163" t="s">
        <v>767</v>
      </c>
      <c r="O163" s="1252"/>
      <c r="P163" s="1252"/>
      <c r="Q163" s="1252"/>
      <c r="R163" s="1252"/>
      <c r="S163" s="1252"/>
      <c r="T163" s="1252"/>
      <c r="U163" s="14"/>
      <c r="V163" s="14"/>
      <c r="W163" s="14"/>
      <c r="X163" s="14"/>
      <c r="Y163" s="14"/>
      <c r="Z163" s="14"/>
      <c r="AA163" s="14"/>
      <c r="AB163" s="14"/>
      <c r="AC163" s="14"/>
      <c r="AD163" s="14"/>
      <c r="AE163" s="14"/>
      <c r="AF163" s="14"/>
      <c r="BN163" s="228" t="s">
        <v>768</v>
      </c>
      <c r="BT163" t="s">
        <v>769</v>
      </c>
    </row>
    <row r="164" spans="1:72" ht="12.9" customHeight="1">
      <c r="D164" t="s">
        <v>770</v>
      </c>
      <c r="O164" s="1010" t="s">
        <v>771</v>
      </c>
      <c r="P164" s="1010"/>
      <c r="Q164" s="1010"/>
      <c r="R164" s="1010"/>
      <c r="S164" s="1010"/>
      <c r="T164" s="1010"/>
      <c r="U164" s="1010"/>
      <c r="V164" s="1010"/>
      <c r="W164" s="1010"/>
      <c r="X164" s="1010"/>
      <c r="Y164" s="1010"/>
      <c r="Z164" s="1010"/>
      <c r="AA164" s="1010"/>
      <c r="AB164" s="1010"/>
      <c r="AC164" s="1010"/>
      <c r="AD164" s="1010"/>
      <c r="AE164" s="1010"/>
      <c r="AF164" s="1010"/>
      <c r="AG164" s="1010"/>
      <c r="AH164" s="1010"/>
      <c r="BN164" s="228" t="s">
        <v>772</v>
      </c>
      <c r="BT164" t="s">
        <v>773</v>
      </c>
    </row>
    <row r="165" spans="1:72" ht="12.9" customHeight="1">
      <c r="C165" s="31"/>
      <c r="D165" s="231"/>
      <c r="E165" s="231"/>
      <c r="F165" s="231"/>
      <c r="G165" s="231"/>
      <c r="H165" s="231"/>
      <c r="I165" s="231"/>
      <c r="J165" s="231"/>
      <c r="K165" s="231"/>
      <c r="L165" s="231"/>
      <c r="M165" s="231"/>
      <c r="N165" s="231"/>
      <c r="O165" s="870"/>
      <c r="P165" s="870"/>
      <c r="Q165" s="870"/>
      <c r="R165" s="870"/>
      <c r="S165" s="870"/>
      <c r="T165" s="870"/>
      <c r="U165" s="870"/>
      <c r="V165" s="870"/>
      <c r="W165" s="870"/>
      <c r="X165" s="870"/>
      <c r="Y165" s="870"/>
      <c r="Z165" s="870"/>
      <c r="AA165" s="225"/>
      <c r="AB165" s="225"/>
      <c r="AC165" s="225"/>
      <c r="AD165" s="225"/>
      <c r="AE165" s="225"/>
      <c r="AF165" s="225"/>
      <c r="AG165" s="225"/>
      <c r="AH165" s="225"/>
      <c r="BN165" s="228" t="s">
        <v>774</v>
      </c>
      <c r="BT165" t="s">
        <v>775</v>
      </c>
    </row>
    <row r="166" spans="1:72" ht="12.9" customHeight="1">
      <c r="C166" s="31" t="s">
        <v>743</v>
      </c>
      <c r="D166" t="s">
        <v>776</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777</v>
      </c>
      <c r="BT166" t="s">
        <v>778</v>
      </c>
    </row>
    <row r="167" spans="1:72" ht="12.9" customHeight="1">
      <c r="C167" s="31"/>
      <c r="D167" s="1259" t="s">
        <v>779</v>
      </c>
      <c r="E167" s="1259"/>
      <c r="F167" s="1259"/>
      <c r="G167" s="1259"/>
      <c r="H167" s="1259"/>
      <c r="I167" s="1259"/>
      <c r="J167" s="1259"/>
      <c r="K167" s="1259"/>
      <c r="L167" s="1259"/>
      <c r="M167" s="1259"/>
      <c r="N167" s="1259"/>
      <c r="O167" s="1259"/>
      <c r="P167" s="1259"/>
      <c r="Q167" s="1259"/>
      <c r="R167" s="1259"/>
      <c r="S167" s="1259"/>
      <c r="T167" s="1259"/>
      <c r="U167" s="1259"/>
      <c r="V167" s="1259"/>
      <c r="W167" s="1259"/>
      <c r="X167" s="1259"/>
      <c r="Y167" s="1259"/>
      <c r="Z167" s="870"/>
      <c r="AA167" s="225"/>
      <c r="AB167" s="225"/>
      <c r="AC167" s="225"/>
      <c r="AD167" s="225"/>
      <c r="AE167" s="225"/>
      <c r="AF167" s="225"/>
      <c r="AG167" s="225"/>
      <c r="AH167" s="225"/>
      <c r="BN167" s="228" t="s">
        <v>780</v>
      </c>
      <c r="BT167" t="s">
        <v>781</v>
      </c>
    </row>
    <row r="168" spans="1:72" ht="12.9" customHeight="1">
      <c r="BN168" s="228" t="s">
        <v>782</v>
      </c>
      <c r="BT168" t="s">
        <v>783</v>
      </c>
    </row>
    <row r="169" spans="1:72" s="843" customFormat="1" ht="12.9" customHeight="1">
      <c r="A169" s="1006" t="s">
        <v>784</v>
      </c>
      <c r="B169" s="1006"/>
      <c r="C169" s="1006"/>
      <c r="D169" s="1006"/>
      <c r="E169" s="1006"/>
      <c r="F169" s="1006"/>
      <c r="G169" s="1006"/>
      <c r="H169" s="1006"/>
      <c r="I169" s="1006"/>
      <c r="J169" s="1006"/>
      <c r="K169" s="1006"/>
      <c r="L169" s="1006"/>
      <c r="M169" s="1006"/>
      <c r="N169" s="1006"/>
      <c r="O169" s="1006"/>
      <c r="P169" s="1006"/>
      <c r="Q169" s="1006"/>
      <c r="R169" s="1006"/>
      <c r="S169" s="1006"/>
      <c r="T169" s="1006"/>
      <c r="U169" s="1006"/>
      <c r="V169" s="1006"/>
      <c r="W169" s="1006"/>
      <c r="X169" s="1006"/>
      <c r="Y169" s="1006"/>
      <c r="Z169" s="1006"/>
      <c r="AA169" s="1006"/>
      <c r="AB169" s="1006"/>
      <c r="AC169" s="1006"/>
      <c r="AD169" s="1006"/>
      <c r="AE169" s="1006"/>
      <c r="AF169" s="1006"/>
      <c r="AG169" s="1006"/>
      <c r="AH169" s="1006"/>
      <c r="AI169" s="1006"/>
      <c r="AJ169" s="1006"/>
      <c r="AK169" s="1006"/>
      <c r="AL169" s="1006"/>
      <c r="AM169" s="1006"/>
      <c r="AN169" s="1006"/>
      <c r="AO169" s="1006"/>
      <c r="AP169" s="1006"/>
      <c r="AQ169" s="1006"/>
      <c r="AR169" s="1006"/>
      <c r="AS169" s="1006"/>
      <c r="AT169" s="1006"/>
      <c r="AU169"/>
      <c r="BN169" s="228" t="s">
        <v>785</v>
      </c>
      <c r="BT169" t="s">
        <v>786</v>
      </c>
    </row>
    <row r="170" spans="1:72" s="843" customFormat="1" ht="12.9" customHeight="1">
      <c r="A170" s="1006"/>
      <c r="B170" s="1006"/>
      <c r="C170" s="1006"/>
      <c r="D170" s="1006"/>
      <c r="E170" s="1006"/>
      <c r="F170" s="1006"/>
      <c r="G170" s="1006"/>
      <c r="H170" s="1006"/>
      <c r="I170" s="1006"/>
      <c r="J170" s="1006"/>
      <c r="K170" s="1006"/>
      <c r="L170" s="1006"/>
      <c r="M170" s="1006"/>
      <c r="N170" s="1006"/>
      <c r="O170" s="1006"/>
      <c r="P170" s="1006"/>
      <c r="Q170" s="1006"/>
      <c r="R170" s="1006"/>
      <c r="S170" s="1006"/>
      <c r="T170" s="1006"/>
      <c r="U170" s="1006"/>
      <c r="V170" s="1006"/>
      <c r="W170" s="1006"/>
      <c r="X170" s="1006"/>
      <c r="Y170" s="1006"/>
      <c r="Z170" s="1006"/>
      <c r="AA170" s="1006"/>
      <c r="AB170" s="1006"/>
      <c r="AC170" s="1006"/>
      <c r="AD170" s="1006"/>
      <c r="AE170" s="1006"/>
      <c r="AF170" s="1006"/>
      <c r="AG170" s="1006"/>
      <c r="AH170" s="1006"/>
      <c r="AI170" s="1006"/>
      <c r="AJ170" s="1006"/>
      <c r="AK170" s="1006"/>
      <c r="AL170" s="1006"/>
      <c r="AM170" s="1006"/>
      <c r="AN170" s="1006"/>
      <c r="AO170" s="1006"/>
      <c r="AP170" s="1006"/>
      <c r="AQ170" s="1006"/>
      <c r="AR170" s="1006"/>
      <c r="AS170" s="1006"/>
      <c r="AT170" s="1006"/>
      <c r="AU170"/>
      <c r="BN170" s="228" t="s">
        <v>787</v>
      </c>
      <c r="BT170" t="s">
        <v>788</v>
      </c>
    </row>
    <row r="171" spans="1:72" ht="12.9" customHeight="1">
      <c r="BN171" s="228" t="s">
        <v>789</v>
      </c>
      <c r="BT171" t="s">
        <v>790</v>
      </c>
    </row>
    <row r="172" spans="1:72" ht="12.9" customHeight="1">
      <c r="A172" s="3" t="s">
        <v>791</v>
      </c>
      <c r="C172" s="3" t="s">
        <v>100</v>
      </c>
      <c r="BN172" s="228" t="s">
        <v>792</v>
      </c>
      <c r="BT172" t="s">
        <v>793</v>
      </c>
    </row>
    <row r="173" spans="1:72" ht="12.9" customHeight="1">
      <c r="C173" s="28"/>
      <c r="D173" t="s">
        <v>794</v>
      </c>
      <c r="J173" s="1273" t="s">
        <v>795</v>
      </c>
      <c r="K173" s="1273"/>
      <c r="L173" s="1273"/>
      <c r="M173" s="1273"/>
      <c r="N173" s="1273"/>
      <c r="O173" s="1273"/>
      <c r="P173" s="1273"/>
      <c r="Q173" s="1273"/>
      <c r="R173" s="1273"/>
      <c r="S173" s="1273"/>
      <c r="U173" s="29"/>
      <c r="X173" s="29"/>
      <c r="BN173" s="228" t="s">
        <v>796</v>
      </c>
      <c r="BT173" t="s">
        <v>797</v>
      </c>
    </row>
    <row r="174" spans="1:72" ht="12.9" customHeight="1">
      <c r="C174" s="28"/>
      <c r="D174" t="s">
        <v>798</v>
      </c>
      <c r="U174" s="1063" t="s">
        <v>759</v>
      </c>
      <c r="V174" s="1063"/>
      <c r="BN174" s="228" t="s">
        <v>799</v>
      </c>
      <c r="BT174" t="s">
        <v>800</v>
      </c>
    </row>
    <row r="175" spans="1:72" ht="12.9" customHeight="1">
      <c r="C175" s="12"/>
      <c r="D175" s="30"/>
      <c r="E175" t="s">
        <v>801</v>
      </c>
      <c r="O175" s="31"/>
      <c r="P175" t="s">
        <v>802</v>
      </c>
      <c r="T175" s="31" t="s">
        <v>803</v>
      </c>
      <c r="U175" s="1048"/>
      <c r="V175" s="1048"/>
      <c r="W175" s="1" t="s">
        <v>804</v>
      </c>
      <c r="X175" s="1275"/>
      <c r="Y175" s="1275"/>
      <c r="BN175" s="228" t="s">
        <v>805</v>
      </c>
      <c r="BT175" t="s">
        <v>806</v>
      </c>
    </row>
    <row r="176" spans="1:72" ht="12.9" customHeight="1">
      <c r="C176" s="28"/>
      <c r="D176" t="s">
        <v>807</v>
      </c>
      <c r="U176" s="1063" t="s">
        <v>759</v>
      </c>
      <c r="V176" s="1063"/>
      <c r="BN176" s="228" t="s">
        <v>808</v>
      </c>
      <c r="BT176" t="s">
        <v>809</v>
      </c>
    </row>
    <row r="177" spans="1:72" ht="12.9" customHeight="1">
      <c r="C177" s="28"/>
      <c r="D177" s="295" t="s">
        <v>810</v>
      </c>
      <c r="BN177" s="228" t="s">
        <v>811</v>
      </c>
      <c r="BT177" t="s">
        <v>812</v>
      </c>
    </row>
    <row r="178" spans="1:72" ht="12.9" customHeight="1">
      <c r="C178" s="28"/>
      <c r="E178" s="295" t="s">
        <v>802</v>
      </c>
      <c r="F178" s="295"/>
      <c r="G178" s="295"/>
      <c r="I178" s="824" t="s">
        <v>803</v>
      </c>
      <c r="J178" s="1265"/>
      <c r="K178" s="1265"/>
      <c r="L178" s="299" t="s">
        <v>804</v>
      </c>
      <c r="M178" s="1060"/>
      <c r="N178" s="1060"/>
      <c r="O178" s="295"/>
      <c r="P178" s="295"/>
      <c r="Q178" s="295"/>
      <c r="R178" s="295"/>
      <c r="U178" s="295" t="s">
        <v>813</v>
      </c>
      <c r="V178" s="295"/>
      <c r="W178" s="295"/>
      <c r="X178" s="295"/>
      <c r="Y178" s="295"/>
      <c r="Z178" s="295"/>
      <c r="AA178" s="295"/>
      <c r="AB178" s="295"/>
      <c r="AD178" s="1266"/>
      <c r="AE178" s="1266"/>
      <c r="AF178" s="1266"/>
      <c r="AG178" s="1266"/>
      <c r="AH178" s="1266"/>
      <c r="BN178" s="228" t="s">
        <v>814</v>
      </c>
      <c r="BT178" t="s">
        <v>815</v>
      </c>
    </row>
    <row r="179" spans="1:72" ht="12.9" customHeight="1">
      <c r="C179" s="28"/>
      <c r="BN179" s="228" t="s">
        <v>816</v>
      </c>
      <c r="BT179" t="s">
        <v>817</v>
      </c>
    </row>
    <row r="180" spans="1:72" ht="12.9" customHeight="1">
      <c r="C180" s="12"/>
      <c r="D180" t="s">
        <v>818</v>
      </c>
      <c r="O180" s="295"/>
      <c r="P180" s="295"/>
      <c r="Q180" s="295"/>
      <c r="R180" s="295"/>
      <c r="Y180" s="1063" t="s">
        <v>759</v>
      </c>
      <c r="Z180" s="1253"/>
      <c r="BN180" s="228" t="s">
        <v>819</v>
      </c>
      <c r="BT180" t="s">
        <v>820</v>
      </c>
    </row>
    <row r="181" spans="1:72" ht="12.9" customHeight="1">
      <c r="C181" s="12"/>
      <c r="D181" s="32"/>
      <c r="E181" s="295" t="s">
        <v>821</v>
      </c>
      <c r="R181" s="295"/>
      <c r="BN181" s="228" t="s">
        <v>822</v>
      </c>
      <c r="BT181" t="s">
        <v>823</v>
      </c>
    </row>
    <row r="182" spans="1:72" ht="12.9" customHeight="1">
      <c r="C182" s="12"/>
      <c r="D182" s="32"/>
      <c r="BN182" s="228" t="s">
        <v>824</v>
      </c>
      <c r="BT182" t="s">
        <v>825</v>
      </c>
    </row>
    <row r="183" spans="1:72" ht="12.9" customHeight="1">
      <c r="A183" s="3" t="s">
        <v>826</v>
      </c>
      <c r="C183" s="3" t="s">
        <v>102</v>
      </c>
      <c r="BN183" s="228" t="s">
        <v>827</v>
      </c>
      <c r="BT183" t="s">
        <v>828</v>
      </c>
    </row>
    <row r="184" spans="1:72" ht="12.9" customHeight="1">
      <c r="C184" s="27"/>
      <c r="D184" t="s">
        <v>829</v>
      </c>
      <c r="I184" s="1131" t="str">
        <f>H17</f>
        <v>Reedley Elderly</v>
      </c>
      <c r="J184" s="1131"/>
      <c r="K184" s="1131"/>
      <c r="L184" s="1131"/>
      <c r="M184" s="1131"/>
      <c r="N184" s="1131"/>
      <c r="O184" s="1131"/>
      <c r="P184" s="1131"/>
      <c r="Q184" s="1131"/>
      <c r="R184" s="1131"/>
      <c r="S184" s="1131"/>
      <c r="T184" s="1131"/>
      <c r="U184" s="1131"/>
      <c r="V184" s="1131"/>
      <c r="W184" s="1131"/>
      <c r="X184" s="1131"/>
      <c r="Y184" s="1131"/>
      <c r="Z184" s="1131"/>
      <c r="AA184" s="1131"/>
      <c r="AB184" s="1131"/>
      <c r="AC184" s="1131"/>
      <c r="AD184" s="1131"/>
      <c r="AE184" s="1131"/>
      <c r="BC184" t="s">
        <v>830</v>
      </c>
      <c r="BN184" s="228" t="s">
        <v>831</v>
      </c>
      <c r="BT184" t="s">
        <v>832</v>
      </c>
    </row>
    <row r="185" spans="1:72" ht="12.9" customHeight="1">
      <c r="C185" s="27"/>
      <c r="D185" t="s">
        <v>833</v>
      </c>
      <c r="I185" s="1003" t="s">
        <v>834</v>
      </c>
      <c r="J185" s="1004"/>
      <c r="K185" s="1004"/>
      <c r="L185" s="1004"/>
      <c r="M185" s="1004"/>
      <c r="N185" s="1004"/>
      <c r="O185" s="1004"/>
      <c r="P185" s="1004"/>
      <c r="Q185" s="1004"/>
      <c r="R185" s="1004"/>
      <c r="S185" s="1004"/>
      <c r="T185" s="1004"/>
      <c r="U185" s="1004"/>
      <c r="V185" s="1004"/>
      <c r="W185" s="1004"/>
      <c r="X185" s="1004"/>
      <c r="Y185" s="1004"/>
      <c r="Z185" s="1004"/>
      <c r="AA185" s="1004"/>
      <c r="AB185" s="1004"/>
      <c r="AC185" s="1004"/>
      <c r="AD185" s="1004"/>
      <c r="AE185" s="1004"/>
      <c r="BC185" s="37" t="s">
        <v>835</v>
      </c>
      <c r="BN185" s="228" t="s">
        <v>836</v>
      </c>
      <c r="BT185" t="s">
        <v>837</v>
      </c>
    </row>
    <row r="186" spans="1:72" ht="12.9" customHeight="1">
      <c r="C186" s="27"/>
      <c r="E186" t="s">
        <v>838</v>
      </c>
      <c r="BN186" s="228" t="s">
        <v>839</v>
      </c>
      <c r="BT186" t="s">
        <v>840</v>
      </c>
    </row>
    <row r="187" spans="1:72" ht="12.9" customHeight="1">
      <c r="C187" s="27"/>
      <c r="E187" s="1267"/>
      <c r="F187" s="1267"/>
      <c r="G187" s="1267"/>
      <c r="H187" s="1267"/>
      <c r="I187" s="1267"/>
      <c r="J187" s="1267"/>
      <c r="K187" s="1267"/>
      <c r="L187" s="1267"/>
      <c r="M187" s="1267"/>
      <c r="N187" s="1267"/>
      <c r="O187" s="1267"/>
      <c r="P187" s="1267"/>
      <c r="Q187" s="1267"/>
      <c r="R187" s="1267"/>
      <c r="S187" s="1267"/>
      <c r="T187" s="1267"/>
      <c r="U187" s="1267"/>
      <c r="V187" s="1267"/>
      <c r="W187" s="1267"/>
      <c r="X187" s="1267"/>
      <c r="Y187" s="1267"/>
      <c r="Z187" s="1267"/>
      <c r="AA187" s="1267"/>
      <c r="AB187" s="1267"/>
      <c r="AC187" s="1267"/>
      <c r="AD187" s="1267"/>
      <c r="AE187" s="1267"/>
      <c r="BN187" s="228" t="s">
        <v>841</v>
      </c>
      <c r="BT187" t="s">
        <v>842</v>
      </c>
    </row>
    <row r="188" spans="1:72" ht="12.9" customHeight="1">
      <c r="C188" s="27"/>
      <c r="E188" s="1268"/>
      <c r="F188" s="1268"/>
      <c r="G188" s="1268"/>
      <c r="H188" s="1268"/>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1268"/>
      <c r="AD188" s="1268"/>
      <c r="AE188" s="1268"/>
      <c r="BN188" s="228" t="s">
        <v>843</v>
      </c>
      <c r="BT188" t="s">
        <v>844</v>
      </c>
    </row>
    <row r="189" spans="1:72" ht="12.9" customHeight="1">
      <c r="C189" s="27"/>
      <c r="D189" t="s">
        <v>845</v>
      </c>
      <c r="I189" s="1002" t="s">
        <v>755</v>
      </c>
      <c r="J189" s="1005"/>
      <c r="K189" s="1005"/>
      <c r="L189" s="1005"/>
      <c r="M189" s="1005"/>
      <c r="N189" s="1005"/>
      <c r="O189" s="1005"/>
      <c r="P189" s="1005"/>
      <c r="Q189" t="s">
        <v>846</v>
      </c>
      <c r="T189" s="1005" t="s">
        <v>778</v>
      </c>
      <c r="U189" s="1005"/>
      <c r="V189" s="1005"/>
      <c r="W189" s="1005"/>
      <c r="X189" s="1005"/>
      <c r="Y189" s="1005"/>
      <c r="Z189" s="1005"/>
      <c r="AA189" s="1005"/>
      <c r="AB189" s="1005"/>
      <c r="AC189" s="1005"/>
      <c r="AD189" s="1005"/>
      <c r="AE189" s="1005"/>
      <c r="BC189" t="s">
        <v>320</v>
      </c>
      <c r="BH189" s="37" t="s">
        <v>325</v>
      </c>
      <c r="BN189" s="228" t="s">
        <v>847</v>
      </c>
      <c r="BT189" t="s">
        <v>848</v>
      </c>
    </row>
    <row r="190" spans="1:72" ht="12.9" customHeight="1">
      <c r="C190" s="27"/>
      <c r="D190" t="s">
        <v>849</v>
      </c>
      <c r="I190" s="1004">
        <v>93654</v>
      </c>
      <c r="J190" s="1004"/>
      <c r="K190" s="1004"/>
      <c r="L190" s="1004"/>
      <c r="M190" s="1004"/>
      <c r="N190" s="1004"/>
      <c r="O190" t="s">
        <v>850</v>
      </c>
      <c r="T190" s="1263">
        <v>6602</v>
      </c>
      <c r="U190" s="1263"/>
      <c r="V190" s="1263"/>
      <c r="W190" s="1263"/>
      <c r="X190" s="1263"/>
      <c r="Y190" s="1263"/>
      <c r="Z190" s="1263"/>
      <c r="AA190" s="1263"/>
      <c r="AB190" s="1263"/>
      <c r="AC190" s="1263"/>
      <c r="AD190" s="1263"/>
      <c r="AE190" s="1263"/>
      <c r="BC190" t="s">
        <v>851</v>
      </c>
      <c r="BH190" t="s">
        <v>851</v>
      </c>
      <c r="BN190" s="228" t="s">
        <v>852</v>
      </c>
      <c r="BT190" t="s">
        <v>853</v>
      </c>
    </row>
    <row r="191" spans="1:72" ht="12.9" customHeight="1">
      <c r="C191" s="27"/>
      <c r="D191" t="s">
        <v>854</v>
      </c>
      <c r="N191" s="1281" t="s">
        <v>855</v>
      </c>
      <c r="O191" s="1267"/>
      <c r="P191" s="1267"/>
      <c r="Q191" s="1267"/>
      <c r="R191" s="1267"/>
      <c r="S191" s="1267"/>
      <c r="T191" s="1267"/>
      <c r="U191" s="1267"/>
      <c r="V191" s="1267"/>
      <c r="W191" s="1267"/>
      <c r="X191" s="1267"/>
      <c r="Y191" s="1267"/>
      <c r="Z191" s="1267"/>
      <c r="AA191" s="1267"/>
      <c r="AB191" s="1267"/>
      <c r="AC191" s="1267"/>
      <c r="AD191" s="1267"/>
      <c r="AE191" s="1267"/>
      <c r="BC191" t="s">
        <v>856</v>
      </c>
      <c r="BH191" t="s">
        <v>856</v>
      </c>
      <c r="BN191" s="228" t="s">
        <v>857</v>
      </c>
      <c r="BT191" t="s">
        <v>858</v>
      </c>
    </row>
    <row r="192" spans="1:72" ht="12.9" customHeight="1">
      <c r="C192" s="27"/>
      <c r="M192" s="42"/>
      <c r="N192" s="1268"/>
      <c r="O192" s="1268"/>
      <c r="P192" s="1268"/>
      <c r="Q192" s="1268"/>
      <c r="R192" s="1268"/>
      <c r="S192" s="1268"/>
      <c r="T192" s="1268"/>
      <c r="U192" s="1268"/>
      <c r="V192" s="1268"/>
      <c r="W192" s="1268"/>
      <c r="X192" s="1268"/>
      <c r="Y192" s="1268"/>
      <c r="Z192" s="1268"/>
      <c r="AA192" s="1268"/>
      <c r="AB192" s="1268"/>
      <c r="AC192" s="1268"/>
      <c r="AD192" s="1268"/>
      <c r="AE192" s="1268"/>
      <c r="BC192" t="s">
        <v>859</v>
      </c>
      <c r="BH192" t="s">
        <v>860</v>
      </c>
      <c r="BN192" s="228" t="s">
        <v>861</v>
      </c>
      <c r="BT192" t="s">
        <v>862</v>
      </c>
    </row>
    <row r="193" spans="1:73" ht="12.9" customHeight="1">
      <c r="C193" s="27"/>
      <c r="D193" t="s">
        <v>863</v>
      </c>
      <c r="T193" s="1063" t="s">
        <v>759</v>
      </c>
      <c r="U193" s="1063"/>
      <c r="W193" s="37" t="s">
        <v>864</v>
      </c>
      <c r="AA193" s="1257"/>
      <c r="AB193" s="1257"/>
      <c r="AC193" s="1257"/>
      <c r="BC193" t="s">
        <v>865</v>
      </c>
      <c r="BH193" s="37" t="s">
        <v>866</v>
      </c>
      <c r="BN193" s="228" t="s">
        <v>867</v>
      </c>
      <c r="BT193" t="s">
        <v>868</v>
      </c>
    </row>
    <row r="194" spans="1:73" ht="12.9" customHeight="1">
      <c r="C194" s="27"/>
      <c r="D194" t="s">
        <v>869</v>
      </c>
      <c r="T194" s="1090" t="s">
        <v>759</v>
      </c>
      <c r="U194" s="1090"/>
      <c r="W194" t="s">
        <v>870</v>
      </c>
      <c r="AI194" s="1063" t="s">
        <v>759</v>
      </c>
      <c r="AJ194" s="1063"/>
      <c r="AX194" s="37" t="s">
        <v>325</v>
      </c>
      <c r="BC194" t="s">
        <v>860</v>
      </c>
      <c r="BN194" s="228" t="s">
        <v>871</v>
      </c>
      <c r="BT194" t="s">
        <v>872</v>
      </c>
    </row>
    <row r="195" spans="1:73" ht="12.9" customHeight="1">
      <c r="C195" s="27"/>
      <c r="D195" s="37" t="s">
        <v>873</v>
      </c>
      <c r="T195" s="1090" t="s">
        <v>759</v>
      </c>
      <c r="U195" s="1090"/>
      <c r="X195" s="687" t="s">
        <v>874</v>
      </c>
      <c r="AX195" s="37" t="s">
        <v>875</v>
      </c>
      <c r="BN195" s="228" t="s">
        <v>876</v>
      </c>
      <c r="BT195" t="s">
        <v>877</v>
      </c>
    </row>
    <row r="196" spans="1:73" ht="12.9" customHeight="1">
      <c r="C196" s="27"/>
      <c r="D196" s="37" t="s">
        <v>878</v>
      </c>
      <c r="T196" s="1090" t="s">
        <v>759</v>
      </c>
      <c r="U196" s="1090"/>
      <c r="AK196" s="1256"/>
      <c r="AL196" s="1256"/>
      <c r="AX196" s="37" t="s">
        <v>879</v>
      </c>
      <c r="BN196" s="228" t="s">
        <v>880</v>
      </c>
      <c r="BT196" t="s">
        <v>881</v>
      </c>
    </row>
    <row r="197" spans="1:73" ht="12.9" customHeight="1">
      <c r="C197" s="27"/>
      <c r="D197" s="37" t="s">
        <v>882</v>
      </c>
      <c r="T197" s="1063" t="s">
        <v>759</v>
      </c>
      <c r="U197" s="1063"/>
      <c r="AX197" s="37" t="s">
        <v>883</v>
      </c>
      <c r="BC197" t="s">
        <v>320</v>
      </c>
      <c r="BN197" s="228" t="s">
        <v>884</v>
      </c>
      <c r="BT197" t="s">
        <v>885</v>
      </c>
    </row>
    <row r="198" spans="1:73" ht="12.9" customHeight="1">
      <c r="C198" s="27"/>
      <c r="D198" s="37" t="s">
        <v>886</v>
      </c>
      <c r="W198" s="1061" t="s">
        <v>759</v>
      </c>
      <c r="X198" s="1063"/>
      <c r="AX198" s="37" t="s">
        <v>887</v>
      </c>
      <c r="BC198" t="s">
        <v>888</v>
      </c>
      <c r="BN198" s="228" t="s">
        <v>889</v>
      </c>
      <c r="BT198" t="s">
        <v>890</v>
      </c>
    </row>
    <row r="199" spans="1:73" ht="12.9" customHeight="1">
      <c r="C199" s="27"/>
      <c r="L199" s="263"/>
      <c r="M199" s="263"/>
      <c r="N199" s="263"/>
      <c r="O199" s="263"/>
      <c r="P199" s="263"/>
      <c r="Q199" s="806" t="s">
        <v>891</v>
      </c>
      <c r="R199" s="1002" t="s">
        <v>892</v>
      </c>
      <c r="S199" s="1002"/>
      <c r="T199" s="1002"/>
      <c r="U199" s="1002"/>
      <c r="V199" s="1002"/>
      <c r="W199" s="1002"/>
      <c r="X199" s="1002"/>
      <c r="Y199" s="1002"/>
      <c r="Z199" s="1002"/>
      <c r="AA199" s="1002"/>
      <c r="AB199" s="1002"/>
      <c r="AH199" s="1"/>
      <c r="AI199" s="1"/>
      <c r="AX199" s="37" t="s">
        <v>893</v>
      </c>
      <c r="BC199" s="37" t="s">
        <v>894</v>
      </c>
      <c r="BN199" s="228" t="s">
        <v>895</v>
      </c>
      <c r="BO199" s="35"/>
      <c r="BP199" s="36"/>
      <c r="BQ199" s="36"/>
      <c r="BR199" s="36"/>
      <c r="BS199" s="36"/>
      <c r="BT199" s="36" t="s">
        <v>896</v>
      </c>
    </row>
    <row r="200" spans="1:73" ht="12.9" customHeight="1">
      <c r="C200" s="27"/>
      <c r="D200" t="s">
        <v>897</v>
      </c>
      <c r="AH200" s="1"/>
      <c r="AI200" s="1"/>
      <c r="AX200" s="37" t="s">
        <v>898</v>
      </c>
      <c r="BC200" s="37" t="s">
        <v>899</v>
      </c>
      <c r="BN200" s="228" t="s">
        <v>900</v>
      </c>
      <c r="BO200" s="21"/>
      <c r="BP200" s="36"/>
      <c r="BQ200" s="36"/>
      <c r="BR200" s="36"/>
      <c r="BS200" s="36"/>
      <c r="BT200" s="36" t="s">
        <v>901</v>
      </c>
    </row>
    <row r="201" spans="1:73" ht="12.9" customHeight="1">
      <c r="C201" s="27"/>
      <c r="G201" s="779" t="s">
        <v>902</v>
      </c>
      <c r="AX201" s="37" t="s">
        <v>903</v>
      </c>
      <c r="BC201" t="s">
        <v>904</v>
      </c>
      <c r="BN201" s="228" t="s">
        <v>905</v>
      </c>
      <c r="BO201" s="21"/>
      <c r="BP201" s="36"/>
      <c r="BQ201" s="36"/>
      <c r="BR201" s="36"/>
      <c r="BS201" s="36"/>
      <c r="BT201" s="36" t="s">
        <v>906</v>
      </c>
    </row>
    <row r="202" spans="1:73" ht="12.9" customHeight="1">
      <c r="A202" s="3" t="s">
        <v>907</v>
      </c>
      <c r="C202" s="3" t="s">
        <v>908</v>
      </c>
      <c r="AX202" s="37" t="s">
        <v>909</v>
      </c>
      <c r="BC202" t="s">
        <v>910</v>
      </c>
      <c r="BN202" s="228" t="s">
        <v>911</v>
      </c>
      <c r="BT202" s="36" t="s">
        <v>912</v>
      </c>
      <c r="BU202" s="21"/>
    </row>
    <row r="203" spans="1:73" ht="12.9" customHeight="1">
      <c r="D203" s="1131" t="str">
        <f>IF(AND(M25&gt;0,M27&gt;0),"Federal and State","Federal Only")</f>
        <v>Federal and State</v>
      </c>
      <c r="E203" s="1131"/>
      <c r="F203" s="1131"/>
      <c r="G203" s="1131"/>
      <c r="H203" s="1131"/>
      <c r="I203" s="1131"/>
      <c r="J203" s="1131"/>
      <c r="K203" s="1131"/>
      <c r="L203" s="1131"/>
      <c r="M203" s="1131"/>
      <c r="P203" s="1260">
        <f>M25</f>
        <v>432972</v>
      </c>
      <c r="Q203" s="1260"/>
      <c r="R203" s="1260"/>
      <c r="S203" s="1260"/>
      <c r="T203" s="1260"/>
      <c r="U203" s="1260"/>
      <c r="W203" s="1260">
        <f>M27</f>
        <v>1443240</v>
      </c>
      <c r="X203" s="1260"/>
      <c r="Y203" s="1260"/>
      <c r="Z203" s="1260"/>
      <c r="AA203" s="1260"/>
      <c r="AB203" s="1260"/>
      <c r="AV203" t="s">
        <v>325</v>
      </c>
      <c r="AX203" s="37" t="s">
        <v>865</v>
      </c>
      <c r="BC203" t="s">
        <v>913</v>
      </c>
      <c r="BN203" s="228" t="s">
        <v>914</v>
      </c>
      <c r="BT203" s="36" t="s">
        <v>915</v>
      </c>
      <c r="BU203" s="21"/>
    </row>
    <row r="204" spans="1:73" ht="12.9" customHeight="1">
      <c r="C204" s="27"/>
      <c r="P204" s="1350" t="s">
        <v>916</v>
      </c>
      <c r="Q204" s="1350"/>
      <c r="R204" s="1350"/>
      <c r="S204" s="1350"/>
      <c r="T204" s="1350"/>
      <c r="U204" s="1350"/>
      <c r="V204" s="4"/>
      <c r="W204" s="1350" t="s">
        <v>917</v>
      </c>
      <c r="X204" s="1350"/>
      <c r="Y204" s="1350"/>
      <c r="Z204" s="1350"/>
      <c r="AA204" s="1350"/>
      <c r="AB204" s="1350"/>
      <c r="AV204" t="s">
        <v>708</v>
      </c>
      <c r="AX204" s="37" t="s">
        <v>859</v>
      </c>
      <c r="BC204" t="s">
        <v>918</v>
      </c>
      <c r="BN204" s="228" t="s">
        <v>919</v>
      </c>
      <c r="BT204" s="36" t="s">
        <v>920</v>
      </c>
      <c r="BU204" s="21"/>
    </row>
    <row r="205" spans="1:73" ht="12.9" customHeight="1" thickBot="1">
      <c r="D205" s="377" t="s">
        <v>921</v>
      </c>
      <c r="E205" s="33"/>
      <c r="F205" s="33"/>
      <c r="G205" s="33"/>
      <c r="H205" s="33"/>
      <c r="I205" s="33"/>
      <c r="J205" s="33"/>
      <c r="K205" s="33"/>
      <c r="L205" s="33"/>
      <c r="M205" s="33"/>
      <c r="N205" s="33"/>
      <c r="O205" s="33"/>
      <c r="P205" s="33"/>
      <c r="AV205" t="s">
        <v>759</v>
      </c>
      <c r="AX205" s="37" t="s">
        <v>922</v>
      </c>
      <c r="BC205" t="s">
        <v>923</v>
      </c>
      <c r="BN205" s="228" t="s">
        <v>924</v>
      </c>
      <c r="BT205" s="36" t="s">
        <v>925</v>
      </c>
    </row>
    <row r="206" spans="1:73" ht="12.9" customHeight="1">
      <c r="X206" s="690"/>
      <c r="Y206" s="691"/>
      <c r="Z206" s="691"/>
      <c r="AA206" s="691"/>
      <c r="AB206" s="691"/>
      <c r="AC206" s="691"/>
      <c r="AD206" s="691"/>
      <c r="AE206" s="691"/>
      <c r="AF206" s="691"/>
      <c r="AG206" s="691"/>
      <c r="AH206" s="691"/>
      <c r="AI206" s="691"/>
      <c r="AJ206" s="691"/>
      <c r="AK206" s="692"/>
      <c r="BC206" s="158" t="s">
        <v>926</v>
      </c>
      <c r="BN206" s="228" t="s">
        <v>927</v>
      </c>
      <c r="BT206" s="36" t="s">
        <v>928</v>
      </c>
    </row>
    <row r="207" spans="1:73" ht="12.9" customHeight="1">
      <c r="A207" s="3" t="s">
        <v>929</v>
      </c>
      <c r="C207" s="3" t="s">
        <v>930</v>
      </c>
      <c r="X207" s="693"/>
      <c r="Y207" s="798"/>
      <c r="Z207" s="694"/>
      <c r="AA207" s="694"/>
      <c r="AB207" s="694"/>
      <c r="AC207" s="694"/>
      <c r="AD207" s="694"/>
      <c r="AE207" s="694"/>
      <c r="AF207" s="694"/>
      <c r="AG207" s="694"/>
      <c r="AH207" s="694"/>
      <c r="AI207" s="694"/>
      <c r="AJ207" s="694"/>
      <c r="AK207" s="695"/>
      <c r="BC207" t="s">
        <v>931</v>
      </c>
      <c r="BN207" s="228" t="s">
        <v>932</v>
      </c>
      <c r="BT207" s="36" t="s">
        <v>933</v>
      </c>
    </row>
    <row r="208" spans="1:73" ht="12.9" customHeight="1">
      <c r="C208" s="27"/>
      <c r="D208" s="1002" t="s">
        <v>934</v>
      </c>
      <c r="E208" s="1002"/>
      <c r="F208" s="1002"/>
      <c r="G208" s="1002"/>
      <c r="H208" s="1002"/>
      <c r="I208" s="1002"/>
      <c r="J208" s="1002"/>
      <c r="K208" s="1002"/>
      <c r="L208" s="1002"/>
      <c r="M208" s="1002"/>
      <c r="X208" s="693"/>
      <c r="Y208" s="799"/>
      <c r="Z208" s="694"/>
      <c r="AA208" s="694"/>
      <c r="AB208" s="694"/>
      <c r="AC208" s="694"/>
      <c r="AD208" s="694"/>
      <c r="AE208" s="694"/>
      <c r="AF208" s="694"/>
      <c r="AG208" s="694"/>
      <c r="AH208" s="694"/>
      <c r="AI208" s="694"/>
      <c r="AJ208" s="694"/>
      <c r="AK208" s="695"/>
      <c r="BC208" t="s">
        <v>935</v>
      </c>
      <c r="BN208" s="228" t="s">
        <v>936</v>
      </c>
      <c r="BT208" s="36" t="s">
        <v>937</v>
      </c>
    </row>
    <row r="209" spans="1:72" ht="12.9" customHeight="1">
      <c r="C209" s="12"/>
      <c r="X209" s="693"/>
      <c r="Y209" s="799"/>
      <c r="Z209" s="694"/>
      <c r="AA209" s="694"/>
      <c r="AB209" s="694"/>
      <c r="AC209" s="694"/>
      <c r="AD209" s="694"/>
      <c r="AE209" s="694"/>
      <c r="AF209" s="694"/>
      <c r="AG209" s="694"/>
      <c r="AH209" s="694"/>
      <c r="AI209" s="694"/>
      <c r="AJ209" s="694"/>
      <c r="AK209" s="695"/>
      <c r="BC209" t="s">
        <v>938</v>
      </c>
      <c r="BN209" s="228" t="s">
        <v>939</v>
      </c>
      <c r="BT209" s="36" t="s">
        <v>940</v>
      </c>
    </row>
    <row r="210" spans="1:72" ht="12.9" customHeight="1">
      <c r="A210" s="3" t="s">
        <v>941</v>
      </c>
      <c r="C210" s="3" t="s">
        <v>942</v>
      </c>
      <c r="X210" s="693"/>
      <c r="Y210" s="799"/>
      <c r="Z210" s="694"/>
      <c r="AA210" s="694"/>
      <c r="AB210" s="694"/>
      <c r="AC210" s="694"/>
      <c r="AD210" s="694"/>
      <c r="AE210" s="694"/>
      <c r="AF210" s="694"/>
      <c r="AG210" s="694"/>
      <c r="AH210" s="694"/>
      <c r="AI210" s="694"/>
      <c r="AJ210" s="694"/>
      <c r="AK210" s="695"/>
      <c r="BN210" s="228" t="s">
        <v>943</v>
      </c>
      <c r="BT210" s="36" t="s">
        <v>944</v>
      </c>
    </row>
    <row r="211" spans="1:72" ht="12.9" customHeight="1">
      <c r="C211" s="27"/>
      <c r="D211" s="1002" t="s">
        <v>883</v>
      </c>
      <c r="E211" s="1002"/>
      <c r="F211" s="1002"/>
      <c r="G211" s="1002"/>
      <c r="H211" s="1002"/>
      <c r="I211" s="1002"/>
      <c r="J211" s="1002"/>
      <c r="K211" s="1002"/>
      <c r="L211" s="1002"/>
      <c r="M211" s="1002"/>
      <c r="N211" s="1002"/>
      <c r="O211" s="1002"/>
      <c r="P211" s="1002"/>
      <c r="X211" s="693"/>
      <c r="Y211" s="1264" t="s">
        <v>759</v>
      </c>
      <c r="Z211" s="1264"/>
      <c r="AA211" s="694"/>
      <c r="AB211" s="694"/>
      <c r="AC211" s="694"/>
      <c r="AD211" s="694"/>
      <c r="AE211" s="694"/>
      <c r="AF211" s="694"/>
      <c r="AG211" s="694"/>
      <c r="AH211" s="694"/>
      <c r="AI211" s="694"/>
      <c r="AJ211" s="694"/>
      <c r="AK211" s="695"/>
      <c r="BN211" s="228" t="s">
        <v>945</v>
      </c>
      <c r="BT211" s="36" t="s">
        <v>946</v>
      </c>
    </row>
    <row r="212" spans="1:72" ht="12.9" customHeight="1" thickBot="1">
      <c r="X212" s="698"/>
      <c r="Y212" s="696"/>
      <c r="Z212" s="696"/>
      <c r="AA212" s="696"/>
      <c r="AB212" s="696"/>
      <c r="AC212" s="696"/>
      <c r="AD212" s="696"/>
      <c r="AE212" s="696"/>
      <c r="AF212" s="696"/>
      <c r="AG212" s="696"/>
      <c r="AH212" s="696"/>
      <c r="AI212" s="696"/>
      <c r="AJ212" s="696"/>
      <c r="AK212" s="697"/>
      <c r="AX212" t="s">
        <v>320</v>
      </c>
      <c r="BC212" t="s">
        <v>320</v>
      </c>
      <c r="BN212" s="228" t="s">
        <v>947</v>
      </c>
      <c r="BT212" s="36" t="s">
        <v>948</v>
      </c>
    </row>
    <row r="213" spans="1:72" ht="12.9" customHeight="1">
      <c r="A213" s="3" t="s">
        <v>949</v>
      </c>
      <c r="C213" s="3" t="s">
        <v>950</v>
      </c>
      <c r="AX213" t="s">
        <v>951</v>
      </c>
      <c r="BC213" t="s">
        <v>952</v>
      </c>
      <c r="BN213" s="228" t="s">
        <v>953</v>
      </c>
      <c r="BT213" s="36" t="s">
        <v>954</v>
      </c>
    </row>
    <row r="214" spans="1:72" ht="12.9" customHeight="1">
      <c r="C214" s="27"/>
      <c r="D214" s="1002" t="s">
        <v>856</v>
      </c>
      <c r="E214" s="1002"/>
      <c r="F214" s="1002"/>
      <c r="G214" s="1002"/>
      <c r="H214" s="1002"/>
      <c r="I214" s="1002"/>
      <c r="J214" s="1002"/>
      <c r="K214" s="1002"/>
      <c r="L214" s="1002"/>
      <c r="M214" s="1002"/>
      <c r="N214" s="1002"/>
      <c r="O214" s="1002"/>
      <c r="P214" s="1002"/>
      <c r="Q214" s="1002"/>
      <c r="R214" s="1002"/>
      <c r="S214" s="1002"/>
      <c r="T214" s="1002"/>
      <c r="U214" s="1002"/>
      <c r="V214" s="1002"/>
      <c r="W214" s="1002"/>
      <c r="X214" s="1002"/>
      <c r="Y214" s="1002"/>
      <c r="Z214" s="1002"/>
      <c r="AX214" t="s">
        <v>955</v>
      </c>
      <c r="BC214" t="s">
        <v>956</v>
      </c>
      <c r="BN214" s="228" t="s">
        <v>957</v>
      </c>
      <c r="BT214" s="36" t="s">
        <v>958</v>
      </c>
    </row>
    <row r="215" spans="1:72" ht="12.9" customHeight="1">
      <c r="D215" s="32"/>
      <c r="E215" s="37" t="s">
        <v>959</v>
      </c>
      <c r="AC215" s="1258"/>
      <c r="AD215" s="1258"/>
      <c r="AF215" s="1269">
        <f>IFERROR(AC215/AG433,"")</f>
        <v>0</v>
      </c>
      <c r="AG215" s="1269"/>
      <c r="AX215" t="s">
        <v>892</v>
      </c>
      <c r="BC215" t="s">
        <v>960</v>
      </c>
    </row>
    <row r="216" spans="1:72" ht="12.9" customHeight="1">
      <c r="D216" s="32"/>
      <c r="E216" s="822" t="s">
        <v>961</v>
      </c>
      <c r="AX216" t="s">
        <v>962</v>
      </c>
      <c r="BC216" t="s">
        <v>963</v>
      </c>
    </row>
    <row r="217" spans="1:72" ht="12.9" customHeight="1">
      <c r="E217" s="1347" t="s">
        <v>325</v>
      </c>
      <c r="F217" s="1347"/>
      <c r="G217" s="1347"/>
      <c r="H217" s="1347"/>
      <c r="I217" s="1347"/>
      <c r="J217" s="1347"/>
      <c r="K217" s="1347"/>
      <c r="L217" s="1347"/>
      <c r="M217" s="1347"/>
      <c r="N217" s="1347"/>
      <c r="O217" s="1347"/>
      <c r="P217" s="1347"/>
      <c r="Q217" s="1347"/>
      <c r="R217" s="1347"/>
      <c r="S217" s="1347"/>
      <c r="T217" s="1347"/>
      <c r="U217" s="1347"/>
      <c r="V217" s="1347"/>
      <c r="W217" s="1347"/>
      <c r="X217" s="1347"/>
      <c r="Y217" s="1347"/>
      <c r="Z217" s="1347"/>
      <c r="AA217" s="42"/>
      <c r="AB217" s="42"/>
      <c r="AC217" s="42"/>
      <c r="AD217" s="42"/>
      <c r="AE217" s="42"/>
      <c r="AF217" s="42"/>
      <c r="AX217" s="37" t="s">
        <v>964</v>
      </c>
      <c r="BC217" t="s">
        <v>965</v>
      </c>
    </row>
    <row r="218" spans="1:72" ht="12.9" customHeight="1">
      <c r="E218" s="37" t="s">
        <v>966</v>
      </c>
      <c r="AA218" s="42"/>
      <c r="AC218" s="1254"/>
      <c r="AD218" s="1254"/>
      <c r="AE218" s="1254"/>
      <c r="AF218" s="1254"/>
      <c r="AG218" s="1254"/>
      <c r="AH218" s="1254"/>
      <c r="AI218" s="1254"/>
      <c r="AJ218" s="1254"/>
      <c r="AK218" s="1254"/>
      <c r="AL218" s="1254"/>
      <c r="AM218" s="1254"/>
      <c r="BC218" t="s">
        <v>967</v>
      </c>
      <c r="BI218" s="35"/>
    </row>
    <row r="219" spans="1:72" ht="12.9" customHeight="1">
      <c r="E219" s="37" t="s">
        <v>968</v>
      </c>
      <c r="AA219" s="42"/>
      <c r="AC219" s="1254"/>
      <c r="AD219" s="1254"/>
      <c r="AE219" s="1254"/>
      <c r="AF219" s="1254"/>
      <c r="AG219" s="1254"/>
      <c r="AH219" s="1254"/>
      <c r="AI219" s="1254"/>
      <c r="AJ219" s="1254"/>
      <c r="AK219" s="1254"/>
      <c r="AL219" s="1254"/>
      <c r="AM219" s="1254"/>
      <c r="BC219" t="s">
        <v>969</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970</v>
      </c>
      <c r="C221" s="3" t="s">
        <v>971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972</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02" t="s">
        <v>899</v>
      </c>
      <c r="E223" s="1002"/>
      <c r="F223" s="1002"/>
      <c r="G223" s="1002"/>
      <c r="H223" s="1002"/>
      <c r="I223" s="1002"/>
      <c r="J223" s="1002"/>
      <c r="K223" s="1002"/>
      <c r="L223" s="1002"/>
      <c r="M223" s="1002"/>
      <c r="N223" s="1002"/>
      <c r="O223" s="1002"/>
      <c r="P223" s="1002"/>
      <c r="Q223" s="1002"/>
      <c r="R223" s="1002"/>
      <c r="S223" s="1002"/>
      <c r="T223" s="1002"/>
      <c r="U223" s="1002"/>
      <c r="V223" s="1002"/>
      <c r="W223" s="1002"/>
      <c r="X223" s="1002"/>
      <c r="Y223" s="1002"/>
      <c r="Z223" s="1002"/>
      <c r="AA223" s="1002"/>
      <c r="AB223" s="1002"/>
      <c r="AC223" s="1002"/>
      <c r="AD223" s="1002"/>
      <c r="AE223" s="1002"/>
      <c r="AF223" s="1002"/>
      <c r="AG223" s="1002"/>
      <c r="AH223" s="1002"/>
      <c r="AI223" s="1002"/>
      <c r="AJ223" s="21"/>
      <c r="AK223" s="21"/>
      <c r="AL223" s="21"/>
    </row>
    <row r="224" spans="1:72" ht="12.9" customHeight="1">
      <c r="AJ224" s="37"/>
    </row>
    <row r="225" spans="1:59" ht="12.9" customHeight="1">
      <c r="D225" t="s">
        <v>973</v>
      </c>
      <c r="O225" s="1063">
        <v>6</v>
      </c>
      <c r="P225" s="1063"/>
    </row>
    <row r="226" spans="1:59" ht="12.9" customHeight="1">
      <c r="D226" t="s">
        <v>974</v>
      </c>
      <c r="O226" s="1063">
        <v>33</v>
      </c>
      <c r="P226" s="1063"/>
      <c r="BB226" s="37" t="s">
        <v>975</v>
      </c>
      <c r="BG226" s="334">
        <f>IF(AND(AND($M$251="for profit",$M$259="for profit",$M$267="nonprofit")),2,0)</f>
        <v>0</v>
      </c>
    </row>
    <row r="227" spans="1:59" ht="12.9" customHeight="1">
      <c r="D227" t="s">
        <v>976</v>
      </c>
      <c r="O227" s="1063">
        <v>14</v>
      </c>
      <c r="P227" s="1063"/>
      <c r="BB227" s="37" t="s">
        <v>975</v>
      </c>
      <c r="BG227" s="334">
        <f>IF(AND(AND($M$251="for profit",$M$259="nonprofit",$M$267="for profit")),2,0)</f>
        <v>0</v>
      </c>
    </row>
    <row r="228" spans="1:59" ht="12.9" customHeight="1">
      <c r="D228" t="s">
        <v>897</v>
      </c>
      <c r="BB228" t="s">
        <v>975</v>
      </c>
      <c r="BG228" s="334">
        <f>IF(AND(AND($M$251="nonprofit",$M$259="for profit",$M$267="for profit")),2,0)</f>
        <v>0</v>
      </c>
    </row>
    <row r="229" spans="1:59" ht="12.9" customHeight="1">
      <c r="D229" s="294" t="s">
        <v>977</v>
      </c>
      <c r="U229" s="294" t="s">
        <v>978</v>
      </c>
      <c r="BB229" t="s">
        <v>975</v>
      </c>
      <c r="BG229" s="334">
        <f>IF(AND(AND($M$251="for profit",$M$259="nonprofit",$M$267="(select one)")),2,0)</f>
        <v>0</v>
      </c>
    </row>
    <row r="230" spans="1:59" ht="12.9" customHeight="1">
      <c r="BB230" t="s">
        <v>975</v>
      </c>
      <c r="BG230" s="335">
        <f>IF(AND(AND($M$251="nonprofit",$M$259="for profit",$M$267="(select one)")),2,0)</f>
        <v>0</v>
      </c>
    </row>
    <row r="231" spans="1:59" ht="12.9" customHeight="1">
      <c r="A231" s="1006" t="s">
        <v>979</v>
      </c>
      <c r="B231" s="1006"/>
      <c r="C231" s="1006"/>
      <c r="D231" s="1006"/>
      <c r="E231" s="1006"/>
      <c r="F231" s="1006"/>
      <c r="G231" s="1006"/>
      <c r="H231" s="1006"/>
      <c r="I231" s="1006"/>
      <c r="J231" s="1006"/>
      <c r="K231" s="1006"/>
      <c r="L231" s="1006"/>
      <c r="M231" s="1006"/>
      <c r="N231" s="1006"/>
      <c r="O231" s="1006"/>
      <c r="P231" s="1006"/>
      <c r="Q231" s="1006"/>
      <c r="R231" s="1006"/>
      <c r="S231" s="1006"/>
      <c r="T231" s="1006"/>
      <c r="U231" s="1006"/>
      <c r="V231" s="1006"/>
      <c r="W231" s="1006"/>
      <c r="X231" s="1006"/>
      <c r="Y231" s="1006"/>
      <c r="Z231" s="1006"/>
      <c r="AA231" s="1006"/>
      <c r="AB231" s="1006"/>
      <c r="AC231" s="1006"/>
      <c r="AD231" s="1006"/>
      <c r="AE231" s="1006"/>
      <c r="AF231" s="1006"/>
      <c r="AG231" s="1006"/>
      <c r="AH231" s="1006"/>
      <c r="AI231" s="1006"/>
      <c r="AJ231" s="1006"/>
      <c r="AK231" s="1006"/>
      <c r="AL231" s="1006"/>
      <c r="AM231" s="1006"/>
      <c r="AN231" s="1006"/>
      <c r="AO231" s="1006"/>
      <c r="AP231" s="1006"/>
      <c r="AQ231" s="1006"/>
      <c r="AR231" s="1006"/>
      <c r="AS231" s="1006"/>
      <c r="AT231" s="1006"/>
    </row>
    <row r="232" spans="1:59" ht="12.9" customHeight="1">
      <c r="A232" s="1006"/>
      <c r="B232" s="1006"/>
      <c r="C232" s="1006"/>
      <c r="D232" s="1006"/>
      <c r="E232" s="1006"/>
      <c r="F232" s="1006"/>
      <c r="G232" s="1006"/>
      <c r="H232" s="1006"/>
      <c r="I232" s="1006"/>
      <c r="J232" s="1006"/>
      <c r="K232" s="1006"/>
      <c r="L232" s="1006"/>
      <c r="M232" s="1006"/>
      <c r="N232" s="1006"/>
      <c r="O232" s="1006"/>
      <c r="P232" s="1006"/>
      <c r="Q232" s="1006"/>
      <c r="R232" s="1006"/>
      <c r="S232" s="1006"/>
      <c r="T232" s="1006"/>
      <c r="U232" s="1006"/>
      <c r="V232" s="1006"/>
      <c r="W232" s="1006"/>
      <c r="X232" s="1006"/>
      <c r="Y232" s="1006"/>
      <c r="Z232" s="1006"/>
      <c r="AA232" s="1006"/>
      <c r="AB232" s="1006"/>
      <c r="AC232" s="1006"/>
      <c r="AD232" s="1006"/>
      <c r="AE232" s="1006"/>
      <c r="AF232" s="1006"/>
      <c r="AG232" s="1006"/>
      <c r="AH232" s="1006"/>
      <c r="AI232" s="1006"/>
      <c r="AJ232" s="1006"/>
      <c r="AK232" s="1006"/>
      <c r="AL232" s="1006"/>
      <c r="AM232" s="1006"/>
      <c r="AN232" s="1006"/>
      <c r="AO232" s="1006"/>
      <c r="AP232" s="1006"/>
      <c r="AQ232" s="1006"/>
      <c r="AR232" s="1006"/>
      <c r="AS232" s="1006"/>
      <c r="AT232" s="1006"/>
      <c r="BB232" s="3" t="s">
        <v>975</v>
      </c>
      <c r="BC232" s="3"/>
      <c r="BD232" s="3"/>
      <c r="BE232" s="3"/>
      <c r="BF232" s="3"/>
      <c r="BG232" s="334">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975</v>
      </c>
      <c r="BC233" s="3"/>
      <c r="BD233" s="3"/>
      <c r="BE233" s="3"/>
      <c r="BF233" s="3"/>
      <c r="BG233" s="334">
        <f>IF(AND(AND($M$251="nonprofit",$M$259="for profit",$M$267="nonprofit")),2,0)</f>
        <v>0</v>
      </c>
    </row>
    <row r="234" spans="1:59" ht="12.9" customHeight="1">
      <c r="A234" s="3" t="s">
        <v>791</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975</v>
      </c>
      <c r="BC234" s="3"/>
      <c r="BD234" s="3"/>
      <c r="BE234" s="3"/>
      <c r="BF234" s="3"/>
      <c r="BG234" s="335">
        <f>IF(AND(AND($M$251="for profit",$M$259="nonprofit",$M$267="nonprofit")),2,0)</f>
        <v>0</v>
      </c>
    </row>
    <row r="235" spans="1:59" ht="12.9" customHeight="1">
      <c r="D235" s="37" t="s">
        <v>980</v>
      </c>
      <c r="E235" s="37"/>
      <c r="F235" s="37"/>
      <c r="G235" s="37"/>
      <c r="H235" s="37"/>
      <c r="I235" s="37"/>
      <c r="J235" s="37"/>
      <c r="K235" s="37"/>
      <c r="M235" s="1349" t="str">
        <f>H15</f>
        <v>Self-Help Enterprises</v>
      </c>
      <c r="N235" s="1349"/>
      <c r="O235" s="1349"/>
      <c r="P235" s="1349"/>
      <c r="Q235" s="1349"/>
      <c r="R235" s="1349"/>
      <c r="S235" s="1349"/>
      <c r="T235" s="1349"/>
      <c r="U235" s="1349"/>
      <c r="V235" s="1349"/>
      <c r="W235" s="1349"/>
      <c r="X235" s="1349"/>
      <c r="Y235" s="1349"/>
      <c r="Z235" s="1349"/>
      <c r="AA235" s="1349"/>
      <c r="AB235" s="1349"/>
      <c r="AC235" s="1349"/>
      <c r="AD235" s="1349"/>
      <c r="AE235" s="1349"/>
      <c r="AF235" s="1349"/>
      <c r="AG235" s="1349"/>
      <c r="AH235" s="1349"/>
      <c r="AI235" s="1349"/>
      <c r="AJ235" s="1349"/>
      <c r="AK235" s="1349"/>
      <c r="BB235" s="3"/>
      <c r="BG235" s="37"/>
    </row>
    <row r="236" spans="1:59" ht="12.9" customHeight="1">
      <c r="D236" s="37" t="s">
        <v>981</v>
      </c>
      <c r="E236" s="37"/>
      <c r="F236" s="37"/>
      <c r="G236" s="37"/>
      <c r="H236" s="37"/>
      <c r="I236" s="37"/>
      <c r="J236" s="37"/>
      <c r="K236" s="37"/>
      <c r="M236" s="1002" t="s">
        <v>982</v>
      </c>
      <c r="N236" s="1002"/>
      <c r="O236" s="1002"/>
      <c r="P236" s="1002"/>
      <c r="Q236" s="1002"/>
      <c r="R236" s="1002"/>
      <c r="S236" s="1002"/>
      <c r="T236" s="1002"/>
      <c r="U236" s="1002"/>
      <c r="V236" s="1002"/>
      <c r="W236" s="1002"/>
      <c r="X236" s="1002"/>
      <c r="Y236" s="1002"/>
      <c r="Z236" s="1002"/>
      <c r="AA236" s="1002"/>
      <c r="AB236" s="1002"/>
      <c r="AC236" s="1002"/>
      <c r="AD236" s="1002"/>
      <c r="AE236" s="1002"/>
      <c r="AM236" s="37"/>
      <c r="AN236" s="37"/>
      <c r="BB236" t="s">
        <v>983</v>
      </c>
      <c r="BG236" s="334">
        <f>IF(AND(AND($M$251="nonprofit",$M$259="nonprofit",$M$267="nonprofit")),1,0)</f>
        <v>0</v>
      </c>
    </row>
    <row r="237" spans="1:59" ht="12.9" customHeight="1">
      <c r="D237" s="37" t="s">
        <v>845</v>
      </c>
      <c r="E237" s="37"/>
      <c r="M237" s="1002" t="s">
        <v>984</v>
      </c>
      <c r="N237" s="1002"/>
      <c r="O237" s="1002"/>
      <c r="P237" s="1002"/>
      <c r="Q237" s="1002"/>
      <c r="R237" s="1002"/>
      <c r="S237" s="1002"/>
      <c r="T237" s="1002"/>
      <c r="V237" s="806" t="s">
        <v>985</v>
      </c>
      <c r="W237" s="1003" t="s">
        <v>986</v>
      </c>
      <c r="X237" s="1003"/>
      <c r="Y237" s="37" t="s">
        <v>849</v>
      </c>
      <c r="AC237" s="1002">
        <v>93291</v>
      </c>
      <c r="AD237" s="1002"/>
      <c r="AE237" s="1002"/>
      <c r="AN237" s="37"/>
      <c r="BB237" t="s">
        <v>983</v>
      </c>
      <c r="BG237" s="334">
        <f>IF(AND(AND($M$251="nonprofit",$M$259="nonprofit",$M$267="(select one)")),1,0)</f>
        <v>0</v>
      </c>
    </row>
    <row r="238" spans="1:59" ht="12.9" customHeight="1">
      <c r="D238" s="37" t="s">
        <v>987</v>
      </c>
      <c r="E238" s="37"/>
      <c r="F238" s="37"/>
      <c r="G238" s="37"/>
      <c r="H238" s="37"/>
      <c r="I238" s="37"/>
      <c r="J238" s="37"/>
      <c r="K238" s="861"/>
      <c r="M238" s="1002" t="s">
        <v>988</v>
      </c>
      <c r="N238" s="1002"/>
      <c r="O238" s="1002"/>
      <c r="P238" s="1002"/>
      <c r="Q238" s="1002"/>
      <c r="R238" s="1002"/>
      <c r="S238" s="1002"/>
      <c r="T238" s="1002"/>
      <c r="U238" s="1002"/>
      <c r="V238" s="1002"/>
      <c r="W238" s="1002"/>
      <c r="X238" s="1002"/>
      <c r="Y238" s="1002"/>
      <c r="Z238" s="1002"/>
      <c r="AA238" s="1002"/>
      <c r="AB238" s="1002"/>
      <c r="AC238" s="1002"/>
      <c r="AD238" s="1002"/>
      <c r="AE238" s="1002"/>
      <c r="AI238" s="37"/>
      <c r="AJ238" s="37"/>
      <c r="AK238" s="37"/>
      <c r="AL238" s="37"/>
      <c r="AN238" s="37"/>
      <c r="BB238" t="s">
        <v>983</v>
      </c>
      <c r="BG238" s="334">
        <f>IF(AND(AND($M$251="nonprofit",$M$259="(select one)",$M$267="(select one)")),1,0)</f>
        <v>0</v>
      </c>
    </row>
    <row r="239" spans="1:59" ht="12.9" customHeight="1">
      <c r="D239" s="37" t="s">
        <v>989</v>
      </c>
      <c r="E239" s="37"/>
      <c r="F239" s="37"/>
      <c r="M239" s="1008" t="s">
        <v>990</v>
      </c>
      <c r="N239" s="1008"/>
      <c r="O239" s="1008"/>
      <c r="P239" s="1008"/>
      <c r="Q239" s="1008"/>
      <c r="R239" s="1008"/>
      <c r="S239" s="37" t="s">
        <v>991</v>
      </c>
      <c r="T239" s="37"/>
      <c r="U239" s="1003"/>
      <c r="V239" s="1003"/>
      <c r="W239" s="1003"/>
      <c r="X239" s="37" t="s">
        <v>992</v>
      </c>
      <c r="Z239" s="1008"/>
      <c r="AA239" s="1008"/>
      <c r="AB239" s="1008"/>
      <c r="AC239" s="1008"/>
      <c r="AD239" s="1008"/>
      <c r="AE239" s="1008"/>
      <c r="AM239" s="37"/>
      <c r="AN239" s="37"/>
      <c r="BB239" t="s">
        <v>993</v>
      </c>
      <c r="BG239" s="334">
        <f>IF(AND(AND($M$251="for profit",$M$259="for profit",$M$267="for profit")),3,0)</f>
        <v>0</v>
      </c>
    </row>
    <row r="240" spans="1:59" ht="12.9" customHeight="1">
      <c r="D240" s="37" t="s">
        <v>994</v>
      </c>
      <c r="E240" s="37"/>
      <c r="F240" s="37"/>
      <c r="M240" s="1010" t="s">
        <v>995</v>
      </c>
      <c r="N240" s="1010"/>
      <c r="O240" s="1010"/>
      <c r="P240" s="1010"/>
      <c r="Q240" s="1010"/>
      <c r="R240" s="1010"/>
      <c r="S240" s="1010"/>
      <c r="T240" s="1010"/>
      <c r="U240" s="1010"/>
      <c r="V240" s="1010"/>
      <c r="W240" s="1010"/>
      <c r="X240" s="1010"/>
      <c r="Y240" s="1010"/>
      <c r="Z240" s="1010"/>
      <c r="AA240" s="1010"/>
      <c r="AB240" s="1010"/>
      <c r="AC240" s="1010"/>
      <c r="AD240" s="1010"/>
      <c r="AE240" s="1010"/>
      <c r="AF240" s="37"/>
      <c r="AG240" s="37"/>
      <c r="AH240" s="37"/>
      <c r="AI240" s="37"/>
      <c r="AJ240" s="37"/>
      <c r="AK240" s="37"/>
      <c r="AL240" s="37"/>
      <c r="AN240" s="37"/>
      <c r="AO240" s="37"/>
      <c r="BB240" t="s">
        <v>993</v>
      </c>
      <c r="BG240" s="335">
        <f>IF(AND(AND($M$251="for profit",$M$259="for profit",$M$267="(select one)")),3,0)</f>
        <v>0</v>
      </c>
    </row>
    <row r="241" spans="1:67" ht="12.9" customHeight="1">
      <c r="A241" s="3" t="s">
        <v>826</v>
      </c>
      <c r="C241" s="3" t="s">
        <v>996</v>
      </c>
      <c r="M241" s="1004" t="s">
        <v>969</v>
      </c>
      <c r="N241" s="1004"/>
      <c r="O241" s="1004"/>
      <c r="P241" s="1004"/>
      <c r="Q241" s="1004"/>
      <c r="R241" s="1004"/>
      <c r="S241" s="1004"/>
      <c r="T241" s="1004"/>
      <c r="U241" s="37" t="s">
        <v>997</v>
      </c>
      <c r="AA241" s="1007"/>
      <c r="AB241" s="1007"/>
      <c r="AC241" s="1007"/>
      <c r="AD241" s="1007"/>
      <c r="AE241" s="1007"/>
      <c r="AF241" s="1007"/>
      <c r="AG241" s="1007"/>
      <c r="AH241" s="1007"/>
      <c r="AI241" s="1007"/>
      <c r="AJ241" s="1007"/>
      <c r="AK241" s="1007"/>
      <c r="AL241" s="37"/>
      <c r="AM241" s="37"/>
      <c r="AN241" s="37"/>
      <c r="AO241" s="37"/>
      <c r="BB241" t="s">
        <v>993</v>
      </c>
      <c r="BG241" s="335">
        <f>IF(AND(AND($M$251="for profit",$M$259="(select one)",$M$267="(select one)")),3,0)</f>
        <v>0</v>
      </c>
    </row>
    <row r="242" spans="1:67" ht="12.9" customHeight="1">
      <c r="D242" t="s">
        <v>998</v>
      </c>
      <c r="M242" s="1002"/>
      <c r="N242" s="1005"/>
      <c r="O242" s="1005"/>
      <c r="P242" s="1005"/>
      <c r="Q242" s="1005"/>
      <c r="R242" s="1005"/>
      <c r="S242" s="1005"/>
      <c r="T242" s="1005"/>
      <c r="U242" s="1005"/>
      <c r="V242" s="1005"/>
      <c r="W242" s="1005"/>
      <c r="X242" s="1005"/>
      <c r="Y242" s="1005"/>
      <c r="Z242" s="1005"/>
      <c r="AA242" s="1005"/>
      <c r="AB242" s="1005"/>
      <c r="AC242" s="1005"/>
      <c r="AD242" s="1005"/>
      <c r="AE242" s="1005"/>
      <c r="AF242" s="823" t="str">
        <f>IF(AND(M241="other",M242=""),"!","")</f>
        <v/>
      </c>
      <c r="AG242" s="823"/>
      <c r="AH242" s="37"/>
      <c r="AI242" s="37"/>
      <c r="AJ242" s="37"/>
      <c r="AK242" s="37"/>
      <c r="AL242" s="37"/>
    </row>
    <row r="243" spans="1:67" ht="12.9" customHeight="1">
      <c r="D243" s="37"/>
      <c r="AM243" s="37"/>
    </row>
    <row r="244" spans="1:67" ht="12.9" customHeight="1">
      <c r="A244" s="3" t="s">
        <v>907</v>
      </c>
      <c r="C244" s="3" t="s">
        <v>128</v>
      </c>
      <c r="D244" s="37"/>
      <c r="L244" s="12"/>
      <c r="M244" s="12"/>
      <c r="N244" s="12"/>
      <c r="AN244" s="37"/>
      <c r="BB244" t="s">
        <v>320</v>
      </c>
      <c r="BH244">
        <v>1</v>
      </c>
      <c r="BI244" t="s">
        <v>999</v>
      </c>
    </row>
    <row r="245" spans="1:67" ht="12.9" customHeight="1">
      <c r="A245" s="861"/>
      <c r="C245" s="55" t="s">
        <v>1000</v>
      </c>
      <c r="D245" s="37" t="s">
        <v>1001</v>
      </c>
      <c r="E245" s="37"/>
      <c r="F245" s="37"/>
      <c r="G245" s="37"/>
      <c r="H245" s="37"/>
      <c r="I245" s="37"/>
      <c r="J245" s="37"/>
      <c r="K245" s="37"/>
      <c r="L245" s="37"/>
      <c r="M245" s="1255" t="s">
        <v>698</v>
      </c>
      <c r="N245" s="1255"/>
      <c r="O245" s="1255"/>
      <c r="P245" s="1255"/>
      <c r="Q245" s="1255"/>
      <c r="R245" s="1255"/>
      <c r="S245" s="1255"/>
      <c r="T245" s="1255"/>
      <c r="U245" s="1255"/>
      <c r="V245" s="1255"/>
      <c r="W245" s="1255"/>
      <c r="X245" s="1255"/>
      <c r="Y245" s="1255"/>
      <c r="Z245" s="1255"/>
      <c r="AA245" s="1255"/>
      <c r="AB245" s="1255"/>
      <c r="AC245" s="1255"/>
      <c r="AD245" s="1255"/>
      <c r="AE245" s="1255"/>
      <c r="AF245" s="1255" t="s">
        <v>1002</v>
      </c>
      <c r="AG245" s="1255"/>
      <c r="AH245" s="1255"/>
      <c r="AI245" s="1255"/>
      <c r="AJ245" s="1255"/>
      <c r="AK245" s="1255"/>
      <c r="AM245" s="37"/>
      <c r="AN245" s="37"/>
      <c r="BB245" s="37" t="s">
        <v>1003</v>
      </c>
      <c r="BH245">
        <v>2</v>
      </c>
      <c r="BI245" t="s">
        <v>963</v>
      </c>
      <c r="BO245" s="871" t="str">
        <f>IFERROR(VLOOKUP(AZ260,BH244:BI246,2,FALSE),"")</f>
        <v/>
      </c>
    </row>
    <row r="246" spans="1:67" ht="12.9" customHeight="1">
      <c r="A246" s="861"/>
      <c r="B246" s="37"/>
      <c r="C246" s="37"/>
      <c r="D246" s="37" t="s">
        <v>981</v>
      </c>
      <c r="E246" s="37"/>
      <c r="F246" s="37"/>
      <c r="G246" s="37"/>
      <c r="H246" s="37"/>
      <c r="I246" s="37"/>
      <c r="J246" s="37"/>
      <c r="K246" s="37"/>
      <c r="L246" s="37"/>
      <c r="M246" s="1002" t="s">
        <v>982</v>
      </c>
      <c r="N246" s="1002"/>
      <c r="O246" s="1002"/>
      <c r="P246" s="1002"/>
      <c r="Q246" s="1002"/>
      <c r="R246" s="1002"/>
      <c r="S246" s="1002"/>
      <c r="T246" s="1002"/>
      <c r="U246" s="1002"/>
      <c r="V246" s="1002"/>
      <c r="W246" s="1002"/>
      <c r="X246" s="1002"/>
      <c r="Y246" s="1002"/>
      <c r="Z246" s="1002"/>
      <c r="AA246" s="1002"/>
      <c r="AB246" s="1002"/>
      <c r="AC246" s="1002"/>
      <c r="AD246" s="1002"/>
      <c r="AE246" s="1002"/>
      <c r="AL246" s="37"/>
      <c r="AN246" s="37"/>
      <c r="BB246" s="37" t="s">
        <v>1004</v>
      </c>
      <c r="BH246">
        <v>3</v>
      </c>
      <c r="BI246" t="s">
        <v>1005</v>
      </c>
    </row>
    <row r="247" spans="1:67" ht="12.9" customHeight="1">
      <c r="A247" s="861"/>
      <c r="B247" s="37"/>
      <c r="C247" s="37"/>
      <c r="D247" s="37" t="s">
        <v>845</v>
      </c>
      <c r="E247" s="37"/>
      <c r="M247" s="1002" t="s">
        <v>984</v>
      </c>
      <c r="N247" s="1002"/>
      <c r="O247" s="1002"/>
      <c r="P247" s="1002"/>
      <c r="Q247" s="1002"/>
      <c r="R247" s="1002"/>
      <c r="S247" s="1002"/>
      <c r="T247" s="1002"/>
      <c r="V247" s="806" t="s">
        <v>985</v>
      </c>
      <c r="W247" s="1003" t="s">
        <v>986</v>
      </c>
      <c r="X247" s="1003"/>
      <c r="Y247" s="37" t="s">
        <v>849</v>
      </c>
      <c r="AC247" s="1002">
        <v>93291</v>
      </c>
      <c r="AD247" s="1002"/>
      <c r="AE247" s="1002"/>
      <c r="AN247" s="37"/>
    </row>
    <row r="248" spans="1:67" ht="12.9" customHeight="1">
      <c r="A248" s="861"/>
      <c r="B248" s="37"/>
      <c r="C248" s="37"/>
      <c r="D248" s="37" t="s">
        <v>987</v>
      </c>
      <c r="E248" s="37"/>
      <c r="F248" s="37"/>
      <c r="G248" s="37"/>
      <c r="H248" s="37"/>
      <c r="I248" s="37"/>
      <c r="J248" s="37"/>
      <c r="K248" s="37"/>
      <c r="L248" s="861"/>
      <c r="M248" s="1002" t="s">
        <v>988</v>
      </c>
      <c r="N248" s="1002"/>
      <c r="O248" s="1002"/>
      <c r="P248" s="1002"/>
      <c r="Q248" s="1002"/>
      <c r="R248" s="1002"/>
      <c r="S248" s="1002"/>
      <c r="T248" s="1002"/>
      <c r="U248" s="1002"/>
      <c r="V248" s="1002"/>
      <c r="W248" s="1002"/>
      <c r="X248" s="1002"/>
      <c r="Y248" s="1002"/>
      <c r="Z248" s="1002"/>
      <c r="AA248" s="1002"/>
      <c r="AB248" s="1002"/>
      <c r="AC248" s="1002"/>
      <c r="AD248" s="1002"/>
      <c r="AE248" s="1002"/>
      <c r="AJ248" s="37"/>
      <c r="AK248" s="37"/>
      <c r="AL248" s="37"/>
      <c r="AN248" s="37"/>
    </row>
    <row r="249" spans="1:67" ht="12.9" customHeight="1">
      <c r="A249" s="861"/>
      <c r="B249" s="37"/>
      <c r="C249" s="37"/>
      <c r="D249" s="37" t="s">
        <v>989</v>
      </c>
      <c r="E249" s="37"/>
      <c r="F249" s="37"/>
      <c r="M249" s="1008" t="s">
        <v>990</v>
      </c>
      <c r="N249" s="1008"/>
      <c r="O249" s="1008"/>
      <c r="P249" s="1008"/>
      <c r="Q249" s="1008"/>
      <c r="R249" s="1008"/>
      <c r="S249" s="37" t="s">
        <v>991</v>
      </c>
      <c r="T249" s="37"/>
      <c r="U249" s="1003"/>
      <c r="V249" s="1003"/>
      <c r="W249" s="1003"/>
      <c r="X249" s="37" t="s">
        <v>992</v>
      </c>
      <c r="Z249" s="1008"/>
      <c r="AA249" s="1008"/>
      <c r="AB249" s="1008"/>
      <c r="AC249" s="1008"/>
      <c r="AD249" s="1008"/>
      <c r="AE249" s="1008"/>
      <c r="AM249" s="37"/>
      <c r="AN249" s="37"/>
    </row>
    <row r="250" spans="1:67" ht="12.9" customHeight="1">
      <c r="A250" s="861"/>
      <c r="B250" s="37"/>
      <c r="C250" s="37"/>
      <c r="D250" s="37" t="s">
        <v>994</v>
      </c>
      <c r="E250" s="37"/>
      <c r="F250" s="37"/>
      <c r="M250" s="1010" t="str">
        <f>M240</f>
        <v>betsyg@selfhelpenterprises.org</v>
      </c>
      <c r="N250" s="1010"/>
      <c r="O250" s="1010"/>
      <c r="P250" s="1010"/>
      <c r="Q250" s="1010"/>
      <c r="R250" s="1010"/>
      <c r="S250" s="1010"/>
      <c r="T250" s="1010"/>
      <c r="U250" s="1010"/>
      <c r="V250" s="1010"/>
      <c r="W250" s="1010"/>
      <c r="X250" s="1010"/>
      <c r="Y250" s="1010"/>
      <c r="Z250" s="1010"/>
      <c r="AA250" s="1010"/>
      <c r="AB250" s="1010"/>
      <c r="AC250" s="1010"/>
      <c r="AD250" s="1010"/>
      <c r="AE250" s="1010"/>
      <c r="AG250" s="37"/>
      <c r="AH250" s="37"/>
      <c r="AI250" s="37"/>
      <c r="AJ250" s="37"/>
      <c r="AK250" s="37"/>
      <c r="AL250" s="37"/>
    </row>
    <row r="251" spans="1:67" ht="12.9" customHeight="1">
      <c r="A251" s="18"/>
      <c r="B251" s="37"/>
      <c r="C251" s="55"/>
      <c r="D251" s="37" t="s">
        <v>1006</v>
      </c>
      <c r="E251" s="37"/>
      <c r="F251" s="37"/>
      <c r="G251" s="37"/>
      <c r="H251" s="37"/>
      <c r="I251" s="37"/>
      <c r="J251" s="37"/>
      <c r="K251" s="37"/>
      <c r="L251" s="37"/>
      <c r="M251" s="1004" t="s">
        <v>999</v>
      </c>
      <c r="N251" s="1004"/>
      <c r="O251" s="1004"/>
      <c r="P251" s="1004"/>
      <c r="Q251" s="1004"/>
      <c r="R251" s="1004"/>
      <c r="S251" s="1004"/>
      <c r="T251" s="1004"/>
      <c r="U251" s="37" t="s">
        <v>997</v>
      </c>
      <c r="AA251" s="1007"/>
      <c r="AB251" s="1007"/>
      <c r="AC251" s="1007"/>
      <c r="AD251" s="1007"/>
      <c r="AE251" s="1007"/>
      <c r="AF251" s="1007"/>
      <c r="AG251" s="1007"/>
      <c r="AH251" s="1007"/>
      <c r="AI251" s="1007"/>
      <c r="AJ251" s="1007"/>
      <c r="AK251" s="1007"/>
      <c r="AM251" s="37"/>
    </row>
    <row r="252" spans="1:67" ht="12.9" customHeight="1">
      <c r="A252" s="861"/>
      <c r="B252" s="37"/>
      <c r="C252" s="37"/>
      <c r="D252" s="37"/>
      <c r="E252" s="37"/>
      <c r="F252" s="37"/>
      <c r="G252" s="37"/>
      <c r="H252" s="37"/>
      <c r="I252" s="37"/>
      <c r="J252" s="37"/>
      <c r="K252" s="37"/>
      <c r="L252" s="37"/>
      <c r="AG252" s="37"/>
      <c r="AH252" s="37"/>
      <c r="AI252" s="37"/>
      <c r="AJ252" s="37"/>
    </row>
    <row r="253" spans="1:67" ht="12.9" customHeight="1">
      <c r="A253" s="3"/>
      <c r="B253" s="37"/>
      <c r="C253" s="55" t="s">
        <v>1007</v>
      </c>
      <c r="D253" s="37" t="s">
        <v>1008</v>
      </c>
      <c r="E253" s="37"/>
      <c r="F253" s="37"/>
      <c r="G253" s="37"/>
      <c r="H253" s="37"/>
      <c r="I253" s="37"/>
      <c r="J253" s="37"/>
      <c r="K253" s="37"/>
      <c r="L253" s="37"/>
      <c r="M253" s="1255"/>
      <c r="N253" s="1255"/>
      <c r="O253" s="1255"/>
      <c r="P253" s="1255"/>
      <c r="Q253" s="1255"/>
      <c r="R253" s="1255"/>
      <c r="S253" s="1255"/>
      <c r="T253" s="1255"/>
      <c r="U253" s="1255"/>
      <c r="V253" s="1255"/>
      <c r="W253" s="1255"/>
      <c r="X253" s="1255"/>
      <c r="Y253" s="1255"/>
      <c r="Z253" s="1255"/>
      <c r="AA253" s="1255"/>
      <c r="AB253" s="1255"/>
      <c r="AC253" s="1255"/>
      <c r="AD253" s="1255"/>
      <c r="AE253" s="1255"/>
      <c r="AF253" s="1255" t="s">
        <v>320</v>
      </c>
      <c r="AG253" s="1255"/>
      <c r="AH253" s="1255"/>
      <c r="AI253" s="1255"/>
      <c r="AJ253" s="1255"/>
      <c r="AK253" s="1255"/>
      <c r="AM253" s="37"/>
    </row>
    <row r="254" spans="1:67" ht="12.9" customHeight="1">
      <c r="A254" s="861"/>
      <c r="B254" s="37"/>
      <c r="C254" s="37"/>
      <c r="D254" s="37" t="s">
        <v>981</v>
      </c>
      <c r="E254" s="37"/>
      <c r="F254" s="37"/>
      <c r="G254" s="37"/>
      <c r="H254" s="37"/>
      <c r="I254" s="37"/>
      <c r="J254" s="37"/>
      <c r="K254" s="37"/>
      <c r="L254" s="37"/>
      <c r="M254" s="1002"/>
      <c r="N254" s="1002"/>
      <c r="O254" s="1002"/>
      <c r="P254" s="1002"/>
      <c r="Q254" s="1002"/>
      <c r="R254" s="1002"/>
      <c r="S254" s="1002"/>
      <c r="T254" s="1002"/>
      <c r="U254" s="1002"/>
      <c r="V254" s="1002"/>
      <c r="W254" s="1002"/>
      <c r="X254" s="1002"/>
      <c r="Y254" s="1002"/>
      <c r="Z254" s="1002"/>
      <c r="AA254" s="1002"/>
      <c r="AB254" s="1002"/>
      <c r="AC254" s="1002"/>
      <c r="AD254" s="1002"/>
      <c r="AE254" s="1002"/>
      <c r="AL254" s="37"/>
    </row>
    <row r="255" spans="1:67" ht="12.9" customHeight="1">
      <c r="A255" s="861"/>
      <c r="B255" s="37"/>
      <c r="C255" s="37"/>
      <c r="D255" s="37" t="s">
        <v>845</v>
      </c>
      <c r="E255" s="37"/>
      <c r="M255" s="1002"/>
      <c r="N255" s="1002"/>
      <c r="O255" s="1002"/>
      <c r="P255" s="1002"/>
      <c r="Q255" s="1002"/>
      <c r="R255" s="1002"/>
      <c r="S255" s="1002"/>
      <c r="T255" s="1002"/>
      <c r="V255" s="806" t="s">
        <v>985</v>
      </c>
      <c r="W255" s="1003"/>
      <c r="X255" s="1003"/>
      <c r="Y255" s="37" t="s">
        <v>849</v>
      </c>
      <c r="AC255" s="1002"/>
      <c r="AD255" s="1002"/>
      <c r="AE255" s="1002"/>
    </row>
    <row r="256" spans="1:67" ht="12.9" customHeight="1">
      <c r="A256" s="861"/>
      <c r="B256" s="37"/>
      <c r="C256" s="37"/>
      <c r="D256" s="37" t="s">
        <v>987</v>
      </c>
      <c r="E256" s="37"/>
      <c r="F256" s="37"/>
      <c r="G256" s="37"/>
      <c r="H256" s="37"/>
      <c r="I256" s="37"/>
      <c r="J256" s="37"/>
      <c r="K256" s="37"/>
      <c r="L256" s="861"/>
      <c r="M256" s="1002"/>
      <c r="N256" s="1002"/>
      <c r="O256" s="1002"/>
      <c r="P256" s="1002"/>
      <c r="Q256" s="1002"/>
      <c r="R256" s="1002"/>
      <c r="S256" s="1002"/>
      <c r="T256" s="1002"/>
      <c r="U256" s="1002"/>
      <c r="V256" s="1002"/>
      <c r="W256" s="1002"/>
      <c r="X256" s="1002"/>
      <c r="Y256" s="1002"/>
      <c r="Z256" s="1002"/>
      <c r="AA256" s="1002"/>
      <c r="AB256" s="1002"/>
      <c r="AC256" s="1002"/>
      <c r="AD256" s="1002"/>
      <c r="AE256" s="1002"/>
      <c r="AJ256" s="37"/>
      <c r="AK256" s="37"/>
      <c r="AL256" s="37"/>
    </row>
    <row r="257" spans="1:53" ht="12.9" customHeight="1">
      <c r="A257" s="861"/>
      <c r="B257" s="37"/>
      <c r="C257" s="37"/>
      <c r="D257" s="37" t="s">
        <v>989</v>
      </c>
      <c r="E257" s="37"/>
      <c r="F257" s="37"/>
      <c r="M257" s="1008"/>
      <c r="N257" s="1008"/>
      <c r="O257" s="1008"/>
      <c r="P257" s="1008"/>
      <c r="Q257" s="1008"/>
      <c r="R257" s="1008"/>
      <c r="S257" s="37" t="s">
        <v>991</v>
      </c>
      <c r="T257" s="37"/>
      <c r="U257" s="1003"/>
      <c r="V257" s="1003"/>
      <c r="W257" s="1003"/>
      <c r="X257" s="37" t="s">
        <v>992</v>
      </c>
      <c r="Z257" s="1008"/>
      <c r="AA257" s="1008"/>
      <c r="AB257" s="1008"/>
      <c r="AC257" s="1008"/>
      <c r="AD257" s="1008"/>
      <c r="AE257" s="1008"/>
      <c r="BA257" s="37"/>
    </row>
    <row r="258" spans="1:53" ht="12.9" customHeight="1">
      <c r="A258" s="861"/>
      <c r="B258" s="37"/>
      <c r="C258" s="37"/>
      <c r="D258" s="37" t="s">
        <v>994</v>
      </c>
      <c r="E258" s="37"/>
      <c r="F258" s="37"/>
      <c r="M258" s="1010"/>
      <c r="N258" s="1010"/>
      <c r="O258" s="1010"/>
      <c r="P258" s="1010"/>
      <c r="Q258" s="1010"/>
      <c r="R258" s="1010"/>
      <c r="S258" s="1010"/>
      <c r="T258" s="1010"/>
      <c r="U258" s="1010"/>
      <c r="V258" s="1010"/>
      <c r="W258" s="1010"/>
      <c r="X258" s="1010"/>
      <c r="Y258" s="1010"/>
      <c r="Z258" s="1010"/>
      <c r="AA258" s="1010"/>
      <c r="AB258" s="1010"/>
      <c r="AC258" s="1010"/>
      <c r="AD258" s="1010"/>
      <c r="AE258" s="1010"/>
      <c r="AG258" s="37"/>
      <c r="AH258" s="37"/>
      <c r="AI258" s="37"/>
      <c r="AJ258" s="37"/>
      <c r="AK258" s="37"/>
      <c r="AL258" s="37"/>
    </row>
    <row r="259" spans="1:53" ht="12.9" customHeight="1">
      <c r="A259" s="18"/>
      <c r="B259" s="37"/>
      <c r="C259" s="55"/>
      <c r="D259" s="37" t="s">
        <v>1006</v>
      </c>
      <c r="E259" s="37"/>
      <c r="F259" s="37"/>
      <c r="G259" s="37"/>
      <c r="H259" s="37"/>
      <c r="I259" s="37"/>
      <c r="J259" s="37"/>
      <c r="K259" s="37"/>
      <c r="L259" s="37"/>
      <c r="M259" s="1004"/>
      <c r="N259" s="1004"/>
      <c r="O259" s="1004"/>
      <c r="P259" s="1004"/>
      <c r="Q259" s="1004"/>
      <c r="R259" s="1004"/>
      <c r="S259" s="1004"/>
      <c r="T259" s="1004"/>
      <c r="U259" s="37" t="s">
        <v>997</v>
      </c>
      <c r="AA259" s="1007"/>
      <c r="AB259" s="1007"/>
      <c r="AC259" s="1007"/>
      <c r="AD259" s="1007"/>
      <c r="AE259" s="1007"/>
      <c r="AF259" s="1007"/>
      <c r="AG259" s="1007"/>
      <c r="AH259" s="1007"/>
      <c r="AI259" s="1007"/>
      <c r="AJ259" s="1007"/>
      <c r="AK259" s="1007"/>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0</v>
      </c>
    </row>
    <row r="261" spans="1:53" ht="12.9" customHeight="1">
      <c r="A261" s="18"/>
      <c r="B261" s="37"/>
      <c r="C261" s="55" t="s">
        <v>1009</v>
      </c>
      <c r="D261" s="37" t="s">
        <v>1001</v>
      </c>
      <c r="E261" s="37"/>
      <c r="F261" s="37"/>
      <c r="G261" s="37"/>
      <c r="H261" s="37"/>
      <c r="I261" s="37"/>
      <c r="J261" s="37"/>
      <c r="K261" s="37"/>
      <c r="L261" s="37"/>
      <c r="M261" s="1255"/>
      <c r="N261" s="1255"/>
      <c r="O261" s="1255"/>
      <c r="P261" s="1255"/>
      <c r="Q261" s="1255"/>
      <c r="R261" s="1255"/>
      <c r="S261" s="1255"/>
      <c r="T261" s="1255"/>
      <c r="U261" s="1255"/>
      <c r="V261" s="1255"/>
      <c r="W261" s="1255"/>
      <c r="X261" s="1255"/>
      <c r="Y261" s="1255"/>
      <c r="Z261" s="1255"/>
      <c r="AA261" s="1255"/>
      <c r="AB261" s="1255"/>
      <c r="AC261" s="1255"/>
      <c r="AD261" s="1255"/>
      <c r="AE261" s="1255"/>
      <c r="AF261" s="1255" t="s">
        <v>320</v>
      </c>
      <c r="AG261" s="1255"/>
      <c r="AH261" s="1255"/>
      <c r="AI261" s="1255"/>
      <c r="AJ261" s="1255"/>
      <c r="AK261" s="1255"/>
      <c r="AL261" s="37"/>
    </row>
    <row r="262" spans="1:53" ht="12.9" customHeight="1">
      <c r="A262" s="18"/>
      <c r="B262" s="37"/>
      <c r="C262" s="37"/>
      <c r="D262" s="37" t="s">
        <v>981</v>
      </c>
      <c r="E262" s="37"/>
      <c r="F262" s="37"/>
      <c r="G262" s="37"/>
      <c r="H262" s="37"/>
      <c r="I262" s="37"/>
      <c r="J262" s="37"/>
      <c r="K262" s="37"/>
      <c r="L262" s="37"/>
      <c r="M262" s="1002"/>
      <c r="N262" s="1002"/>
      <c r="O262" s="1002"/>
      <c r="P262" s="1002"/>
      <c r="Q262" s="1002"/>
      <c r="R262" s="1002"/>
      <c r="S262" s="1002"/>
      <c r="T262" s="1002"/>
      <c r="U262" s="1002"/>
      <c r="V262" s="1002"/>
      <c r="W262" s="1002"/>
      <c r="X262" s="1002"/>
      <c r="Y262" s="1002"/>
      <c r="Z262" s="1002"/>
      <c r="AA262" s="1002"/>
      <c r="AB262" s="1002"/>
      <c r="AC262" s="1002"/>
      <c r="AD262" s="1002"/>
      <c r="AE262" s="1002"/>
      <c r="AL262" s="37"/>
      <c r="BA262" s="37"/>
    </row>
    <row r="263" spans="1:53" ht="12.9" customHeight="1">
      <c r="A263" s="18"/>
      <c r="B263" s="37"/>
      <c r="C263" s="37"/>
      <c r="D263" s="37" t="s">
        <v>845</v>
      </c>
      <c r="E263" s="37"/>
      <c r="M263" s="1002"/>
      <c r="N263" s="1002"/>
      <c r="O263" s="1002"/>
      <c r="P263" s="1002"/>
      <c r="Q263" s="1002"/>
      <c r="R263" s="1002"/>
      <c r="S263" s="1002"/>
      <c r="T263" s="1002"/>
      <c r="V263" s="806" t="s">
        <v>985</v>
      </c>
      <c r="W263" s="1003"/>
      <c r="X263" s="1003"/>
      <c r="Y263" s="37" t="s">
        <v>849</v>
      </c>
      <c r="AC263" s="1002"/>
      <c r="AD263" s="1002"/>
      <c r="AE263" s="1002"/>
      <c r="AL263" s="37"/>
      <c r="BA263" s="37"/>
    </row>
    <row r="264" spans="1:53" ht="12.9" customHeight="1">
      <c r="A264" s="18"/>
      <c r="B264" s="37"/>
      <c r="C264" s="37"/>
      <c r="D264" s="37" t="s">
        <v>987</v>
      </c>
      <c r="E264" s="37"/>
      <c r="F264" s="37"/>
      <c r="G264" s="37"/>
      <c r="H264" s="37"/>
      <c r="I264" s="37"/>
      <c r="J264" s="37"/>
      <c r="K264" s="37"/>
      <c r="L264" s="861"/>
      <c r="M264" s="1002"/>
      <c r="N264" s="1002"/>
      <c r="O264" s="1002"/>
      <c r="P264" s="1002"/>
      <c r="Q264" s="1002"/>
      <c r="R264" s="1002"/>
      <c r="S264" s="1002"/>
      <c r="T264" s="1002"/>
      <c r="U264" s="1002"/>
      <c r="V264" s="1002"/>
      <c r="W264" s="1002"/>
      <c r="X264" s="1002"/>
      <c r="Y264" s="1002"/>
      <c r="Z264" s="1002"/>
      <c r="AA264" s="1002"/>
      <c r="AB264" s="1002"/>
      <c r="AC264" s="1002"/>
      <c r="AD264" s="1002"/>
      <c r="AE264" s="1002"/>
      <c r="AJ264" s="37"/>
      <c r="AK264" s="37"/>
      <c r="AL264" s="37"/>
      <c r="BA264" s="37"/>
    </row>
    <row r="265" spans="1:53" ht="12.9" customHeight="1">
      <c r="A265" s="18"/>
      <c r="B265" s="37"/>
      <c r="C265" s="37"/>
      <c r="D265" s="37" t="s">
        <v>989</v>
      </c>
      <c r="E265" s="37"/>
      <c r="F265" s="37"/>
      <c r="M265" s="1008"/>
      <c r="N265" s="1008"/>
      <c r="O265" s="1008"/>
      <c r="P265" s="1008"/>
      <c r="Q265" s="1008"/>
      <c r="R265" s="1008"/>
      <c r="S265" s="37" t="s">
        <v>991</v>
      </c>
      <c r="T265" s="37"/>
      <c r="U265" s="1003"/>
      <c r="V265" s="1003"/>
      <c r="W265" s="1003"/>
      <c r="X265" s="37" t="s">
        <v>992</v>
      </c>
      <c r="Z265" s="1008"/>
      <c r="AA265" s="1008"/>
      <c r="AB265" s="1008"/>
      <c r="AC265" s="1008"/>
      <c r="AD265" s="1008"/>
      <c r="AE265" s="1008"/>
      <c r="AL265" s="37"/>
      <c r="BA265" s="37"/>
    </row>
    <row r="266" spans="1:53" ht="12.9" customHeight="1">
      <c r="A266" s="18"/>
      <c r="B266" s="37"/>
      <c r="C266" s="37"/>
      <c r="D266" s="37" t="s">
        <v>994</v>
      </c>
      <c r="E266" s="37"/>
      <c r="F266" s="37"/>
      <c r="M266" s="1010"/>
      <c r="N266" s="1010"/>
      <c r="O266" s="1010"/>
      <c r="P266" s="1010"/>
      <c r="Q266" s="1010"/>
      <c r="R266" s="1010"/>
      <c r="S266" s="1010"/>
      <c r="T266" s="1010"/>
      <c r="U266" s="1010"/>
      <c r="V266" s="1010"/>
      <c r="W266" s="1010"/>
      <c r="X266" s="1010"/>
      <c r="Y266" s="1010"/>
      <c r="Z266" s="1010"/>
      <c r="AA266" s="1010"/>
      <c r="AB266" s="1010"/>
      <c r="AC266" s="1010"/>
      <c r="AD266" s="1010"/>
      <c r="AE266" s="1010"/>
      <c r="AG266" s="37"/>
      <c r="AH266" s="37"/>
      <c r="AI266" s="37"/>
      <c r="AJ266" s="37"/>
      <c r="AK266" s="37"/>
      <c r="AL266" s="37"/>
      <c r="BA266" s="37"/>
    </row>
    <row r="267" spans="1:53" ht="12.9" customHeight="1">
      <c r="A267" s="18"/>
      <c r="B267" s="37"/>
      <c r="C267" s="55"/>
      <c r="D267" s="37" t="s">
        <v>1006</v>
      </c>
      <c r="E267" s="37"/>
      <c r="F267" s="37"/>
      <c r="G267" s="37"/>
      <c r="H267" s="37"/>
      <c r="I267" s="37"/>
      <c r="J267" s="37"/>
      <c r="K267" s="37"/>
      <c r="L267" s="37"/>
      <c r="M267" s="1004" t="s">
        <v>320</v>
      </c>
      <c r="N267" s="1004"/>
      <c r="O267" s="1004"/>
      <c r="P267" s="1004"/>
      <c r="Q267" s="1004"/>
      <c r="R267" s="1004"/>
      <c r="S267" s="1004"/>
      <c r="T267" s="1004"/>
      <c r="U267" s="37" t="s">
        <v>997</v>
      </c>
      <c r="AA267" s="1007"/>
      <c r="AB267" s="1007"/>
      <c r="AC267" s="1007"/>
      <c r="AD267" s="1007"/>
      <c r="AE267" s="1007"/>
      <c r="AF267" s="1007"/>
      <c r="AG267" s="1007"/>
      <c r="AH267" s="1007"/>
      <c r="AI267" s="1007"/>
      <c r="AJ267" s="1007"/>
      <c r="AK267" s="1007"/>
      <c r="AL267" s="37"/>
      <c r="BA267" s="37"/>
    </row>
    <row r="268" spans="1:53" ht="12.9" customHeight="1">
      <c r="A268" s="861"/>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929</v>
      </c>
      <c r="B269" s="37"/>
      <c r="C269" s="3" t="s">
        <v>1010</v>
      </c>
      <c r="D269" s="37"/>
      <c r="E269" s="37"/>
      <c r="F269" s="37"/>
      <c r="G269" s="37"/>
      <c r="H269" s="37"/>
      <c r="I269" s="37"/>
      <c r="J269" s="37"/>
      <c r="K269" s="37"/>
      <c r="L269" s="37"/>
      <c r="M269" s="232"/>
      <c r="N269" s="232"/>
      <c r="O269" s="232"/>
      <c r="P269" s="232"/>
      <c r="Q269" s="232"/>
      <c r="T269" s="1009" t="str">
        <f>BO245</f>
        <v/>
      </c>
      <c r="U269" s="1009"/>
      <c r="V269" s="1009"/>
      <c r="W269" s="1009"/>
      <c r="X269" s="1009"/>
      <c r="Z269" s="386" t="s">
        <v>1011</v>
      </c>
      <c r="AA269" s="7"/>
      <c r="AB269" s="7"/>
      <c r="AC269" s="7"/>
      <c r="AD269" s="7"/>
      <c r="AE269" s="7"/>
      <c r="AF269" s="872"/>
      <c r="AG269" s="872"/>
      <c r="AH269" s="872"/>
      <c r="AI269" s="872"/>
      <c r="AJ269" s="872"/>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87" t="s">
        <v>1012</v>
      </c>
      <c r="AF270" s="37"/>
      <c r="AG270" s="37"/>
      <c r="AH270" s="37"/>
      <c r="AI270" s="37"/>
      <c r="AJ270" s="37"/>
      <c r="AL270" s="63"/>
      <c r="BA270" s="37"/>
    </row>
    <row r="271" spans="1:53" ht="12.9" customHeight="1">
      <c r="A271" s="3" t="s">
        <v>941</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88" t="s">
        <v>1013</v>
      </c>
      <c r="AA271" s="47"/>
      <c r="AB271" s="47"/>
      <c r="AC271" s="47"/>
      <c r="AD271" s="334"/>
      <c r="AE271" s="334"/>
      <c r="AF271" s="334"/>
      <c r="AG271" s="334"/>
      <c r="AH271" s="334"/>
      <c r="AI271" s="334"/>
      <c r="AJ271" s="334"/>
      <c r="AK271" s="334"/>
      <c r="AL271" s="389"/>
    </row>
    <row r="272" spans="1:53" ht="12.9" customHeight="1">
      <c r="A272" s="37"/>
      <c r="B272" s="38">
        <v>0</v>
      </c>
      <c r="D272" s="1002" t="s">
        <v>1004</v>
      </c>
      <c r="E272" s="1002"/>
      <c r="F272" s="1002"/>
      <c r="G272" s="1002"/>
      <c r="H272" s="1002"/>
      <c r="J272" t="s">
        <v>1014</v>
      </c>
      <c r="X272" s="1277">
        <v>45566</v>
      </c>
      <c r="Y272" s="1277"/>
      <c r="Z272" s="1277"/>
      <c r="AA272" s="1277"/>
      <c r="AB272" s="1277"/>
      <c r="AC272" s="1277"/>
      <c r="BA272" s="37"/>
    </row>
    <row r="273" spans="1:53" ht="12.9" customHeight="1">
      <c r="A273" s="37"/>
      <c r="B273" s="861"/>
      <c r="D273" s="39" t="s">
        <v>1015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1"/>
      <c r="AA274" s="401"/>
      <c r="AB274" s="401"/>
      <c r="AC274" s="401"/>
      <c r="AD274" s="401"/>
      <c r="AE274" s="37"/>
      <c r="AK274" s="37"/>
      <c r="AL274" s="37"/>
      <c r="BA274" s="37"/>
    </row>
    <row r="275" spans="1:53" ht="12.9" customHeight="1">
      <c r="A275" s="3" t="s">
        <v>949</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1016</v>
      </c>
      <c r="E276" s="37"/>
      <c r="F276" s="37"/>
      <c r="G276" s="37"/>
      <c r="H276" s="37"/>
      <c r="I276" s="37"/>
      <c r="J276" s="37"/>
      <c r="K276" s="37"/>
      <c r="L276" s="1255" t="s">
        <v>698</v>
      </c>
      <c r="M276" s="1255"/>
      <c r="N276" s="1255"/>
      <c r="O276" s="1255"/>
      <c r="P276" s="1255"/>
      <c r="Q276" s="1255"/>
      <c r="R276" s="1255"/>
      <c r="S276" s="1255"/>
      <c r="T276" s="1255"/>
      <c r="U276" s="1255"/>
      <c r="V276" s="1255"/>
      <c r="W276" s="1255"/>
      <c r="X276" s="1255"/>
      <c r="Y276" s="1255"/>
      <c r="Z276" s="1255"/>
      <c r="AA276" s="1255"/>
      <c r="AB276" s="1255"/>
      <c r="AC276" s="1255"/>
      <c r="AD276" s="1255"/>
      <c r="AE276" s="1255"/>
      <c r="AF276" s="1255"/>
      <c r="AG276" s="1255"/>
      <c r="AH276" s="1255"/>
      <c r="AI276" s="1255"/>
      <c r="AJ276" s="1255"/>
      <c r="AK276" s="37"/>
      <c r="AL276" s="37"/>
      <c r="BA276" s="37"/>
    </row>
    <row r="277" spans="1:53" ht="12.9" customHeight="1">
      <c r="D277" s="37" t="s">
        <v>981</v>
      </c>
      <c r="E277" s="37"/>
      <c r="F277" s="37"/>
      <c r="G277" s="37"/>
      <c r="H277" s="37"/>
      <c r="I277" s="37"/>
      <c r="J277" s="37"/>
      <c r="K277" s="37"/>
      <c r="L277" s="1002" t="s">
        <v>982</v>
      </c>
      <c r="M277" s="1002"/>
      <c r="N277" s="1002"/>
      <c r="O277" s="1002"/>
      <c r="P277" s="1002"/>
      <c r="Q277" s="1002"/>
      <c r="R277" s="1002"/>
      <c r="S277" s="1002"/>
      <c r="T277" s="1002"/>
      <c r="U277" s="1002"/>
      <c r="V277" s="1002"/>
      <c r="W277" s="1002"/>
      <c r="X277" s="1002"/>
      <c r="Y277" s="1002"/>
      <c r="Z277" s="1002"/>
      <c r="AA277" s="1002"/>
      <c r="AB277" s="1002"/>
      <c r="AC277" s="1002"/>
      <c r="AD277" s="1002"/>
      <c r="AK277" s="37"/>
      <c r="AL277" s="37"/>
      <c r="BA277" s="37"/>
    </row>
    <row r="278" spans="1:53" ht="12.9" customHeight="1">
      <c r="D278" s="37" t="s">
        <v>845</v>
      </c>
      <c r="E278" s="37"/>
      <c r="L278" s="1002" t="s">
        <v>984</v>
      </c>
      <c r="M278" s="1002"/>
      <c r="N278" s="1002"/>
      <c r="O278" s="1002"/>
      <c r="P278" s="1002"/>
      <c r="Q278" s="1002"/>
      <c r="R278" s="1002"/>
      <c r="S278" s="1002"/>
      <c r="U278" s="806" t="s">
        <v>985</v>
      </c>
      <c r="V278" s="1003" t="s">
        <v>986</v>
      </c>
      <c r="W278" s="1003"/>
      <c r="X278" s="37" t="s">
        <v>849</v>
      </c>
      <c r="AB278" s="1002">
        <v>93291</v>
      </c>
      <c r="AC278" s="1002"/>
      <c r="AD278" s="1002"/>
      <c r="AK278" s="37"/>
      <c r="AL278" s="37"/>
      <c r="BA278" s="37"/>
    </row>
    <row r="279" spans="1:53" ht="12.9" customHeight="1">
      <c r="D279" s="37" t="s">
        <v>987</v>
      </c>
      <c r="E279" s="37"/>
      <c r="F279" s="37"/>
      <c r="G279" s="37"/>
      <c r="H279" s="37"/>
      <c r="I279" s="37"/>
      <c r="J279" s="37"/>
      <c r="K279" s="861"/>
      <c r="L279" s="1002" t="s">
        <v>988</v>
      </c>
      <c r="M279" s="1002"/>
      <c r="N279" s="1002"/>
      <c r="O279" s="1002"/>
      <c r="P279" s="1002"/>
      <c r="Q279" s="1002"/>
      <c r="R279" s="1002"/>
      <c r="S279" s="1002"/>
      <c r="T279" s="1002"/>
      <c r="U279" s="1002"/>
      <c r="V279" s="1002"/>
      <c r="W279" s="1002"/>
      <c r="X279" s="1002"/>
      <c r="Y279" s="1002"/>
      <c r="Z279" s="1002"/>
      <c r="AA279" s="1002"/>
      <c r="AB279" s="1002"/>
      <c r="AC279" s="1002"/>
      <c r="AD279" s="1002"/>
      <c r="AI279" s="37"/>
      <c r="AJ279" s="37"/>
      <c r="AK279" s="37"/>
      <c r="AL279" s="37"/>
      <c r="BA279" s="37"/>
    </row>
    <row r="280" spans="1:53" ht="12.9" customHeight="1">
      <c r="D280" s="37" t="s">
        <v>989</v>
      </c>
      <c r="E280" s="37"/>
      <c r="F280" s="37"/>
      <c r="L280" s="1008" t="s">
        <v>990</v>
      </c>
      <c r="M280" s="1008"/>
      <c r="N280" s="1008"/>
      <c r="O280" s="1008"/>
      <c r="P280" s="1008"/>
      <c r="Q280" s="1008"/>
      <c r="R280" s="37" t="s">
        <v>991</v>
      </c>
      <c r="S280" s="37"/>
      <c r="T280" s="1003"/>
      <c r="U280" s="1003"/>
      <c r="V280" s="1003"/>
      <c r="W280" s="37" t="s">
        <v>992</v>
      </c>
      <c r="Y280" s="1008"/>
      <c r="Z280" s="1008"/>
      <c r="AA280" s="1008"/>
      <c r="AB280" s="1008"/>
      <c r="AC280" s="1008"/>
      <c r="AD280" s="1008"/>
      <c r="BA280" s="37"/>
    </row>
    <row r="281" spans="1:53" ht="12.9" customHeight="1">
      <c r="D281" s="37" t="s">
        <v>994</v>
      </c>
      <c r="E281" s="37"/>
      <c r="F281" s="37"/>
      <c r="L281" s="1010" t="str">
        <f>M240</f>
        <v>betsyg@selfhelpenterprises.org</v>
      </c>
      <c r="M281" s="1010"/>
      <c r="N281" s="1010"/>
      <c r="O281" s="1010"/>
      <c r="P281" s="1010"/>
      <c r="Q281" s="1010"/>
      <c r="R281" s="1010"/>
      <c r="S281" s="1010"/>
      <c r="T281" s="1010"/>
      <c r="U281" s="1010"/>
      <c r="V281" s="1010"/>
      <c r="W281" s="1010"/>
      <c r="X281" s="1010"/>
      <c r="Y281" s="1010"/>
      <c r="Z281" s="1010"/>
      <c r="AA281" s="1010"/>
      <c r="AB281" s="1010"/>
      <c r="AC281" s="1010"/>
      <c r="AD281" s="1010"/>
      <c r="AF281" s="37"/>
      <c r="AG281" s="37"/>
      <c r="AH281" s="37"/>
      <c r="AI281" s="37"/>
      <c r="AJ281" s="37"/>
      <c r="BA281" s="37"/>
    </row>
    <row r="282" spans="1:53" ht="12.9" customHeight="1">
      <c r="D282" s="37" t="s">
        <v>1017</v>
      </c>
      <c r="E282" s="37"/>
      <c r="F282" s="37"/>
      <c r="G282" s="37"/>
      <c r="H282" s="37"/>
      <c r="I282" s="37"/>
      <c r="L282" s="1003" t="s">
        <v>1018</v>
      </c>
      <c r="M282" s="1003"/>
      <c r="N282" s="1003"/>
      <c r="O282" s="1003"/>
      <c r="P282" s="1003"/>
      <c r="Q282" s="1003"/>
      <c r="R282" s="1003"/>
      <c r="S282" s="1003"/>
      <c r="T282" s="1003"/>
      <c r="U282" s="1003"/>
      <c r="V282" s="1003"/>
      <c r="W282" s="1003"/>
      <c r="X282" s="1003"/>
      <c r="Y282" s="1003"/>
      <c r="Z282" s="1003"/>
      <c r="AA282" s="1003"/>
      <c r="AB282" s="1003"/>
      <c r="AC282" s="1003"/>
      <c r="AD282" s="1003"/>
      <c r="AK282" s="37"/>
      <c r="AL282" s="37"/>
      <c r="BA282" s="37"/>
    </row>
    <row r="283" spans="1:53" ht="12.9" customHeight="1">
      <c r="L283" s="4" t="s">
        <v>1019</v>
      </c>
      <c r="BA283" s="37"/>
    </row>
    <row r="284" spans="1:53" ht="12.9" customHeight="1">
      <c r="A284" s="1006" t="s">
        <v>1020</v>
      </c>
      <c r="B284" s="1006"/>
      <c r="C284" s="1006"/>
      <c r="D284" s="1006"/>
      <c r="E284" s="1006"/>
      <c r="F284" s="1006"/>
      <c r="G284" s="1006"/>
      <c r="H284" s="1006"/>
      <c r="I284" s="1006"/>
      <c r="J284" s="1006"/>
      <c r="K284" s="1006"/>
      <c r="L284" s="1006"/>
      <c r="M284" s="1006"/>
      <c r="N284" s="1006"/>
      <c r="O284" s="1006"/>
      <c r="P284" s="1006"/>
      <c r="Q284" s="1006"/>
      <c r="R284" s="1006"/>
      <c r="S284" s="1006"/>
      <c r="T284" s="1006"/>
      <c r="U284" s="1006"/>
      <c r="V284" s="1006"/>
      <c r="W284" s="1006"/>
      <c r="X284" s="1006"/>
      <c r="Y284" s="1006"/>
      <c r="Z284" s="1006"/>
      <c r="AA284" s="1006"/>
      <c r="AB284" s="1006"/>
      <c r="AC284" s="1006"/>
      <c r="AD284" s="1006"/>
      <c r="AE284" s="1006"/>
      <c r="AF284" s="1006"/>
      <c r="AG284" s="1006"/>
      <c r="AH284" s="1006"/>
      <c r="AI284" s="1006"/>
      <c r="AJ284" s="1006"/>
      <c r="AK284" s="1006"/>
      <c r="AL284" s="1006"/>
      <c r="AM284" s="1006"/>
      <c r="AN284" s="1006"/>
      <c r="AO284" s="1006"/>
      <c r="AP284" s="1006"/>
      <c r="AQ284" s="1006"/>
      <c r="AR284" s="1006"/>
      <c r="AS284" s="1006"/>
      <c r="AT284" s="1006"/>
      <c r="BA284" s="37"/>
    </row>
    <row r="285" spans="1:53" ht="12.9" customHeight="1">
      <c r="A285" s="1006"/>
      <c r="B285" s="1006"/>
      <c r="C285" s="1006"/>
      <c r="D285" s="1006"/>
      <c r="E285" s="1006"/>
      <c r="F285" s="1006"/>
      <c r="G285" s="1006"/>
      <c r="H285" s="1006"/>
      <c r="I285" s="1006"/>
      <c r="J285" s="1006"/>
      <c r="K285" s="1006"/>
      <c r="L285" s="1006"/>
      <c r="M285" s="1006"/>
      <c r="N285" s="1006"/>
      <c r="O285" s="1006"/>
      <c r="P285" s="1006"/>
      <c r="Q285" s="1006"/>
      <c r="R285" s="1006"/>
      <c r="S285" s="1006"/>
      <c r="T285" s="1006"/>
      <c r="U285" s="1006"/>
      <c r="V285" s="1006"/>
      <c r="W285" s="1006"/>
      <c r="X285" s="1006"/>
      <c r="Y285" s="1006"/>
      <c r="Z285" s="1006"/>
      <c r="AA285" s="1006"/>
      <c r="AB285" s="1006"/>
      <c r="AC285" s="1006"/>
      <c r="AD285" s="1006"/>
      <c r="AE285" s="1006"/>
      <c r="AF285" s="1006"/>
      <c r="AG285" s="1006"/>
      <c r="AH285" s="1006"/>
      <c r="AI285" s="1006"/>
      <c r="AJ285" s="1006"/>
      <c r="AK285" s="1006"/>
      <c r="AL285" s="1006"/>
      <c r="AM285" s="1006"/>
      <c r="AN285" s="1006"/>
      <c r="AO285" s="1006"/>
      <c r="AP285" s="1006"/>
      <c r="AQ285" s="1006"/>
      <c r="AR285" s="1006"/>
      <c r="AS285" s="1006"/>
      <c r="AT285" s="1006"/>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791</v>
      </c>
      <c r="C287" s="3" t="s">
        <v>1021</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1022</v>
      </c>
      <c r="C289" s="37"/>
      <c r="D289" s="37"/>
      <c r="E289" s="37"/>
      <c r="F289" s="37"/>
      <c r="H289" s="1005" t="s">
        <v>698</v>
      </c>
      <c r="I289" s="1005"/>
      <c r="J289" s="1005"/>
      <c r="K289" s="1005"/>
      <c r="L289" s="1005"/>
      <c r="M289" s="1005"/>
      <c r="N289" s="1005"/>
      <c r="O289" s="1005"/>
      <c r="P289" s="1005"/>
      <c r="Q289" s="1005"/>
      <c r="R289" s="1005"/>
      <c r="T289" s="37" t="s">
        <v>1023</v>
      </c>
      <c r="V289" s="37"/>
      <c r="W289" s="37"/>
      <c r="X289" s="37"/>
      <c r="Y289" s="37"/>
      <c r="AA289" s="1002" t="s">
        <v>1024</v>
      </c>
      <c r="AB289" s="1005"/>
      <c r="AC289" s="1005"/>
      <c r="AD289" s="1005"/>
      <c r="AE289" s="1005"/>
      <c r="AF289" s="1005"/>
      <c r="AG289" s="1005"/>
      <c r="AH289" s="1005"/>
      <c r="AI289" s="1005"/>
      <c r="AJ289" s="1005"/>
      <c r="AK289" s="1005"/>
      <c r="BA289" s="37"/>
    </row>
    <row r="290" spans="2:53" ht="12.9" customHeight="1">
      <c r="B290" s="37" t="s">
        <v>1025</v>
      </c>
      <c r="C290" s="37"/>
      <c r="D290" s="37"/>
      <c r="E290" s="37"/>
      <c r="F290" s="37"/>
      <c r="H290" s="1004" t="s">
        <v>982</v>
      </c>
      <c r="I290" s="1004"/>
      <c r="J290" s="1004"/>
      <c r="K290" s="1004"/>
      <c r="L290" s="1004"/>
      <c r="M290" s="1004"/>
      <c r="N290" s="1004"/>
      <c r="O290" s="1004"/>
      <c r="P290" s="1004"/>
      <c r="Q290" s="1004"/>
      <c r="R290" s="1004"/>
      <c r="T290" s="37" t="s">
        <v>1025</v>
      </c>
      <c r="V290" s="37"/>
      <c r="W290" s="37"/>
      <c r="X290" s="37"/>
      <c r="Y290" s="37"/>
      <c r="AA290" s="1004" t="s">
        <v>1026</v>
      </c>
      <c r="AB290" s="1004"/>
      <c r="AC290" s="1004"/>
      <c r="AD290" s="1004"/>
      <c r="AE290" s="1004"/>
      <c r="AF290" s="1004"/>
      <c r="AG290" s="1004"/>
      <c r="AH290" s="1004"/>
      <c r="AI290" s="1004"/>
      <c r="AJ290" s="1004"/>
      <c r="AK290" s="1004"/>
      <c r="BA290" s="37"/>
    </row>
    <row r="291" spans="2:53" ht="12.9" customHeight="1">
      <c r="B291" s="37" t="s">
        <v>1027</v>
      </c>
      <c r="C291" s="37"/>
      <c r="D291" s="37"/>
      <c r="E291" s="37"/>
      <c r="F291" s="37"/>
      <c r="H291" s="1004" t="s">
        <v>984</v>
      </c>
      <c r="I291" s="1004"/>
      <c r="J291" s="1004"/>
      <c r="K291" s="1004"/>
      <c r="L291" s="1004"/>
      <c r="M291" s="1004"/>
      <c r="N291" s="1004"/>
      <c r="O291" s="1004"/>
      <c r="P291" s="1004"/>
      <c r="Q291" s="1004"/>
      <c r="R291" s="1004"/>
      <c r="T291" s="37" t="s">
        <v>1028</v>
      </c>
      <c r="V291" s="37"/>
      <c r="W291" s="37"/>
      <c r="X291" s="37"/>
      <c r="Y291" s="37"/>
      <c r="AA291" s="1004" t="s">
        <v>1029</v>
      </c>
      <c r="AB291" s="1004"/>
      <c r="AC291" s="1004"/>
      <c r="AD291" s="1004"/>
      <c r="AE291" s="1004"/>
      <c r="AF291" s="1004"/>
      <c r="AG291" s="1004"/>
      <c r="AH291" s="1004"/>
      <c r="AI291" s="1004"/>
      <c r="AJ291" s="1004"/>
      <c r="AK291" s="1004"/>
      <c r="BA291" s="37"/>
    </row>
    <row r="292" spans="2:53" ht="12.9" customHeight="1">
      <c r="B292" s="37" t="s">
        <v>987</v>
      </c>
      <c r="C292" s="37"/>
      <c r="D292" s="37"/>
      <c r="E292" s="37"/>
      <c r="F292" s="37"/>
      <c r="H292" s="1004" t="s">
        <v>988</v>
      </c>
      <c r="I292" s="1004"/>
      <c r="J292" s="1004"/>
      <c r="K292" s="1004"/>
      <c r="L292" s="1004"/>
      <c r="M292" s="1004"/>
      <c r="N292" s="1004"/>
      <c r="O292" s="1004"/>
      <c r="P292" s="1004"/>
      <c r="Q292" s="1004"/>
      <c r="R292" s="1004"/>
      <c r="T292" s="37" t="s">
        <v>987</v>
      </c>
      <c r="V292" s="37"/>
      <c r="W292" s="37"/>
      <c r="X292" s="37"/>
      <c r="Y292" s="37"/>
      <c r="AA292" s="1004" t="s">
        <v>1030</v>
      </c>
      <c r="AB292" s="1004"/>
      <c r="AC292" s="1004"/>
      <c r="AD292" s="1004"/>
      <c r="AE292" s="1004"/>
      <c r="AF292" s="1004"/>
      <c r="AG292" s="1004"/>
      <c r="AH292" s="1004"/>
      <c r="AI292" s="1004"/>
      <c r="AJ292" s="1004"/>
      <c r="AK292" s="1004"/>
      <c r="BA292" s="37"/>
    </row>
    <row r="293" spans="2:53" ht="12.9" customHeight="1">
      <c r="B293" s="37" t="s">
        <v>989</v>
      </c>
      <c r="C293" s="37"/>
      <c r="D293" s="37"/>
      <c r="E293" s="37"/>
      <c r="F293" s="37"/>
      <c r="G293" s="37"/>
      <c r="H293" s="1007" t="s">
        <v>990</v>
      </c>
      <c r="I293" s="1007"/>
      <c r="J293" s="1007"/>
      <c r="K293" s="1007"/>
      <c r="L293" s="1007"/>
      <c r="M293" s="1007"/>
      <c r="N293" s="37" t="s">
        <v>991</v>
      </c>
      <c r="O293" s="37"/>
      <c r="P293" s="1002"/>
      <c r="Q293" s="1002"/>
      <c r="R293" s="1002"/>
      <c r="S293" s="37"/>
      <c r="T293" s="37" t="s">
        <v>989</v>
      </c>
      <c r="V293" s="37"/>
      <c r="W293" s="37"/>
      <c r="X293" s="37"/>
      <c r="Y293" s="37"/>
      <c r="AA293" s="1007" t="s">
        <v>1031</v>
      </c>
      <c r="AB293" s="1007"/>
      <c r="AC293" s="1007"/>
      <c r="AD293" s="1007"/>
      <c r="AE293" s="1007"/>
      <c r="AF293" s="1007"/>
      <c r="AG293" s="37" t="s">
        <v>991</v>
      </c>
      <c r="AH293" s="37"/>
      <c r="AI293" s="1002"/>
      <c r="AJ293" s="1002"/>
      <c r="AK293" s="1002"/>
      <c r="BA293" s="37"/>
    </row>
    <row r="294" spans="2:53" ht="12.9" customHeight="1">
      <c r="B294" s="37" t="s">
        <v>992</v>
      </c>
      <c r="C294" s="37"/>
      <c r="D294" s="37"/>
      <c r="E294" s="37"/>
      <c r="F294" s="37"/>
      <c r="G294" s="37"/>
      <c r="H294" s="1008"/>
      <c r="I294" s="1008"/>
      <c r="J294" s="1008"/>
      <c r="K294" s="1008"/>
      <c r="L294" s="1008"/>
      <c r="M294" s="1008"/>
      <c r="N294" s="37"/>
      <c r="O294" s="37"/>
      <c r="P294" s="232"/>
      <c r="Q294" s="232"/>
      <c r="R294" s="232"/>
      <c r="S294" s="37"/>
      <c r="T294" s="37" t="s">
        <v>992</v>
      </c>
      <c r="V294" s="37"/>
      <c r="W294" s="37"/>
      <c r="X294" s="37"/>
      <c r="Y294" s="37"/>
      <c r="AA294" s="1008"/>
      <c r="AB294" s="1008"/>
      <c r="AC294" s="1008"/>
      <c r="AD294" s="1008"/>
      <c r="AE294" s="1008"/>
      <c r="AF294" s="1008"/>
      <c r="AG294" s="37"/>
      <c r="AH294" s="37"/>
      <c r="AI294" s="232"/>
      <c r="AJ294" s="232"/>
      <c r="AK294" s="232"/>
      <c r="BA294" s="37"/>
    </row>
    <row r="295" spans="2:53" ht="12.9" customHeight="1">
      <c r="B295" s="37" t="s">
        <v>1032</v>
      </c>
      <c r="C295" s="37"/>
      <c r="D295" s="37"/>
      <c r="E295" s="37"/>
      <c r="F295" s="37"/>
      <c r="G295" s="37"/>
      <c r="H295" s="1004" t="str">
        <f>M240</f>
        <v>betsyg@selfhelpenterprises.org</v>
      </c>
      <c r="I295" s="1004"/>
      <c r="J295" s="1004"/>
      <c r="K295" s="1004"/>
      <c r="L295" s="1004"/>
      <c r="M295" s="1004"/>
      <c r="N295" s="1005"/>
      <c r="O295" s="1005"/>
      <c r="P295" s="1005"/>
      <c r="Q295" s="1005"/>
      <c r="R295" s="1005"/>
      <c r="S295" s="37"/>
      <c r="T295" s="37" t="s">
        <v>1032</v>
      </c>
      <c r="V295" s="37"/>
      <c r="W295" s="37"/>
      <c r="X295" s="37"/>
      <c r="Y295" s="37"/>
      <c r="AA295" s="1004" t="s">
        <v>1033</v>
      </c>
      <c r="AB295" s="1004"/>
      <c r="AC295" s="1004"/>
      <c r="AD295" s="1004"/>
      <c r="AE295" s="1004"/>
      <c r="AF295" s="1004"/>
      <c r="AG295" s="1005"/>
      <c r="AH295" s="1005"/>
      <c r="AI295" s="1005"/>
      <c r="AJ295" s="1005"/>
      <c r="AK295" s="1005"/>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1034</v>
      </c>
      <c r="C297" s="37"/>
      <c r="D297" s="37"/>
      <c r="E297" s="37"/>
      <c r="F297" s="37"/>
      <c r="H297" s="1002" t="s">
        <v>1035</v>
      </c>
      <c r="I297" s="1005"/>
      <c r="J297" s="1005"/>
      <c r="K297" s="1005"/>
      <c r="L297" s="1005"/>
      <c r="M297" s="1005"/>
      <c r="N297" s="1005"/>
      <c r="O297" s="1005"/>
      <c r="P297" s="1005"/>
      <c r="Q297" s="1005"/>
      <c r="R297" s="1005"/>
      <c r="T297" s="37" t="s">
        <v>1036</v>
      </c>
      <c r="V297" s="37"/>
      <c r="W297" s="37"/>
      <c r="X297" s="37"/>
      <c r="Y297" s="37"/>
      <c r="AA297" s="1002" t="s">
        <v>1037</v>
      </c>
      <c r="AB297" s="1005"/>
      <c r="AC297" s="1005"/>
      <c r="AD297" s="1005"/>
      <c r="AE297" s="1005"/>
      <c r="AF297" s="1005"/>
      <c r="AG297" s="1005"/>
      <c r="AH297" s="1005"/>
      <c r="AI297" s="1005"/>
      <c r="AJ297" s="1005"/>
      <c r="AK297" s="1005"/>
      <c r="BA297" s="37"/>
    </row>
    <row r="298" spans="2:53" ht="12.9" customHeight="1">
      <c r="B298" s="37" t="s">
        <v>1025</v>
      </c>
      <c r="C298" s="37"/>
      <c r="D298" s="37"/>
      <c r="E298" s="37"/>
      <c r="F298" s="37"/>
      <c r="H298" s="1003" t="s">
        <v>1038</v>
      </c>
      <c r="I298" s="1004"/>
      <c r="J298" s="1004"/>
      <c r="K298" s="1004"/>
      <c r="L298" s="1004"/>
      <c r="M298" s="1004"/>
      <c r="N298" s="1004"/>
      <c r="O298" s="1004"/>
      <c r="P298" s="1004"/>
      <c r="Q298" s="1004"/>
      <c r="R298" s="1004"/>
      <c r="T298" s="37" t="s">
        <v>1025</v>
      </c>
      <c r="V298" s="37"/>
      <c r="W298" s="37"/>
      <c r="X298" s="37"/>
      <c r="Y298" s="37"/>
      <c r="AA298" s="1003" t="s">
        <v>1039</v>
      </c>
      <c r="AB298" s="1004"/>
      <c r="AC298" s="1004"/>
      <c r="AD298" s="1004"/>
      <c r="AE298" s="1004"/>
      <c r="AF298" s="1004"/>
      <c r="AG298" s="1004"/>
      <c r="AH298" s="1004"/>
      <c r="AI298" s="1004"/>
      <c r="AJ298" s="1004"/>
      <c r="AK298" s="1004"/>
      <c r="BA298" s="37"/>
    </row>
    <row r="299" spans="2:53" ht="12.9" customHeight="1">
      <c r="B299" s="37" t="s">
        <v>1027</v>
      </c>
      <c r="C299" s="37"/>
      <c r="D299" s="37"/>
      <c r="E299" s="37"/>
      <c r="F299" s="37"/>
      <c r="H299" s="1003" t="s">
        <v>1040</v>
      </c>
      <c r="I299" s="1004"/>
      <c r="J299" s="1004"/>
      <c r="K299" s="1004"/>
      <c r="L299" s="1004"/>
      <c r="M299" s="1004"/>
      <c r="N299" s="1004"/>
      <c r="O299" s="1004"/>
      <c r="P299" s="1004"/>
      <c r="Q299" s="1004"/>
      <c r="R299" s="1004"/>
      <c r="T299" s="37" t="s">
        <v>1028</v>
      </c>
      <c r="V299" s="37"/>
      <c r="W299" s="37"/>
      <c r="X299" s="37"/>
      <c r="Y299" s="37"/>
      <c r="AA299" s="1003" t="s">
        <v>1041</v>
      </c>
      <c r="AB299" s="1004"/>
      <c r="AC299" s="1004"/>
      <c r="AD299" s="1004"/>
      <c r="AE299" s="1004"/>
      <c r="AF299" s="1004"/>
      <c r="AG299" s="1004"/>
      <c r="AH299" s="1004"/>
      <c r="AI299" s="1004"/>
      <c r="AJ299" s="1004"/>
      <c r="AK299" s="1004"/>
      <c r="BA299" s="37"/>
    </row>
    <row r="300" spans="2:53" ht="12.9" customHeight="1">
      <c r="B300" s="37" t="s">
        <v>987</v>
      </c>
      <c r="C300" s="37"/>
      <c r="D300" s="37"/>
      <c r="E300" s="37"/>
      <c r="F300" s="37"/>
      <c r="H300" s="1003" t="s">
        <v>1042</v>
      </c>
      <c r="I300" s="1004"/>
      <c r="J300" s="1004"/>
      <c r="K300" s="1004"/>
      <c r="L300" s="1004"/>
      <c r="M300" s="1004"/>
      <c r="N300" s="1004"/>
      <c r="O300" s="1004"/>
      <c r="P300" s="1004"/>
      <c r="Q300" s="1004"/>
      <c r="R300" s="1004"/>
      <c r="T300" s="37" t="s">
        <v>987</v>
      </c>
      <c r="V300" s="37"/>
      <c r="W300" s="37"/>
      <c r="X300" s="37"/>
      <c r="Y300" s="37"/>
      <c r="AA300" s="1003" t="s">
        <v>1043</v>
      </c>
      <c r="AB300" s="1004"/>
      <c r="AC300" s="1004"/>
      <c r="AD300" s="1004"/>
      <c r="AE300" s="1004"/>
      <c r="AF300" s="1004"/>
      <c r="AG300" s="1004"/>
      <c r="AH300" s="1004"/>
      <c r="AI300" s="1004"/>
      <c r="AJ300" s="1004"/>
      <c r="AK300" s="1004"/>
      <c r="BA300" s="37"/>
    </row>
    <row r="301" spans="2:53" ht="12.9" customHeight="1">
      <c r="B301" s="37" t="s">
        <v>989</v>
      </c>
      <c r="C301" s="37"/>
      <c r="D301" s="37"/>
      <c r="E301" s="37"/>
      <c r="F301" s="37"/>
      <c r="G301" s="37"/>
      <c r="H301" s="1007" t="s">
        <v>1044</v>
      </c>
      <c r="I301" s="1007"/>
      <c r="J301" s="1007"/>
      <c r="K301" s="1007"/>
      <c r="L301" s="1007"/>
      <c r="M301" s="1007"/>
      <c r="N301" s="37" t="s">
        <v>991</v>
      </c>
      <c r="O301" s="37"/>
      <c r="P301" s="1002"/>
      <c r="Q301" s="1002"/>
      <c r="R301" s="1002"/>
      <c r="S301" s="37"/>
      <c r="T301" s="37" t="s">
        <v>989</v>
      </c>
      <c r="V301" s="37"/>
      <c r="W301" s="37"/>
      <c r="X301" s="37"/>
      <c r="Y301" s="37"/>
      <c r="AA301" s="1007" t="s">
        <v>1045</v>
      </c>
      <c r="AB301" s="1007"/>
      <c r="AC301" s="1007"/>
      <c r="AD301" s="1007"/>
      <c r="AE301" s="1007"/>
      <c r="AF301" s="1007"/>
      <c r="AG301" s="37" t="s">
        <v>991</v>
      </c>
      <c r="AH301" s="37"/>
      <c r="AI301" s="1002"/>
      <c r="AJ301" s="1002"/>
      <c r="AK301" s="1002"/>
      <c r="BA301" s="37"/>
    </row>
    <row r="302" spans="2:53" ht="12.9" customHeight="1">
      <c r="B302" s="37" t="s">
        <v>992</v>
      </c>
      <c r="C302" s="37"/>
      <c r="D302" s="37"/>
      <c r="E302" s="37"/>
      <c r="F302" s="37"/>
      <c r="G302" s="37"/>
      <c r="H302" s="1008"/>
      <c r="I302" s="1008"/>
      <c r="J302" s="1008"/>
      <c r="K302" s="1008"/>
      <c r="L302" s="1008"/>
      <c r="M302" s="1008"/>
      <c r="N302" s="37"/>
      <c r="O302" s="37"/>
      <c r="P302" s="232"/>
      <c r="Q302" s="232"/>
      <c r="R302" s="232"/>
      <c r="S302" s="37"/>
      <c r="T302" s="37" t="s">
        <v>992</v>
      </c>
      <c r="V302" s="37"/>
      <c r="W302" s="37"/>
      <c r="X302" s="37"/>
      <c r="Y302" s="37"/>
      <c r="AA302" s="1008"/>
      <c r="AB302" s="1008"/>
      <c r="AC302" s="1008"/>
      <c r="AD302" s="1008"/>
      <c r="AE302" s="1008"/>
      <c r="AF302" s="1008"/>
      <c r="AG302" s="37"/>
      <c r="AH302" s="37"/>
      <c r="AI302" s="232"/>
      <c r="AJ302" s="232"/>
      <c r="AK302" s="232"/>
      <c r="BA302" s="37"/>
    </row>
    <row r="303" spans="2:53" ht="12.9" customHeight="1">
      <c r="B303" s="37" t="s">
        <v>1032</v>
      </c>
      <c r="C303" s="37"/>
      <c r="D303" s="37"/>
      <c r="E303" s="37"/>
      <c r="F303" s="37"/>
      <c r="G303" s="37"/>
      <c r="H303" s="1003" t="s">
        <v>1046</v>
      </c>
      <c r="I303" s="1004"/>
      <c r="J303" s="1004"/>
      <c r="K303" s="1004"/>
      <c r="L303" s="1004"/>
      <c r="M303" s="1004"/>
      <c r="N303" s="1005"/>
      <c r="O303" s="1005"/>
      <c r="P303" s="1005"/>
      <c r="Q303" s="1005"/>
      <c r="R303" s="1005"/>
      <c r="S303" s="37"/>
      <c r="T303" s="37" t="s">
        <v>1032</v>
      </c>
      <c r="V303" s="37"/>
      <c r="W303" s="37"/>
      <c r="X303" s="37"/>
      <c r="Y303" s="37"/>
      <c r="AA303" s="1004"/>
      <c r="AB303" s="1004"/>
      <c r="AC303" s="1004"/>
      <c r="AD303" s="1004"/>
      <c r="AE303" s="1004"/>
      <c r="AF303" s="1004"/>
      <c r="AG303" s="1005"/>
      <c r="AH303" s="1005"/>
      <c r="AI303" s="1005"/>
      <c r="AJ303" s="1005"/>
      <c r="AK303" s="1005"/>
      <c r="BA303" s="37"/>
    </row>
    <row r="304" spans="2:53" ht="12.9" customHeight="1">
      <c r="BA304" s="37"/>
    </row>
    <row r="305" spans="2:53" ht="12.9" customHeight="1">
      <c r="B305" s="37" t="s">
        <v>1047</v>
      </c>
      <c r="C305" s="37"/>
      <c r="D305" s="37"/>
      <c r="E305" s="37"/>
      <c r="F305" s="37"/>
      <c r="H305" s="1005" t="str">
        <f>H297</f>
        <v>Gubb and Barshay LLP</v>
      </c>
      <c r="I305" s="1005"/>
      <c r="J305" s="1005"/>
      <c r="K305" s="1005"/>
      <c r="L305" s="1005"/>
      <c r="M305" s="1005"/>
      <c r="N305" s="1005"/>
      <c r="O305" s="1005"/>
      <c r="P305" s="1005"/>
      <c r="Q305" s="1005"/>
      <c r="R305" s="1005"/>
      <c r="T305" s="37" t="s">
        <v>1048</v>
      </c>
      <c r="V305" s="37"/>
      <c r="W305" s="37"/>
      <c r="X305" s="37"/>
      <c r="Y305" s="37"/>
      <c r="AA305" s="1002" t="s">
        <v>1049</v>
      </c>
      <c r="AB305" s="1005"/>
      <c r="AC305" s="1005"/>
      <c r="AD305" s="1005"/>
      <c r="AE305" s="1005"/>
      <c r="AF305" s="1005"/>
      <c r="AG305" s="1005"/>
      <c r="AH305" s="1005"/>
      <c r="AI305" s="1005"/>
      <c r="AJ305" s="1005"/>
      <c r="AK305" s="1005"/>
      <c r="BA305" s="37"/>
    </row>
    <row r="306" spans="2:53" ht="12.9" customHeight="1">
      <c r="B306" s="37" t="s">
        <v>1025</v>
      </c>
      <c r="C306" s="37"/>
      <c r="D306" s="37"/>
      <c r="E306" s="37"/>
      <c r="F306" s="37"/>
      <c r="H306" s="1005" t="str">
        <f>H298</f>
        <v>235 Montgomery Street, Suite 1110</v>
      </c>
      <c r="I306" s="1005"/>
      <c r="J306" s="1005"/>
      <c r="K306" s="1005"/>
      <c r="L306" s="1005"/>
      <c r="M306" s="1005"/>
      <c r="N306" s="1005"/>
      <c r="O306" s="1005"/>
      <c r="P306" s="1005"/>
      <c r="Q306" s="1005"/>
      <c r="R306" s="1005"/>
      <c r="T306" s="37" t="s">
        <v>1025</v>
      </c>
      <c r="V306" s="37"/>
      <c r="W306" s="37"/>
      <c r="X306" s="37"/>
      <c r="Y306" s="37"/>
      <c r="AA306" s="1004"/>
      <c r="AB306" s="1004"/>
      <c r="AC306" s="1004"/>
      <c r="AD306" s="1004"/>
      <c r="AE306" s="1004"/>
      <c r="AF306" s="1004"/>
      <c r="AG306" s="1004"/>
      <c r="AH306" s="1004"/>
      <c r="AI306" s="1004"/>
      <c r="AJ306" s="1004"/>
      <c r="AK306" s="1004"/>
      <c r="BA306" s="37"/>
    </row>
    <row r="307" spans="2:53" ht="12.9" customHeight="1">
      <c r="B307" s="37" t="s">
        <v>1027</v>
      </c>
      <c r="C307" s="37"/>
      <c r="D307" s="37"/>
      <c r="E307" s="37"/>
      <c r="F307" s="37"/>
      <c r="H307" s="1005" t="str">
        <f>H299</f>
        <v>San Francisco, CA 94104</v>
      </c>
      <c r="I307" s="1005"/>
      <c r="J307" s="1005"/>
      <c r="K307" s="1005"/>
      <c r="L307" s="1005"/>
      <c r="M307" s="1005"/>
      <c r="N307" s="1005"/>
      <c r="O307" s="1005"/>
      <c r="P307" s="1005"/>
      <c r="Q307" s="1005"/>
      <c r="R307" s="1005"/>
      <c r="T307" s="37" t="s">
        <v>1028</v>
      </c>
      <c r="V307" s="37"/>
      <c r="W307" s="37"/>
      <c r="X307" s="37"/>
      <c r="Y307" s="37"/>
      <c r="AA307" s="1004"/>
      <c r="AB307" s="1004"/>
      <c r="AC307" s="1004"/>
      <c r="AD307" s="1004"/>
      <c r="AE307" s="1004"/>
      <c r="AF307" s="1004"/>
      <c r="AG307" s="1004"/>
      <c r="AH307" s="1004"/>
      <c r="AI307" s="1004"/>
      <c r="AJ307" s="1004"/>
      <c r="AK307" s="1004"/>
      <c r="BA307" s="37"/>
    </row>
    <row r="308" spans="2:53" ht="12.9" customHeight="1">
      <c r="B308" s="37" t="s">
        <v>987</v>
      </c>
      <c r="C308" s="37"/>
      <c r="D308" s="37"/>
      <c r="E308" s="37"/>
      <c r="F308" s="37"/>
      <c r="H308" s="1005" t="str">
        <f>H300</f>
        <v>LAUREN B. FECHTER</v>
      </c>
      <c r="I308" s="1005"/>
      <c r="J308" s="1005"/>
      <c r="K308" s="1005"/>
      <c r="L308" s="1005"/>
      <c r="M308" s="1005"/>
      <c r="N308" s="1005"/>
      <c r="O308" s="1005"/>
      <c r="P308" s="1005"/>
      <c r="Q308" s="1005"/>
      <c r="R308" s="1005"/>
      <c r="T308" s="37" t="s">
        <v>987</v>
      </c>
      <c r="V308" s="37"/>
      <c r="W308" s="37"/>
      <c r="X308" s="37"/>
      <c r="Y308" s="37"/>
      <c r="AA308" s="1004"/>
      <c r="AB308" s="1004"/>
      <c r="AC308" s="1004"/>
      <c r="AD308" s="1004"/>
      <c r="AE308" s="1004"/>
      <c r="AF308" s="1004"/>
      <c r="AG308" s="1004"/>
      <c r="AH308" s="1004"/>
      <c r="AI308" s="1004"/>
      <c r="AJ308" s="1004"/>
      <c r="AK308" s="1004"/>
      <c r="BA308" s="37"/>
    </row>
    <row r="309" spans="2:53" ht="12.9" customHeight="1">
      <c r="B309" s="37" t="s">
        <v>989</v>
      </c>
      <c r="C309" s="37"/>
      <c r="D309" s="37"/>
      <c r="E309" s="37"/>
      <c r="F309" s="37"/>
      <c r="G309" s="37"/>
      <c r="H309" s="1007" t="str">
        <f>H301</f>
        <v>415-781-6600</v>
      </c>
      <c r="I309" s="1007"/>
      <c r="J309" s="1007"/>
      <c r="K309" s="1007"/>
      <c r="L309" s="1007"/>
      <c r="M309" s="1007"/>
      <c r="N309" s="37" t="s">
        <v>991</v>
      </c>
      <c r="O309" s="37"/>
      <c r="P309" s="1002"/>
      <c r="Q309" s="1002"/>
      <c r="R309" s="1002"/>
      <c r="S309" s="37"/>
      <c r="T309" s="37" t="s">
        <v>989</v>
      </c>
      <c r="V309" s="37"/>
      <c r="W309" s="37"/>
      <c r="X309" s="37"/>
      <c r="Y309" s="37"/>
      <c r="AA309" s="1007"/>
      <c r="AB309" s="1007"/>
      <c r="AC309" s="1007"/>
      <c r="AD309" s="1007"/>
      <c r="AE309" s="1007"/>
      <c r="AF309" s="1007"/>
      <c r="AG309" s="37" t="s">
        <v>991</v>
      </c>
      <c r="AH309" s="37"/>
      <c r="AI309" s="1002"/>
      <c r="AJ309" s="1002"/>
      <c r="AK309" s="1002"/>
      <c r="BA309" s="37"/>
    </row>
    <row r="310" spans="2:53" ht="12.9" customHeight="1">
      <c r="B310" s="37" t="s">
        <v>992</v>
      </c>
      <c r="C310" s="37"/>
      <c r="D310" s="37"/>
      <c r="E310" s="37"/>
      <c r="F310" s="37"/>
      <c r="G310" s="37"/>
      <c r="H310" s="1008"/>
      <c r="I310" s="1008"/>
      <c r="J310" s="1008"/>
      <c r="K310" s="1008"/>
      <c r="L310" s="1008"/>
      <c r="M310" s="1008"/>
      <c r="N310" s="37"/>
      <c r="O310" s="37"/>
      <c r="P310" s="232"/>
      <c r="Q310" s="232"/>
      <c r="R310" s="232"/>
      <c r="S310" s="37"/>
      <c r="T310" s="37" t="s">
        <v>992</v>
      </c>
      <c r="V310" s="37"/>
      <c r="W310" s="37"/>
      <c r="X310" s="37"/>
      <c r="Y310" s="37"/>
      <c r="AA310" s="1008"/>
      <c r="AB310" s="1008"/>
      <c r="AC310" s="1008"/>
      <c r="AD310" s="1008"/>
      <c r="AE310" s="1008"/>
      <c r="AF310" s="1008"/>
      <c r="AG310" s="37"/>
      <c r="AH310" s="37"/>
      <c r="AI310" s="232"/>
      <c r="AJ310" s="232"/>
      <c r="AK310" s="232"/>
      <c r="BA310" s="37"/>
    </row>
    <row r="311" spans="2:53" ht="12.9" customHeight="1">
      <c r="B311" s="37" t="s">
        <v>1032</v>
      </c>
      <c r="C311" s="37"/>
      <c r="D311" s="37"/>
      <c r="E311" s="37"/>
      <c r="F311" s="37"/>
      <c r="G311" s="37"/>
      <c r="H311" s="1004" t="str">
        <f>H303</f>
        <v>lfechter@gubbandbarshay.com</v>
      </c>
      <c r="I311" s="1004"/>
      <c r="J311" s="1004"/>
      <c r="K311" s="1004"/>
      <c r="L311" s="1004"/>
      <c r="M311" s="1004"/>
      <c r="N311" s="1005"/>
      <c r="O311" s="1005"/>
      <c r="P311" s="1005"/>
      <c r="Q311" s="1005"/>
      <c r="R311" s="1005"/>
      <c r="S311" s="37"/>
      <c r="T311" s="37" t="s">
        <v>1032</v>
      </c>
      <c r="V311" s="37"/>
      <c r="W311" s="37"/>
      <c r="X311" s="37"/>
      <c r="Y311" s="37"/>
      <c r="AA311" s="1004"/>
      <c r="AB311" s="1004"/>
      <c r="AC311" s="1004"/>
      <c r="AD311" s="1004"/>
      <c r="AE311" s="1004"/>
      <c r="AF311" s="1004"/>
      <c r="AG311" s="1005"/>
      <c r="AH311" s="1005"/>
      <c r="AI311" s="1005"/>
      <c r="AJ311" s="1005"/>
      <c r="AK311" s="1005"/>
      <c r="BA311" s="37"/>
    </row>
    <row r="312" spans="2:53" ht="12.9" customHeight="1">
      <c r="BA312" s="37"/>
    </row>
    <row r="313" spans="2:53" ht="12.9" customHeight="1">
      <c r="B313" s="37" t="s">
        <v>1050</v>
      </c>
      <c r="C313" s="37"/>
      <c r="D313" s="37"/>
      <c r="E313" s="37"/>
      <c r="F313" s="37"/>
      <c r="H313" s="1002" t="s">
        <v>1051</v>
      </c>
      <c r="I313" s="1005"/>
      <c r="J313" s="1005"/>
      <c r="K313" s="1005"/>
      <c r="L313" s="1005"/>
      <c r="M313" s="1005"/>
      <c r="N313" s="1005"/>
      <c r="O313" s="1005"/>
      <c r="P313" s="1005"/>
      <c r="Q313" s="1005"/>
      <c r="R313" s="1005"/>
      <c r="T313" s="37" t="s">
        <v>1052</v>
      </c>
      <c r="V313" s="37"/>
      <c r="W313" s="37"/>
      <c r="X313" s="37"/>
      <c r="Y313" s="37"/>
      <c r="AA313" s="1002" t="s">
        <v>1049</v>
      </c>
      <c r="AB313" s="1005"/>
      <c r="AC313" s="1005"/>
      <c r="AD313" s="1005"/>
      <c r="AE313" s="1005"/>
      <c r="AF313" s="1005"/>
      <c r="AG313" s="1005"/>
      <c r="AH313" s="1005"/>
      <c r="AI313" s="1005"/>
      <c r="AJ313" s="1005"/>
      <c r="AK313" s="1005"/>
      <c r="BA313" s="37"/>
    </row>
    <row r="314" spans="2:53" ht="12.9" customHeight="1">
      <c r="B314" s="37" t="s">
        <v>1025</v>
      </c>
      <c r="C314" s="37"/>
      <c r="D314" s="37"/>
      <c r="E314" s="37"/>
      <c r="F314" s="37"/>
      <c r="H314" s="1003" t="s">
        <v>1053</v>
      </c>
      <c r="I314" s="1004"/>
      <c r="J314" s="1004"/>
      <c r="K314" s="1004"/>
      <c r="L314" s="1004"/>
      <c r="M314" s="1004"/>
      <c r="N314" s="1004"/>
      <c r="O314" s="1004"/>
      <c r="P314" s="1004"/>
      <c r="Q314" s="1004"/>
      <c r="R314" s="1004"/>
      <c r="T314" s="37" t="s">
        <v>1025</v>
      </c>
      <c r="V314" s="37"/>
      <c r="W314" s="37"/>
      <c r="X314" s="37"/>
      <c r="Y314" s="37"/>
      <c r="AA314" s="1004"/>
      <c r="AB314" s="1004"/>
      <c r="AC314" s="1004"/>
      <c r="AD314" s="1004"/>
      <c r="AE314" s="1004"/>
      <c r="AF314" s="1004"/>
      <c r="AG314" s="1004"/>
      <c r="AH314" s="1004"/>
      <c r="AI314" s="1004"/>
      <c r="AJ314" s="1004"/>
      <c r="AK314" s="1004"/>
      <c r="BA314" s="37"/>
    </row>
    <row r="315" spans="2:53" ht="12.9" customHeight="1">
      <c r="B315" s="37" t="s">
        <v>1027</v>
      </c>
      <c r="C315" s="37"/>
      <c r="D315" s="37"/>
      <c r="E315" s="37"/>
      <c r="F315" s="37"/>
      <c r="H315" s="1003" t="s">
        <v>1054</v>
      </c>
      <c r="I315" s="1004"/>
      <c r="J315" s="1004"/>
      <c r="K315" s="1004"/>
      <c r="L315" s="1004"/>
      <c r="M315" s="1004"/>
      <c r="N315" s="1004"/>
      <c r="O315" s="1004"/>
      <c r="P315" s="1004"/>
      <c r="Q315" s="1004"/>
      <c r="R315" s="1004"/>
      <c r="T315" s="37" t="s">
        <v>1028</v>
      </c>
      <c r="V315" s="37"/>
      <c r="W315" s="37"/>
      <c r="X315" s="37"/>
      <c r="Y315" s="37"/>
      <c r="AA315" s="1004"/>
      <c r="AB315" s="1004"/>
      <c r="AC315" s="1004"/>
      <c r="AD315" s="1004"/>
      <c r="AE315" s="1004"/>
      <c r="AF315" s="1004"/>
      <c r="AG315" s="1004"/>
      <c r="AH315" s="1004"/>
      <c r="AI315" s="1004"/>
      <c r="AJ315" s="1004"/>
      <c r="AK315" s="1004"/>
      <c r="BA315" s="37"/>
    </row>
    <row r="316" spans="2:53" ht="12.9" customHeight="1">
      <c r="B316" s="37" t="s">
        <v>987</v>
      </c>
      <c r="C316" s="37"/>
      <c r="D316" s="37"/>
      <c r="E316" s="37"/>
      <c r="F316" s="37"/>
      <c r="H316" s="1004" t="str">
        <f>H313</f>
        <v>Tom Tomaszewski</v>
      </c>
      <c r="I316" s="1004"/>
      <c r="J316" s="1004"/>
      <c r="K316" s="1004"/>
      <c r="L316" s="1004"/>
      <c r="M316" s="1004"/>
      <c r="N316" s="1004"/>
      <c r="O316" s="1004"/>
      <c r="P316" s="1004"/>
      <c r="Q316" s="1004"/>
      <c r="R316" s="1004"/>
      <c r="T316" s="37" t="s">
        <v>987</v>
      </c>
      <c r="V316" s="37"/>
      <c r="W316" s="37"/>
      <c r="X316" s="37"/>
      <c r="Y316" s="37"/>
      <c r="AA316" s="1004"/>
      <c r="AB316" s="1004"/>
      <c r="AC316" s="1004"/>
      <c r="AD316" s="1004"/>
      <c r="AE316" s="1004"/>
      <c r="AF316" s="1004"/>
      <c r="AG316" s="1004"/>
      <c r="AH316" s="1004"/>
      <c r="AI316" s="1004"/>
      <c r="AJ316" s="1004"/>
      <c r="AK316" s="1004"/>
      <c r="BA316" s="37"/>
    </row>
    <row r="317" spans="2:53" ht="12.9" customHeight="1">
      <c r="B317" s="37" t="s">
        <v>989</v>
      </c>
      <c r="C317" s="37"/>
      <c r="D317" s="37"/>
      <c r="E317" s="37"/>
      <c r="F317" s="37"/>
      <c r="G317" s="37"/>
      <c r="H317" s="1007" t="s">
        <v>1055</v>
      </c>
      <c r="I317" s="1007"/>
      <c r="J317" s="1007"/>
      <c r="K317" s="1007"/>
      <c r="L317" s="1007"/>
      <c r="M317" s="1007"/>
      <c r="N317" s="37" t="s">
        <v>991</v>
      </c>
      <c r="O317" s="37"/>
      <c r="P317" s="1002"/>
      <c r="Q317" s="1002"/>
      <c r="R317" s="1002"/>
      <c r="S317" s="37"/>
      <c r="T317" s="37" t="s">
        <v>989</v>
      </c>
      <c r="V317" s="37"/>
      <c r="W317" s="37"/>
      <c r="X317" s="37"/>
      <c r="Y317" s="37"/>
      <c r="AA317" s="1007"/>
      <c r="AB317" s="1007"/>
      <c r="AC317" s="1007"/>
      <c r="AD317" s="1007"/>
      <c r="AE317" s="1007"/>
      <c r="AF317" s="1007"/>
      <c r="AG317" s="37" t="s">
        <v>991</v>
      </c>
      <c r="AH317" s="37"/>
      <c r="AI317" s="1002"/>
      <c r="AJ317" s="1002"/>
      <c r="AK317" s="1002"/>
      <c r="BA317" s="37"/>
    </row>
    <row r="318" spans="2:53" ht="12.9" customHeight="1">
      <c r="B318" s="37" t="s">
        <v>992</v>
      </c>
      <c r="C318" s="37"/>
      <c r="D318" s="37"/>
      <c r="E318" s="37"/>
      <c r="F318" s="37"/>
      <c r="G318" s="37"/>
      <c r="H318" s="1008"/>
      <c r="I318" s="1008"/>
      <c r="J318" s="1008"/>
      <c r="K318" s="1008"/>
      <c r="L318" s="1008"/>
      <c r="M318" s="1008"/>
      <c r="N318" s="37"/>
      <c r="O318" s="37"/>
      <c r="P318" s="232"/>
      <c r="Q318" s="232"/>
      <c r="R318" s="232"/>
      <c r="S318" s="37"/>
      <c r="T318" s="37" t="s">
        <v>992</v>
      </c>
      <c r="V318" s="37"/>
      <c r="W318" s="37"/>
      <c r="X318" s="37"/>
      <c r="Y318" s="37"/>
      <c r="AA318" s="1008"/>
      <c r="AB318" s="1008"/>
      <c r="AC318" s="1008"/>
      <c r="AD318" s="1008"/>
      <c r="AE318" s="1008"/>
      <c r="AF318" s="1008"/>
      <c r="AG318" s="37"/>
      <c r="AH318" s="37"/>
      <c r="AI318" s="232"/>
      <c r="AJ318" s="232"/>
      <c r="AK318" s="232"/>
      <c r="BA318" s="37"/>
    </row>
    <row r="319" spans="2:53" ht="12.9" customHeight="1">
      <c r="B319" s="37" t="s">
        <v>1032</v>
      </c>
      <c r="C319" s="37"/>
      <c r="D319" s="37"/>
      <c r="E319" s="37"/>
      <c r="F319" s="37"/>
      <c r="G319" s="37"/>
      <c r="H319" s="1003" t="s">
        <v>1056</v>
      </c>
      <c r="I319" s="1004"/>
      <c r="J319" s="1004"/>
      <c r="K319" s="1004"/>
      <c r="L319" s="1004"/>
      <c r="M319" s="1004"/>
      <c r="N319" s="1005"/>
      <c r="O319" s="1005"/>
      <c r="P319" s="1005"/>
      <c r="Q319" s="1005"/>
      <c r="R319" s="1005"/>
      <c r="S319" s="37"/>
      <c r="T319" s="37" t="s">
        <v>1032</v>
      </c>
      <c r="V319" s="37"/>
      <c r="W319" s="37"/>
      <c r="X319" s="37"/>
      <c r="Y319" s="37"/>
      <c r="AA319" s="1004"/>
      <c r="AB319" s="1004"/>
      <c r="AC319" s="1004"/>
      <c r="AD319" s="1004"/>
      <c r="AE319" s="1004"/>
      <c r="AF319" s="1004"/>
      <c r="AG319" s="1005"/>
      <c r="AH319" s="1005"/>
      <c r="AI319" s="1005"/>
      <c r="AJ319" s="1005"/>
      <c r="AK319" s="1005"/>
      <c r="BA319" s="37"/>
    </row>
    <row r="320" spans="2:53" ht="12.9" customHeight="1">
      <c r="B320" s="37"/>
      <c r="C320" s="37"/>
      <c r="D320" s="37"/>
      <c r="E320" s="37"/>
      <c r="F320" s="37"/>
      <c r="G320" s="37"/>
      <c r="P320" s="873"/>
      <c r="Q320" s="873"/>
      <c r="R320" s="873"/>
      <c r="S320" s="873"/>
      <c r="T320" s="873"/>
      <c r="U320" s="873"/>
      <c r="V320" s="37"/>
      <c r="W320" s="37"/>
      <c r="X320" s="232"/>
      <c r="Y320" s="232"/>
      <c r="Z320" s="232"/>
      <c r="BA320" s="37"/>
    </row>
    <row r="321" spans="2:53" ht="12.9" customHeight="1">
      <c r="B321" s="37" t="s">
        <v>1057</v>
      </c>
      <c r="C321" s="37"/>
      <c r="D321" s="37"/>
      <c r="E321" s="37"/>
      <c r="F321" s="37"/>
      <c r="H321" s="1002" t="s">
        <v>1058</v>
      </c>
      <c r="I321" s="1005"/>
      <c r="J321" s="1005"/>
      <c r="K321" s="1005"/>
      <c r="L321" s="1005"/>
      <c r="M321" s="1005"/>
      <c r="N321" s="1005"/>
      <c r="O321" s="1005"/>
      <c r="P321" s="1005"/>
      <c r="Q321" s="1005"/>
      <c r="R321" s="1005"/>
      <c r="T321" s="37" t="s">
        <v>1059</v>
      </c>
      <c r="V321" s="37"/>
      <c r="W321" s="37"/>
      <c r="X321" s="37"/>
      <c r="Y321" s="37"/>
      <c r="AA321" s="1005" t="s">
        <v>1060</v>
      </c>
      <c r="AB321" s="1005"/>
      <c r="AC321" s="1005"/>
      <c r="AD321" s="1005"/>
      <c r="AE321" s="1005"/>
      <c r="AF321" s="1005"/>
      <c r="AG321" s="1005"/>
      <c r="AH321" s="1005"/>
      <c r="AI321" s="1005"/>
      <c r="AJ321" s="1005"/>
      <c r="AK321" s="1005"/>
      <c r="BA321" s="37"/>
    </row>
    <row r="322" spans="2:53" ht="12.9" customHeight="1">
      <c r="B322" s="37" t="s">
        <v>1025</v>
      </c>
      <c r="C322" s="37"/>
      <c r="D322" s="37"/>
      <c r="E322" s="37"/>
      <c r="F322" s="37"/>
      <c r="H322" s="1003" t="s">
        <v>1061</v>
      </c>
      <c r="I322" s="1004"/>
      <c r="J322" s="1004"/>
      <c r="K322" s="1004"/>
      <c r="L322" s="1004"/>
      <c r="M322" s="1004"/>
      <c r="N322" s="1004"/>
      <c r="O322" s="1004"/>
      <c r="P322" s="1004"/>
      <c r="Q322" s="1004"/>
      <c r="R322" s="1004"/>
      <c r="T322" s="37" t="s">
        <v>1025</v>
      </c>
      <c r="V322" s="37"/>
      <c r="W322" s="37"/>
      <c r="X322" s="37"/>
      <c r="Y322" s="37"/>
      <c r="AA322" s="1004" t="s">
        <v>1062</v>
      </c>
      <c r="AB322" s="1004"/>
      <c r="AC322" s="1004"/>
      <c r="AD322" s="1004"/>
      <c r="AE322" s="1004"/>
      <c r="AF322" s="1004"/>
      <c r="AG322" s="1004"/>
      <c r="AH322" s="1004"/>
      <c r="AI322" s="1004"/>
      <c r="AJ322" s="1004"/>
      <c r="AK322" s="1004"/>
      <c r="BA322" s="37"/>
    </row>
    <row r="323" spans="2:53" ht="12.9" customHeight="1">
      <c r="B323" s="37" t="s">
        <v>1027</v>
      </c>
      <c r="C323" s="37"/>
      <c r="D323" s="37"/>
      <c r="E323" s="37"/>
      <c r="F323" s="37"/>
      <c r="H323" s="1003" t="s">
        <v>1040</v>
      </c>
      <c r="I323" s="1004"/>
      <c r="J323" s="1004"/>
      <c r="K323" s="1004"/>
      <c r="L323" s="1004"/>
      <c r="M323" s="1004"/>
      <c r="N323" s="1004"/>
      <c r="O323" s="1004"/>
      <c r="P323" s="1004"/>
      <c r="Q323" s="1004"/>
      <c r="R323" s="1004"/>
      <c r="T323" s="37" t="s">
        <v>1028</v>
      </c>
      <c r="V323" s="37"/>
      <c r="W323" s="37"/>
      <c r="X323" s="37"/>
      <c r="Y323" s="37"/>
      <c r="AA323" s="1004" t="s">
        <v>1063</v>
      </c>
      <c r="AB323" s="1004"/>
      <c r="AC323" s="1004"/>
      <c r="AD323" s="1004"/>
      <c r="AE323" s="1004"/>
      <c r="AF323" s="1004"/>
      <c r="AG323" s="1004"/>
      <c r="AH323" s="1004"/>
      <c r="AI323" s="1004"/>
      <c r="AJ323" s="1004"/>
      <c r="AK323" s="1004"/>
      <c r="BA323" s="37"/>
    </row>
    <row r="324" spans="2:53" ht="12.9" customHeight="1">
      <c r="B324" s="37" t="s">
        <v>987</v>
      </c>
      <c r="C324" s="37"/>
      <c r="D324" s="37"/>
      <c r="E324" s="37"/>
      <c r="F324" s="37"/>
      <c r="H324" s="1003" t="s">
        <v>1064</v>
      </c>
      <c r="I324" s="1004"/>
      <c r="J324" s="1004"/>
      <c r="K324" s="1004"/>
      <c r="L324" s="1004"/>
      <c r="M324" s="1004"/>
      <c r="N324" s="1004"/>
      <c r="O324" s="1004"/>
      <c r="P324" s="1004"/>
      <c r="Q324" s="1004"/>
      <c r="R324" s="1004"/>
      <c r="T324" s="37" t="s">
        <v>987</v>
      </c>
      <c r="V324" s="37"/>
      <c r="W324" s="37"/>
      <c r="X324" s="37"/>
      <c r="Y324" s="37"/>
      <c r="AA324" s="1004" t="s">
        <v>1065</v>
      </c>
      <c r="AB324" s="1004"/>
      <c r="AC324" s="1004"/>
      <c r="AD324" s="1004"/>
      <c r="AE324" s="1004"/>
      <c r="AF324" s="1004"/>
      <c r="AG324" s="1004"/>
      <c r="AH324" s="1004"/>
      <c r="AI324" s="1004"/>
      <c r="AJ324" s="1004"/>
      <c r="AK324" s="1004"/>
      <c r="BA324" s="37"/>
    </row>
    <row r="325" spans="2:53" ht="12.9" customHeight="1">
      <c r="B325" s="37" t="s">
        <v>989</v>
      </c>
      <c r="C325" s="37"/>
      <c r="D325" s="37"/>
      <c r="E325" s="37"/>
      <c r="F325" s="37"/>
      <c r="G325" s="37"/>
      <c r="H325" s="1007" t="s">
        <v>1066</v>
      </c>
      <c r="I325" s="1007"/>
      <c r="J325" s="1007"/>
      <c r="K325" s="1007"/>
      <c r="L325" s="1007"/>
      <c r="M325" s="1007"/>
      <c r="N325" s="37" t="s">
        <v>991</v>
      </c>
      <c r="O325" s="37"/>
      <c r="P325" s="1002"/>
      <c r="Q325" s="1002"/>
      <c r="R325" s="1002"/>
      <c r="S325" s="37"/>
      <c r="T325" s="37" t="s">
        <v>989</v>
      </c>
      <c r="V325" s="37"/>
      <c r="W325" s="37"/>
      <c r="X325" s="37"/>
      <c r="Y325" s="37"/>
      <c r="AA325" s="1007" t="s">
        <v>1067</v>
      </c>
      <c r="AB325" s="1007"/>
      <c r="AC325" s="1007"/>
      <c r="AD325" s="1007"/>
      <c r="AE325" s="1007"/>
      <c r="AF325" s="1007"/>
      <c r="AG325" s="37" t="s">
        <v>991</v>
      </c>
      <c r="AH325" s="37"/>
      <c r="AI325" s="1002"/>
      <c r="AJ325" s="1002"/>
      <c r="AK325" s="1002"/>
      <c r="BA325" s="37"/>
    </row>
    <row r="326" spans="2:53" ht="12.9" customHeight="1">
      <c r="B326" s="37" t="s">
        <v>992</v>
      </c>
      <c r="C326" s="37"/>
      <c r="D326" s="37"/>
      <c r="E326" s="37"/>
      <c r="F326" s="37"/>
      <c r="G326" s="37"/>
      <c r="H326" s="1008"/>
      <c r="I326" s="1008"/>
      <c r="J326" s="1008"/>
      <c r="K326" s="1008"/>
      <c r="L326" s="1008"/>
      <c r="M326" s="1008"/>
      <c r="N326" s="37"/>
      <c r="O326" s="37"/>
      <c r="P326" s="232"/>
      <c r="Q326" s="232"/>
      <c r="R326" s="232"/>
      <c r="S326" s="37"/>
      <c r="T326" s="37" t="s">
        <v>992</v>
      </c>
      <c r="V326" s="37"/>
      <c r="W326" s="37"/>
      <c r="X326" s="37"/>
      <c r="Y326" s="37"/>
      <c r="AA326" s="1008"/>
      <c r="AB326" s="1008"/>
      <c r="AC326" s="1008"/>
      <c r="AD326" s="1008"/>
      <c r="AE326" s="1008"/>
      <c r="AF326" s="1008"/>
      <c r="AG326" s="37"/>
      <c r="AH326" s="37"/>
      <c r="AI326" s="232"/>
      <c r="AJ326" s="232"/>
      <c r="AK326" s="232"/>
      <c r="BA326" s="37"/>
    </row>
    <row r="327" spans="2:53" ht="12.9" customHeight="1">
      <c r="B327" s="37" t="s">
        <v>1032</v>
      </c>
      <c r="C327" s="37"/>
      <c r="D327" s="37"/>
      <c r="E327" s="37"/>
      <c r="F327" s="37"/>
      <c r="G327" s="37"/>
      <c r="H327" s="1003" t="s">
        <v>1068</v>
      </c>
      <c r="I327" s="1004"/>
      <c r="J327" s="1004"/>
      <c r="K327" s="1004"/>
      <c r="L327" s="1004"/>
      <c r="M327" s="1004"/>
      <c r="N327" s="1005"/>
      <c r="O327" s="1005"/>
      <c r="P327" s="1005"/>
      <c r="Q327" s="1005"/>
      <c r="R327" s="1005"/>
      <c r="S327" s="37"/>
      <c r="T327" s="37" t="s">
        <v>1032</v>
      </c>
      <c r="V327" s="37"/>
      <c r="W327" s="37"/>
      <c r="X327" s="37"/>
      <c r="Y327" s="37"/>
      <c r="AA327" s="1004" t="s">
        <v>1069</v>
      </c>
      <c r="AB327" s="1004"/>
      <c r="AC327" s="1004"/>
      <c r="AD327" s="1004"/>
      <c r="AE327" s="1004"/>
      <c r="AF327" s="1004"/>
      <c r="AG327" s="1005"/>
      <c r="AH327" s="1005"/>
      <c r="AI327" s="1005"/>
      <c r="AJ327" s="1005"/>
      <c r="AK327" s="1005"/>
      <c r="BA327" s="37"/>
    </row>
    <row r="328" spans="2:53" ht="12.9" customHeight="1">
      <c r="B328" s="37"/>
      <c r="C328" s="37"/>
      <c r="D328" s="37"/>
      <c r="E328" s="37"/>
      <c r="F328" s="37"/>
      <c r="G328" s="37"/>
      <c r="P328" s="873"/>
      <c r="Q328" s="873"/>
      <c r="R328" s="873"/>
      <c r="S328" s="873"/>
      <c r="T328" s="873"/>
      <c r="U328" s="873"/>
      <c r="V328" s="37"/>
      <c r="W328" s="37"/>
      <c r="X328" s="232"/>
      <c r="Y328" s="232"/>
      <c r="Z328" s="232"/>
      <c r="BA328" s="37"/>
    </row>
    <row r="329" spans="2:53" ht="12.9" customHeight="1">
      <c r="B329" s="37" t="s">
        <v>1070</v>
      </c>
      <c r="C329" s="37"/>
      <c r="D329" s="37"/>
      <c r="E329" s="37"/>
      <c r="F329" s="37"/>
      <c r="H329" s="1005" t="s">
        <v>1071</v>
      </c>
      <c r="I329" s="1005"/>
      <c r="J329" s="1005"/>
      <c r="K329" s="1005"/>
      <c r="L329" s="1005"/>
      <c r="M329" s="1005"/>
      <c r="N329" s="1005"/>
      <c r="O329" s="1005"/>
      <c r="P329" s="1005"/>
      <c r="Q329" s="1005"/>
      <c r="R329" s="1005"/>
      <c r="T329" s="37" t="s">
        <v>1072</v>
      </c>
      <c r="V329" s="37"/>
      <c r="W329" s="37"/>
      <c r="X329" s="37"/>
      <c r="Y329" s="37"/>
      <c r="AA329" s="1002" t="s">
        <v>1073</v>
      </c>
      <c r="AB329" s="1005"/>
      <c r="AC329" s="1005"/>
      <c r="AD329" s="1005"/>
      <c r="AE329" s="1005"/>
      <c r="AF329" s="1005"/>
      <c r="AG329" s="1005"/>
      <c r="AH329" s="1005"/>
      <c r="AI329" s="1005"/>
      <c r="AJ329" s="1005"/>
      <c r="AK329" s="1005"/>
      <c r="BA329" s="37"/>
    </row>
    <row r="330" spans="2:53" ht="12.9" customHeight="1">
      <c r="B330" s="37" t="s">
        <v>1025</v>
      </c>
      <c r="C330" s="37"/>
      <c r="D330" s="37"/>
      <c r="E330" s="37"/>
      <c r="F330" s="37"/>
      <c r="H330" s="1004" t="s">
        <v>1074</v>
      </c>
      <c r="I330" s="1004"/>
      <c r="J330" s="1004"/>
      <c r="K330" s="1004"/>
      <c r="L330" s="1004"/>
      <c r="M330" s="1004"/>
      <c r="N330" s="1004"/>
      <c r="O330" s="1004"/>
      <c r="P330" s="1004"/>
      <c r="Q330" s="1004"/>
      <c r="R330" s="1004"/>
      <c r="T330" s="37" t="s">
        <v>1025</v>
      </c>
      <c r="V330" s="37"/>
      <c r="W330" s="37"/>
      <c r="X330" s="37"/>
      <c r="Y330" s="37"/>
      <c r="AA330" s="1003" t="s">
        <v>1075</v>
      </c>
      <c r="AB330" s="1004"/>
      <c r="AC330" s="1004"/>
      <c r="AD330" s="1004"/>
      <c r="AE330" s="1004"/>
      <c r="AF330" s="1004"/>
      <c r="AG330" s="1004"/>
      <c r="AH330" s="1004"/>
      <c r="AI330" s="1004"/>
      <c r="AJ330" s="1004"/>
      <c r="AK330" s="1004"/>
      <c r="BA330" s="37"/>
    </row>
    <row r="331" spans="2:53" ht="12.9" customHeight="1">
      <c r="B331" s="37" t="s">
        <v>1027</v>
      </c>
      <c r="C331" s="37"/>
      <c r="D331" s="37"/>
      <c r="E331" s="37"/>
      <c r="F331" s="37"/>
      <c r="G331" s="37"/>
      <c r="H331" s="1004" t="s">
        <v>1076</v>
      </c>
      <c r="I331" s="1004"/>
      <c r="J331" s="1004"/>
      <c r="K331" s="1004"/>
      <c r="L331" s="1004"/>
      <c r="M331" s="1004"/>
      <c r="N331" s="1004"/>
      <c r="O331" s="1004"/>
      <c r="P331" s="1004"/>
      <c r="Q331" s="1004"/>
      <c r="R331" s="1004"/>
      <c r="T331" s="37" t="s">
        <v>1028</v>
      </c>
      <c r="V331" s="37"/>
      <c r="W331" s="37"/>
      <c r="X331" s="37"/>
      <c r="Y331" s="37"/>
      <c r="AA331" s="1003" t="s">
        <v>1077</v>
      </c>
      <c r="AB331" s="1004"/>
      <c r="AC331" s="1004"/>
      <c r="AD331" s="1004"/>
      <c r="AE331" s="1004"/>
      <c r="AF331" s="1004"/>
      <c r="AG331" s="1004"/>
      <c r="AH331" s="1004"/>
      <c r="AI331" s="1004"/>
      <c r="AJ331" s="1004"/>
      <c r="AK331" s="1004"/>
      <c r="BA331" s="37"/>
    </row>
    <row r="332" spans="2:53" ht="12.9" customHeight="1">
      <c r="B332" s="37" t="s">
        <v>987</v>
      </c>
      <c r="C332" s="37"/>
      <c r="D332" s="37"/>
      <c r="E332" s="37"/>
      <c r="F332" s="37"/>
      <c r="H332" s="1004" t="s">
        <v>1078</v>
      </c>
      <c r="I332" s="1004"/>
      <c r="J332" s="1004"/>
      <c r="K332" s="1004"/>
      <c r="L332" s="1004"/>
      <c r="M332" s="1004"/>
      <c r="N332" s="1004"/>
      <c r="O332" s="1004"/>
      <c r="P332" s="1004"/>
      <c r="Q332" s="1004"/>
      <c r="R332" s="1004"/>
      <c r="T332" s="37" t="s">
        <v>987</v>
      </c>
      <c r="V332" s="37"/>
      <c r="W332" s="37"/>
      <c r="X332" s="37"/>
      <c r="Y332" s="37"/>
      <c r="AA332" s="1003" t="s">
        <v>1079</v>
      </c>
      <c r="AB332" s="1004"/>
      <c r="AC332" s="1004"/>
      <c r="AD332" s="1004"/>
      <c r="AE332" s="1004"/>
      <c r="AF332" s="1004"/>
      <c r="AG332" s="1004"/>
      <c r="AH332" s="1004"/>
      <c r="AI332" s="1004"/>
      <c r="AJ332" s="1004"/>
      <c r="AK332" s="1004"/>
      <c r="BA332" s="37"/>
    </row>
    <row r="333" spans="2:53" ht="12.9" customHeight="1">
      <c r="B333" s="37" t="s">
        <v>989</v>
      </c>
      <c r="C333" s="37"/>
      <c r="D333" s="37"/>
      <c r="E333" s="37"/>
      <c r="F333" s="37"/>
      <c r="G333" s="37"/>
      <c r="H333" s="1007" t="s">
        <v>1080</v>
      </c>
      <c r="I333" s="1007"/>
      <c r="J333" s="1007"/>
      <c r="K333" s="1007"/>
      <c r="L333" s="1007"/>
      <c r="M333" s="1007"/>
      <c r="N333" s="37" t="s">
        <v>991</v>
      </c>
      <c r="O333" s="37"/>
      <c r="P333" s="1002"/>
      <c r="Q333" s="1002"/>
      <c r="R333" s="1002"/>
      <c r="T333" s="37" t="s">
        <v>989</v>
      </c>
      <c r="V333" s="37"/>
      <c r="W333" s="37"/>
      <c r="X333" s="37"/>
      <c r="Y333" s="37"/>
      <c r="AA333" s="1007" t="s">
        <v>1081</v>
      </c>
      <c r="AB333" s="1007"/>
      <c r="AC333" s="1007"/>
      <c r="AD333" s="1007"/>
      <c r="AE333" s="1007"/>
      <c r="AF333" s="1007"/>
      <c r="AG333" s="37" t="s">
        <v>991</v>
      </c>
      <c r="AH333" s="37"/>
      <c r="AI333" s="1002"/>
      <c r="AJ333" s="1002"/>
      <c r="AK333" s="1002"/>
      <c r="BA333" s="37"/>
    </row>
    <row r="334" spans="2:53" ht="12.9" customHeight="1">
      <c r="B334" s="37" t="s">
        <v>992</v>
      </c>
      <c r="C334" s="37"/>
      <c r="D334" s="37"/>
      <c r="E334" s="37"/>
      <c r="F334" s="37"/>
      <c r="G334" s="37"/>
      <c r="H334" s="1008"/>
      <c r="I334" s="1008"/>
      <c r="J334" s="1008"/>
      <c r="K334" s="1008"/>
      <c r="L334" s="1008"/>
      <c r="M334" s="1008"/>
      <c r="N334" s="37"/>
      <c r="O334" s="37"/>
      <c r="P334" s="232"/>
      <c r="Q334" s="232"/>
      <c r="R334" s="232"/>
      <c r="T334" s="37" t="s">
        <v>992</v>
      </c>
      <c r="V334" s="37"/>
      <c r="W334" s="37"/>
      <c r="X334" s="37"/>
      <c r="Y334" s="37"/>
      <c r="AA334" s="1008" t="s">
        <v>1082</v>
      </c>
      <c r="AB334" s="1008"/>
      <c r="AC334" s="1008"/>
      <c r="AD334" s="1008"/>
      <c r="AE334" s="1008"/>
      <c r="AF334" s="1008"/>
      <c r="AG334" s="37"/>
      <c r="AH334" s="37"/>
      <c r="AI334" s="232"/>
      <c r="AJ334" s="232"/>
      <c r="AK334" s="232"/>
      <c r="BA334" s="37"/>
    </row>
    <row r="335" spans="2:53" ht="12.9" customHeight="1">
      <c r="B335" s="37" t="s">
        <v>1032</v>
      </c>
      <c r="C335" s="37"/>
      <c r="D335" s="37"/>
      <c r="E335" s="37"/>
      <c r="F335" s="37"/>
      <c r="G335" s="37"/>
      <c r="H335" s="1004" t="s">
        <v>1083</v>
      </c>
      <c r="I335" s="1004"/>
      <c r="J335" s="1004"/>
      <c r="K335" s="1004"/>
      <c r="L335" s="1004"/>
      <c r="M335" s="1004"/>
      <c r="N335" s="1005"/>
      <c r="O335" s="1005"/>
      <c r="P335" s="1005"/>
      <c r="Q335" s="1005"/>
      <c r="R335" s="1005"/>
      <c r="T335" s="37" t="s">
        <v>1032</v>
      </c>
      <c r="V335" s="37"/>
      <c r="W335" s="37"/>
      <c r="X335" s="37"/>
      <c r="Y335" s="37"/>
      <c r="AA335" s="1003" t="s">
        <v>1084</v>
      </c>
      <c r="AB335" s="1004"/>
      <c r="AC335" s="1004"/>
      <c r="AD335" s="1004"/>
      <c r="AE335" s="1004"/>
      <c r="AF335" s="1004"/>
      <c r="AG335" s="1005"/>
      <c r="AH335" s="1005"/>
      <c r="AI335" s="1005"/>
      <c r="AJ335" s="1005"/>
      <c r="AK335" s="1005"/>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1085</v>
      </c>
      <c r="C337" s="295"/>
      <c r="D337" s="295"/>
      <c r="E337" s="295"/>
      <c r="F337" s="295"/>
      <c r="G337" s="295"/>
      <c r="H337" s="1005" t="s">
        <v>1086</v>
      </c>
      <c r="I337" s="1005"/>
      <c r="J337" s="1005"/>
      <c r="K337" s="1005"/>
      <c r="L337" s="1005"/>
      <c r="M337" s="1005"/>
      <c r="N337" s="1005"/>
      <c r="O337" s="1005"/>
      <c r="P337" s="1005"/>
      <c r="Q337" s="1005"/>
      <c r="R337" s="1005"/>
      <c r="T337" s="295" t="s">
        <v>1087</v>
      </c>
      <c r="AA337" s="1005" t="s">
        <v>325</v>
      </c>
      <c r="AB337" s="1005"/>
      <c r="AC337" s="1005"/>
      <c r="AD337" s="1005"/>
      <c r="AE337" s="1005"/>
      <c r="AF337" s="1005"/>
      <c r="AG337" s="1005"/>
      <c r="AH337" s="1005"/>
      <c r="AI337" s="1005"/>
      <c r="AJ337" s="1005"/>
      <c r="AK337" s="1005"/>
      <c r="BA337" s="37"/>
    </row>
    <row r="338" spans="1:53" ht="12.9" customHeight="1">
      <c r="B338" s="295" t="s">
        <v>1025</v>
      </c>
      <c r="C338" s="295"/>
      <c r="D338" s="295"/>
      <c r="E338" s="295"/>
      <c r="F338" s="295"/>
      <c r="G338" s="295"/>
      <c r="H338" s="1004" t="s">
        <v>1088</v>
      </c>
      <c r="I338" s="1004"/>
      <c r="J338" s="1004"/>
      <c r="K338" s="1004"/>
      <c r="L338" s="1004"/>
      <c r="M338" s="1004"/>
      <c r="N338" s="1004"/>
      <c r="O338" s="1004"/>
      <c r="P338" s="1004"/>
      <c r="Q338" s="1004"/>
      <c r="R338" s="1004"/>
      <c r="T338" s="37" t="s">
        <v>1025</v>
      </c>
      <c r="AA338" s="1004"/>
      <c r="AB338" s="1004"/>
      <c r="AC338" s="1004"/>
      <c r="AD338" s="1004"/>
      <c r="AE338" s="1004"/>
      <c r="AF338" s="1004"/>
      <c r="AG338" s="1004"/>
      <c r="AH338" s="1004"/>
      <c r="AI338" s="1004"/>
      <c r="AJ338" s="1004"/>
      <c r="AK338" s="1004"/>
      <c r="BA338" s="37"/>
    </row>
    <row r="339" spans="1:53" ht="12.9" customHeight="1">
      <c r="B339" s="295" t="s">
        <v>1027</v>
      </c>
      <c r="C339" s="295"/>
      <c r="D339" s="295"/>
      <c r="E339" s="295"/>
      <c r="F339" s="295"/>
      <c r="G339" s="295"/>
      <c r="H339" s="1004" t="s">
        <v>1089</v>
      </c>
      <c r="I339" s="1004"/>
      <c r="J339" s="1004"/>
      <c r="K339" s="1004"/>
      <c r="L339" s="1004"/>
      <c r="M339" s="1004"/>
      <c r="N339" s="1004"/>
      <c r="O339" s="1004"/>
      <c r="P339" s="1004"/>
      <c r="Q339" s="1004"/>
      <c r="R339" s="1004"/>
      <c r="T339" s="37" t="s">
        <v>1028</v>
      </c>
      <c r="AA339" s="1004"/>
      <c r="AB339" s="1004"/>
      <c r="AC339" s="1004"/>
      <c r="AD339" s="1004"/>
      <c r="AE339" s="1004"/>
      <c r="AF339" s="1004"/>
      <c r="AG339" s="1004"/>
      <c r="AH339" s="1004"/>
      <c r="AI339" s="1004"/>
      <c r="AJ339" s="1004"/>
      <c r="AK339" s="1004"/>
    </row>
    <row r="340" spans="1:53" ht="12.9" customHeight="1">
      <c r="B340" s="295" t="s">
        <v>987</v>
      </c>
      <c r="C340" s="295"/>
      <c r="D340" s="295"/>
      <c r="E340" s="295"/>
      <c r="F340" s="295"/>
      <c r="G340" s="295"/>
      <c r="H340" s="1004" t="s">
        <v>1090</v>
      </c>
      <c r="I340" s="1004"/>
      <c r="J340" s="1004"/>
      <c r="K340" s="1004"/>
      <c r="L340" s="1004"/>
      <c r="M340" s="1004"/>
      <c r="N340" s="1004"/>
      <c r="O340" s="1004"/>
      <c r="P340" s="1004"/>
      <c r="Q340" s="1004"/>
      <c r="R340" s="1004"/>
      <c r="T340" s="37" t="s">
        <v>987</v>
      </c>
      <c r="AA340" s="1004"/>
      <c r="AB340" s="1004"/>
      <c r="AC340" s="1004"/>
      <c r="AD340" s="1004"/>
      <c r="AE340" s="1004"/>
      <c r="AF340" s="1004"/>
      <c r="AG340" s="1004"/>
      <c r="AH340" s="1004"/>
      <c r="AI340" s="1004"/>
      <c r="AJ340" s="1004"/>
      <c r="AK340" s="1004"/>
    </row>
    <row r="341" spans="1:53" ht="12.9" customHeight="1">
      <c r="B341" s="295" t="s">
        <v>989</v>
      </c>
      <c r="C341" s="295"/>
      <c r="D341" s="295"/>
      <c r="E341" s="295"/>
      <c r="F341" s="295"/>
      <c r="G341" s="295"/>
      <c r="H341" s="1007" t="s">
        <v>1091</v>
      </c>
      <c r="I341" s="1007"/>
      <c r="J341" s="1007"/>
      <c r="K341" s="1007"/>
      <c r="L341" s="1007"/>
      <c r="M341" s="1007"/>
      <c r="N341" s="37" t="s">
        <v>991</v>
      </c>
      <c r="O341" s="37"/>
      <c r="P341" s="1002"/>
      <c r="Q341" s="1002"/>
      <c r="R341" s="1002"/>
      <c r="T341" s="37" t="s">
        <v>989</v>
      </c>
      <c r="AA341" s="1007"/>
      <c r="AB341" s="1007"/>
      <c r="AC341" s="1007"/>
      <c r="AD341" s="1007"/>
      <c r="AE341" s="1007"/>
      <c r="AF341" s="1007"/>
      <c r="AG341" s="37" t="s">
        <v>991</v>
      </c>
      <c r="AH341" s="37"/>
      <c r="AI341" s="1002"/>
      <c r="AJ341" s="1002"/>
      <c r="AK341" s="1002"/>
    </row>
    <row r="342" spans="1:53" ht="12.9" customHeight="1">
      <c r="B342" s="295" t="s">
        <v>992</v>
      </c>
      <c r="C342" s="295"/>
      <c r="D342" s="295"/>
      <c r="E342" s="295"/>
      <c r="F342" s="295"/>
      <c r="G342" s="295"/>
      <c r="H342" s="1008"/>
      <c r="I342" s="1008"/>
      <c r="J342" s="1008"/>
      <c r="K342" s="1008"/>
      <c r="L342" s="1008"/>
      <c r="M342" s="1008"/>
      <c r="N342" s="37"/>
      <c r="O342" s="37"/>
      <c r="P342" s="232"/>
      <c r="Q342" s="232"/>
      <c r="R342" s="232"/>
      <c r="T342" s="37" t="s">
        <v>992</v>
      </c>
      <c r="AA342" s="1008"/>
      <c r="AB342" s="1008"/>
      <c r="AC342" s="1008"/>
      <c r="AD342" s="1008"/>
      <c r="AE342" s="1008"/>
      <c r="AF342" s="1008"/>
      <c r="AG342" s="37"/>
      <c r="AH342" s="37"/>
      <c r="AI342" s="232"/>
      <c r="AJ342" s="232"/>
      <c r="AK342" s="232"/>
    </row>
    <row r="343" spans="1:53" ht="12.9" customHeight="1">
      <c r="B343" s="295" t="s">
        <v>1032</v>
      </c>
      <c r="C343" s="295"/>
      <c r="D343" s="295"/>
      <c r="E343" s="295"/>
      <c r="F343" s="295"/>
      <c r="G343" s="295"/>
      <c r="H343" s="1003" t="s">
        <v>1092</v>
      </c>
      <c r="I343" s="1004"/>
      <c r="J343" s="1004"/>
      <c r="K343" s="1004"/>
      <c r="L343" s="1004"/>
      <c r="M343" s="1004"/>
      <c r="N343" s="1005"/>
      <c r="O343" s="1005"/>
      <c r="P343" s="1005"/>
      <c r="Q343" s="1005"/>
      <c r="R343" s="1005"/>
      <c r="T343" s="37" t="s">
        <v>1032</v>
      </c>
      <c r="AA343" s="1004"/>
      <c r="AB343" s="1004"/>
      <c r="AC343" s="1004"/>
      <c r="AD343" s="1004"/>
      <c r="AE343" s="1004"/>
      <c r="AF343" s="1004"/>
      <c r="AG343" s="1005"/>
      <c r="AH343" s="1005"/>
      <c r="AI343" s="1005"/>
      <c r="AJ343" s="1005"/>
      <c r="AK343" s="1005"/>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06" t="s">
        <v>1093</v>
      </c>
      <c r="B345" s="1006"/>
      <c r="C345" s="1006"/>
      <c r="D345" s="1006"/>
      <c r="E345" s="1006"/>
      <c r="F345" s="1006"/>
      <c r="G345" s="1006"/>
      <c r="H345" s="1006"/>
      <c r="I345" s="1006"/>
      <c r="J345" s="1006"/>
      <c r="K345" s="1006"/>
      <c r="L345" s="1006"/>
      <c r="M345" s="1006"/>
      <c r="N345" s="1006"/>
      <c r="O345" s="1006"/>
      <c r="P345" s="1006"/>
      <c r="Q345" s="1006"/>
      <c r="R345" s="1006"/>
      <c r="S345" s="1006"/>
      <c r="T345" s="1006"/>
      <c r="U345" s="1006"/>
      <c r="V345" s="1006"/>
      <c r="W345" s="1006"/>
      <c r="X345" s="1006"/>
      <c r="Y345" s="1006"/>
      <c r="Z345" s="1006"/>
      <c r="AA345" s="1006"/>
      <c r="AB345" s="1006"/>
      <c r="AC345" s="1006"/>
      <c r="AD345" s="1006"/>
      <c r="AE345" s="1006"/>
      <c r="AF345" s="1006"/>
      <c r="AG345" s="1006"/>
      <c r="AH345" s="1006"/>
      <c r="AI345" s="1006"/>
      <c r="AJ345" s="1006"/>
      <c r="AK345" s="1006"/>
      <c r="AL345" s="1006"/>
      <c r="AM345" s="1006"/>
      <c r="AN345" s="1006"/>
      <c r="AO345" s="1006"/>
      <c r="AP345" s="1006"/>
      <c r="AQ345" s="1006"/>
      <c r="AR345" s="1006"/>
      <c r="AS345" s="1006"/>
      <c r="AT345" s="1006"/>
    </row>
    <row r="346" spans="1:53" ht="12.9" customHeight="1">
      <c r="A346" s="1006"/>
      <c r="B346" s="1006"/>
      <c r="C346" s="1006"/>
      <c r="D346" s="1006"/>
      <c r="E346" s="1006"/>
      <c r="F346" s="1006"/>
      <c r="G346" s="1006"/>
      <c r="H346" s="1006"/>
      <c r="I346" s="1006"/>
      <c r="J346" s="1006"/>
      <c r="K346" s="1006"/>
      <c r="L346" s="1006"/>
      <c r="M346" s="1006"/>
      <c r="N346" s="1006"/>
      <c r="O346" s="1006"/>
      <c r="P346" s="1006"/>
      <c r="Q346" s="1006"/>
      <c r="R346" s="1006"/>
      <c r="S346" s="1006"/>
      <c r="T346" s="1006"/>
      <c r="U346" s="1006"/>
      <c r="V346" s="1006"/>
      <c r="W346" s="1006"/>
      <c r="X346" s="1006"/>
      <c r="Y346" s="1006"/>
      <c r="Z346" s="1006"/>
      <c r="AA346" s="1006"/>
      <c r="AB346" s="1006"/>
      <c r="AC346" s="1006"/>
      <c r="AD346" s="1006"/>
      <c r="AE346" s="1006"/>
      <c r="AF346" s="1006"/>
      <c r="AG346" s="1006"/>
      <c r="AH346" s="1006"/>
      <c r="AI346" s="1006"/>
      <c r="AJ346" s="1006"/>
      <c r="AK346" s="1006"/>
      <c r="AL346" s="1006"/>
      <c r="AM346" s="1006"/>
      <c r="AN346" s="1006"/>
      <c r="AO346" s="1006"/>
      <c r="AP346" s="1006"/>
      <c r="AQ346" s="1006"/>
      <c r="AR346" s="1006"/>
      <c r="AS346" s="1006"/>
      <c r="AT346" s="1006"/>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791</v>
      </c>
      <c r="B348" s="3"/>
      <c r="C348" s="3" t="s">
        <v>1094</v>
      </c>
    </row>
    <row r="349" spans="1:53" ht="12.9" customHeight="1">
      <c r="D349" t="s">
        <v>1095</v>
      </c>
      <c r="M349" s="1063" t="s">
        <v>325</v>
      </c>
      <c r="N349" s="1063"/>
      <c r="P349" t="s">
        <v>1096</v>
      </c>
      <c r="AJ349" s="1063" t="s">
        <v>325</v>
      </c>
      <c r="AK349" s="1063"/>
    </row>
    <row r="350" spans="1:53" ht="12.9" customHeight="1">
      <c r="D350" s="37" t="s">
        <v>1097</v>
      </c>
      <c r="M350" s="1063" t="s">
        <v>325</v>
      </c>
      <c r="N350" s="1063"/>
      <c r="P350" s="37" t="s">
        <v>1098</v>
      </c>
      <c r="AJ350" s="1092"/>
      <c r="AK350" s="1092"/>
    </row>
    <row r="351" spans="1:53" ht="12.9" customHeight="1">
      <c r="D351" t="s">
        <v>1099</v>
      </c>
      <c r="M351" s="1063" t="s">
        <v>708</v>
      </c>
      <c r="N351" s="1063"/>
      <c r="P351" t="s">
        <v>1100</v>
      </c>
      <c r="AJ351" s="1063" t="s">
        <v>708</v>
      </c>
      <c r="AK351" s="1063"/>
    </row>
    <row r="352" spans="1:53" ht="12.9" customHeight="1">
      <c r="D352" t="s">
        <v>1101</v>
      </c>
      <c r="M352" s="1063" t="s">
        <v>325</v>
      </c>
      <c r="N352" s="1063"/>
      <c r="Q352" s="37"/>
    </row>
    <row r="353" spans="1:57" ht="12.9" customHeight="1">
      <c r="P353" s="295"/>
      <c r="Q353" s="295"/>
      <c r="R353" s="295"/>
    </row>
    <row r="354" spans="1:57" ht="12.9" customHeight="1"/>
    <row r="355" spans="1:57" ht="12.9" customHeight="1">
      <c r="A355" s="3" t="s">
        <v>826</v>
      </c>
      <c r="B355" s="3"/>
      <c r="C355" s="3" t="s">
        <v>1102</v>
      </c>
      <c r="D355" s="3"/>
    </row>
    <row r="356" spans="1:57" ht="12.9" customHeight="1">
      <c r="D356" s="41" t="s">
        <v>1103</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1104</v>
      </c>
      <c r="E357" s="42"/>
      <c r="F357" s="42"/>
      <c r="G357" s="42"/>
      <c r="H357" s="42"/>
      <c r="I357" s="42"/>
      <c r="J357" s="42"/>
      <c r="K357" s="42"/>
      <c r="L357" s="42"/>
      <c r="M357" s="42"/>
      <c r="N357" s="1063" t="s">
        <v>325</v>
      </c>
      <c r="O357" s="1063"/>
      <c r="P357" s="42"/>
      <c r="Q357" s="42"/>
      <c r="R357" s="42"/>
      <c r="S357" s="42"/>
      <c r="T357" s="42"/>
      <c r="U357" s="42"/>
      <c r="V357" s="42"/>
      <c r="W357" s="42"/>
      <c r="X357" s="42"/>
      <c r="Y357" s="42"/>
      <c r="Z357" s="42"/>
      <c r="AC357" s="42"/>
      <c r="AD357" s="42"/>
      <c r="AE357" s="42"/>
    </row>
    <row r="358" spans="1:57" ht="12.9" customHeight="1">
      <c r="E358" t="s">
        <v>1105</v>
      </c>
      <c r="Y358" s="1063" t="s">
        <v>325</v>
      </c>
      <c r="Z358" s="1063"/>
    </row>
    <row r="359" spans="1:57" ht="12.9" customHeight="1">
      <c r="D359" t="s">
        <v>1106</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1107</v>
      </c>
      <c r="E360" s="42"/>
      <c r="F360" s="42"/>
      <c r="G360" s="42"/>
      <c r="H360" s="42"/>
      <c r="I360" s="42"/>
      <c r="J360" s="1063" t="s">
        <v>708</v>
      </c>
      <c r="K360" s="1063"/>
      <c r="L360" s="42"/>
      <c r="M360" s="42"/>
      <c r="N360" s="42"/>
      <c r="O360" s="42"/>
      <c r="P360" s="42"/>
      <c r="Q360" s="42"/>
      <c r="R360" s="42"/>
      <c r="S360" s="42"/>
      <c r="T360" s="42"/>
      <c r="U360" s="42"/>
      <c r="V360" s="42"/>
      <c r="W360" s="42"/>
      <c r="X360" s="42"/>
      <c r="Y360" s="42"/>
      <c r="Z360" s="42"/>
      <c r="AC360" s="42"/>
      <c r="AD360" s="42"/>
      <c r="AE360" s="42"/>
    </row>
    <row r="361" spans="1:57" ht="12.9" customHeight="1">
      <c r="E361" s="930" t="s">
        <v>1108</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2.9"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759</v>
      </c>
    </row>
    <row r="363" spans="1:57" ht="12.9" customHeight="1">
      <c r="E363" s="37" t="s">
        <v>1109</v>
      </c>
      <c r="F363" s="37"/>
      <c r="G363" s="37"/>
      <c r="H363" s="37"/>
      <c r="I363" s="37"/>
      <c r="J363" s="37"/>
      <c r="K363" s="37"/>
      <c r="L363" s="37"/>
      <c r="N363" s="1061">
        <v>46</v>
      </c>
      <c r="O363" s="1061"/>
      <c r="P363" s="1061"/>
      <c r="Q363" s="1061"/>
      <c r="R363" s="37"/>
      <c r="U363" s="37" t="s">
        <v>1110</v>
      </c>
      <c r="V363" s="37"/>
      <c r="W363" s="37"/>
      <c r="X363" s="37"/>
      <c r="Y363" s="37"/>
      <c r="Z363" s="37"/>
      <c r="AA363" s="37"/>
      <c r="AB363" s="37"/>
      <c r="AC363" s="1061">
        <v>2</v>
      </c>
      <c r="AD363" s="1061"/>
      <c r="AE363" s="1061"/>
      <c r="AF363" s="1061"/>
      <c r="BE363" t="s">
        <v>708</v>
      </c>
    </row>
    <row r="364" spans="1:57" ht="12.9" customHeight="1">
      <c r="E364" s="37" t="s">
        <v>1111</v>
      </c>
      <c r="F364" s="37"/>
      <c r="G364" s="37"/>
      <c r="H364" s="37"/>
      <c r="I364" s="37"/>
      <c r="J364" s="37"/>
      <c r="K364" s="37"/>
      <c r="L364" s="37"/>
      <c r="N364" s="1061">
        <v>2</v>
      </c>
      <c r="O364" s="1061"/>
      <c r="P364" s="1061"/>
      <c r="Q364" s="1061"/>
      <c r="R364" s="37"/>
      <c r="U364" s="37" t="s">
        <v>1112</v>
      </c>
      <c r="V364" s="37"/>
      <c r="W364" s="37"/>
      <c r="X364" s="37"/>
      <c r="Y364" s="37"/>
      <c r="Z364" s="37"/>
      <c r="AA364" s="37"/>
      <c r="AB364" s="37"/>
      <c r="AC364" s="1061">
        <v>23</v>
      </c>
      <c r="AD364" s="1061"/>
      <c r="AE364" s="1061"/>
      <c r="AF364" s="1061"/>
    </row>
    <row r="365" spans="1:57" ht="12.9" customHeight="1">
      <c r="E365" s="37" t="s">
        <v>1113</v>
      </c>
      <c r="F365" s="37"/>
      <c r="G365" s="37"/>
      <c r="H365" s="37"/>
      <c r="I365" s="37"/>
      <c r="J365" s="37"/>
      <c r="K365" s="37"/>
      <c r="L365" s="37"/>
      <c r="N365" s="1061">
        <v>1</v>
      </c>
      <c r="O365" s="1061"/>
      <c r="P365" s="1061"/>
      <c r="Q365" s="1061"/>
      <c r="R365" s="37"/>
      <c r="V365" s="37"/>
      <c r="W365" s="37"/>
      <c r="X365" s="37"/>
      <c r="Y365" s="37"/>
      <c r="Z365" s="37"/>
      <c r="AA365" s="37"/>
      <c r="AB365" s="37"/>
    </row>
    <row r="366" spans="1:57" ht="12.9" customHeight="1">
      <c r="E366" s="37" t="s">
        <v>1114</v>
      </c>
      <c r="F366" s="37"/>
      <c r="G366" s="37"/>
      <c r="H366" s="37"/>
      <c r="I366" s="37"/>
      <c r="J366" s="37"/>
      <c r="K366" s="37"/>
      <c r="L366" s="37"/>
      <c r="N366" s="1281" t="s">
        <v>1115</v>
      </c>
      <c r="O366" s="1281"/>
      <c r="P366" s="1281"/>
      <c r="Q366" s="1281"/>
      <c r="R366" s="1281"/>
      <c r="S366" s="1281"/>
      <c r="T366" s="1281"/>
      <c r="U366" s="1281"/>
      <c r="V366" s="1281"/>
      <c r="W366" s="1281"/>
      <c r="X366" s="1281"/>
      <c r="Y366" s="1281"/>
      <c r="Z366" s="1281"/>
      <c r="AA366" s="1281"/>
      <c r="AB366" s="1281"/>
      <c r="AC366" s="1281"/>
      <c r="AD366" s="1281"/>
      <c r="AE366" s="1281"/>
      <c r="AF366" s="1281"/>
    </row>
    <row r="367" spans="1:57" ht="12.9" customHeight="1">
      <c r="E367" s="37"/>
      <c r="F367" s="37"/>
      <c r="G367" s="37"/>
      <c r="H367" s="37"/>
      <c r="I367" s="37"/>
      <c r="J367" s="37"/>
      <c r="K367" s="37"/>
      <c r="L367" s="37"/>
      <c r="N367" s="1282"/>
      <c r="O367" s="1282"/>
      <c r="P367" s="1282"/>
      <c r="Q367" s="1282"/>
      <c r="R367" s="1282"/>
      <c r="S367" s="1282"/>
      <c r="T367" s="1282"/>
      <c r="U367" s="1282"/>
      <c r="V367" s="1282"/>
      <c r="W367" s="1282"/>
      <c r="X367" s="1282"/>
      <c r="Y367" s="1282"/>
      <c r="Z367" s="1282"/>
      <c r="AA367" s="1282"/>
      <c r="AB367" s="1282"/>
      <c r="AC367" s="1282"/>
      <c r="AD367" s="1282"/>
      <c r="AE367" s="1282"/>
      <c r="AF367" s="1282"/>
    </row>
    <row r="368" spans="1:57" ht="12.9" customHeight="1">
      <c r="E368" s="37"/>
      <c r="F368" s="37"/>
      <c r="G368" s="37"/>
      <c r="H368" s="37"/>
      <c r="I368" s="37"/>
      <c r="J368" s="37"/>
      <c r="K368" s="37"/>
      <c r="L368" s="37"/>
    </row>
    <row r="369" spans="1:36" ht="12.9" customHeight="1">
      <c r="D369" s="302" t="s">
        <v>1116</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1117</v>
      </c>
      <c r="F370" s="295"/>
      <c r="G370" s="295"/>
      <c r="H370" s="295"/>
      <c r="I370" s="295"/>
      <c r="J370" s="295"/>
      <c r="K370" s="295"/>
      <c r="L370" s="295"/>
      <c r="M370" s="295"/>
      <c r="O370" s="295"/>
      <c r="P370" s="824" t="s">
        <v>802</v>
      </c>
      <c r="Q370" s="295" t="s">
        <v>803</v>
      </c>
      <c r="R370" s="295"/>
      <c r="S370" s="1276"/>
      <c r="T370" s="1276"/>
      <c r="U370" s="299" t="s">
        <v>804</v>
      </c>
      <c r="V370" s="1276"/>
      <c r="W370" s="1276"/>
      <c r="X370" s="295"/>
      <c r="Z370" s="295"/>
      <c r="AA370" s="824" t="s">
        <v>802</v>
      </c>
      <c r="AB370" s="295" t="s">
        <v>803</v>
      </c>
      <c r="AC370" s="295"/>
      <c r="AD370" s="1276"/>
      <c r="AE370" s="1276"/>
      <c r="AF370" s="299" t="s">
        <v>804</v>
      </c>
      <c r="AG370" s="1276"/>
      <c r="AH370" s="1276"/>
    </row>
    <row r="371" spans="1:36" ht="12.9" customHeight="1">
      <c r="D371" s="295"/>
      <c r="E371" s="295" t="s">
        <v>1118</v>
      </c>
      <c r="F371" s="295"/>
      <c r="G371" s="295"/>
      <c r="H371" s="295"/>
      <c r="I371" s="295"/>
      <c r="J371" s="295"/>
      <c r="K371" s="295"/>
      <c r="L371" s="295"/>
      <c r="M371" s="295"/>
      <c r="N371" s="1276"/>
      <c r="O371" s="1276"/>
      <c r="P371" s="1276"/>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1119</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0" t="s">
        <v>325</v>
      </c>
      <c r="AH372" s="1060"/>
    </row>
    <row r="373" spans="1:36" ht="12.9" customHeight="1">
      <c r="D373" s="295"/>
      <c r="E373" s="295"/>
      <c r="F373" s="295"/>
      <c r="G373" s="295" t="s">
        <v>1120</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0" t="s">
        <v>325</v>
      </c>
      <c r="AH373" s="1060"/>
    </row>
    <row r="374" spans="1:36" ht="12.9" customHeight="1">
      <c r="D374" s="295"/>
      <c r="E374" s="295"/>
      <c r="F374" s="295"/>
      <c r="G374" s="416" t="s">
        <v>1121</v>
      </c>
      <c r="H374" s="295"/>
      <c r="I374" s="295"/>
      <c r="J374" s="295"/>
      <c r="K374" s="295"/>
      <c r="L374" s="295"/>
      <c r="M374" s="295"/>
      <c r="N374" s="295"/>
      <c r="O374" s="295"/>
      <c r="P374" s="295"/>
      <c r="Q374" s="295"/>
      <c r="R374" s="295"/>
      <c r="S374" s="295"/>
      <c r="T374" s="295"/>
      <c r="U374" s="295"/>
      <c r="V374" s="1060" t="s">
        <v>325</v>
      </c>
      <c r="W374" s="1060"/>
      <c r="X374" s="295"/>
      <c r="Y374" s="368" t="s">
        <v>1122</v>
      </c>
      <c r="Z374" s="295"/>
      <c r="AA374" s="295"/>
      <c r="AB374" s="295"/>
      <c r="AC374" s="295"/>
      <c r="AD374" s="295"/>
      <c r="AE374" s="295"/>
      <c r="AF374" s="295"/>
      <c r="AG374" s="295"/>
      <c r="AH374" s="295"/>
    </row>
    <row r="375" spans="1:36" ht="12.9" customHeight="1">
      <c r="D375" s="295"/>
      <c r="E375" s="295" t="s">
        <v>1123</v>
      </c>
      <c r="F375" s="295"/>
      <c r="G375" s="295"/>
      <c r="H375" s="295"/>
      <c r="I375" s="295"/>
      <c r="J375" s="295"/>
      <c r="K375" s="295"/>
      <c r="L375" s="295"/>
      <c r="M375" s="295"/>
      <c r="N375" s="295"/>
      <c r="O375" s="295"/>
      <c r="P375" s="295"/>
      <c r="Q375" s="295"/>
      <c r="R375" s="295"/>
      <c r="S375" s="295"/>
      <c r="T375" s="295"/>
      <c r="U375" s="295"/>
      <c r="V375" s="1060" t="s">
        <v>325</v>
      </c>
      <c r="W375" s="1060"/>
      <c r="X375" s="295"/>
      <c r="Y375" s="295" t="s">
        <v>1124</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907</v>
      </c>
      <c r="B377" s="3"/>
      <c r="C377" s="3" t="s">
        <v>153</v>
      </c>
    </row>
    <row r="378" spans="1:36" ht="12.9" customHeight="1">
      <c r="D378" t="s">
        <v>1125</v>
      </c>
      <c r="J378" s="1002" t="s">
        <v>1126</v>
      </c>
      <c r="K378" s="1005"/>
      <c r="L378" s="1005"/>
      <c r="M378" s="1005"/>
      <c r="N378" s="1005"/>
      <c r="O378" s="1005"/>
      <c r="P378" s="1005"/>
      <c r="Q378" s="1005"/>
      <c r="R378" s="1005"/>
      <c r="S378" s="1005"/>
      <c r="T378" s="1005"/>
      <c r="U378" s="1005"/>
      <c r="V378" s="12" t="s">
        <v>1127</v>
      </c>
      <c r="W378" s="12"/>
      <c r="X378" s="12"/>
      <c r="Y378" s="12"/>
      <c r="Z378" s="12"/>
      <c r="AA378" s="12"/>
      <c r="AB378" s="12"/>
      <c r="AC378" s="1005" t="str">
        <f>J379</f>
        <v>Michael J Conway Jr</v>
      </c>
      <c r="AD378" s="1005"/>
      <c r="AE378" s="1005"/>
      <c r="AF378" s="1005"/>
      <c r="AG378" s="1005"/>
      <c r="AH378" s="1005"/>
      <c r="AI378" s="1005"/>
      <c r="AJ378" s="1005"/>
    </row>
    <row r="379" spans="1:36" ht="12.9" customHeight="1">
      <c r="D379" s="37" t="s">
        <v>1128</v>
      </c>
      <c r="J379" s="1004" t="s">
        <v>1129</v>
      </c>
      <c r="K379" s="1004"/>
      <c r="L379" s="1004"/>
      <c r="M379" s="1004"/>
      <c r="N379" s="1004"/>
      <c r="O379" s="1004"/>
      <c r="P379" s="1004"/>
      <c r="Q379" s="1004"/>
      <c r="R379" s="1004"/>
      <c r="S379" s="1004"/>
      <c r="T379" s="1004"/>
      <c r="U379" s="1004"/>
      <c r="V379" s="37" t="s">
        <v>1128</v>
      </c>
      <c r="W379" s="12"/>
      <c r="X379" s="12"/>
      <c r="Y379" s="12"/>
      <c r="Z379" s="12"/>
      <c r="AA379" s="12"/>
      <c r="AB379" s="12"/>
      <c r="AC379" s="1005"/>
      <c r="AD379" s="1005"/>
      <c r="AE379" s="1005"/>
      <c r="AF379" s="1005"/>
      <c r="AG379" s="1005"/>
      <c r="AH379" s="1005"/>
      <c r="AI379" s="1005"/>
      <c r="AJ379" s="1005"/>
    </row>
    <row r="380" spans="1:36" ht="12.9" customHeight="1">
      <c r="D380" s="37" t="s">
        <v>746</v>
      </c>
      <c r="J380" s="1004" t="s">
        <v>1018</v>
      </c>
      <c r="K380" s="1004"/>
      <c r="L380" s="1004"/>
      <c r="M380" s="1004"/>
      <c r="N380" s="1004"/>
      <c r="O380" s="1004"/>
      <c r="P380" s="1004"/>
      <c r="Q380" s="1004"/>
      <c r="R380" s="1004"/>
      <c r="S380" s="1004"/>
      <c r="T380" s="1004"/>
      <c r="U380" s="1004"/>
      <c r="V380" s="37" t="s">
        <v>746</v>
      </c>
      <c r="W380" s="12"/>
      <c r="X380" s="12"/>
      <c r="Y380" s="12"/>
      <c r="Z380" s="12"/>
      <c r="AA380" s="12"/>
      <c r="AB380" s="12"/>
      <c r="AC380" s="1005"/>
      <c r="AD380" s="1005"/>
      <c r="AE380" s="1005"/>
      <c r="AF380" s="1005"/>
      <c r="AG380" s="1005"/>
      <c r="AH380" s="1005"/>
      <c r="AI380" s="1005"/>
      <c r="AJ380" s="1005"/>
    </row>
    <row r="381" spans="1:36" ht="12.9" customHeight="1">
      <c r="D381" t="s">
        <v>1130</v>
      </c>
      <c r="J381" s="1090" t="s">
        <v>1131</v>
      </c>
      <c r="K381" s="1090"/>
      <c r="L381" s="1090"/>
      <c r="M381" s="1090"/>
      <c r="N381" s="1090"/>
      <c r="O381" s="1090"/>
      <c r="P381" s="1090"/>
      <c r="Q381" s="1090"/>
      <c r="R381" s="1090"/>
      <c r="S381" s="1090"/>
      <c r="T381" s="1090"/>
      <c r="U381" s="1090"/>
      <c r="V381" s="1005"/>
      <c r="W381" s="1005"/>
      <c r="X381" s="1005"/>
      <c r="Y381" s="1005"/>
      <c r="Z381" s="1005"/>
      <c r="AA381" s="1005"/>
      <c r="AB381" s="1005"/>
      <c r="AC381" s="1005"/>
      <c r="AD381" s="1005"/>
      <c r="AE381" s="1005"/>
      <c r="AF381" s="1005"/>
      <c r="AG381" s="1005"/>
      <c r="AH381" s="1005"/>
      <c r="AI381" s="1005"/>
      <c r="AJ381" s="1005"/>
    </row>
    <row r="382" spans="1:36" ht="12.9" customHeight="1">
      <c r="D382" t="s">
        <v>1132</v>
      </c>
      <c r="Q382" s="1396">
        <v>45413</v>
      </c>
      <c r="R382" s="1396"/>
      <c r="S382" s="1396"/>
      <c r="T382" s="1396"/>
      <c r="U382" s="1396"/>
      <c r="V382" t="s">
        <v>1133</v>
      </c>
      <c r="AI382" s="1063" t="s">
        <v>759</v>
      </c>
      <c r="AJ382" s="1063"/>
    </row>
    <row r="383" spans="1:36" ht="12.9" customHeight="1">
      <c r="D383" t="s">
        <v>1134</v>
      </c>
      <c r="Q383" s="1202">
        <v>46022</v>
      </c>
      <c r="R383" s="1283"/>
      <c r="S383" s="1283"/>
      <c r="T383" s="1283"/>
      <c r="U383" s="1283"/>
      <c r="W383" s="27" t="s">
        <v>1135</v>
      </c>
      <c r="AG383" s="1078">
        <v>0</v>
      </c>
      <c r="AH383" s="1078"/>
      <c r="AI383" s="1078"/>
      <c r="AJ383" s="1078"/>
    </row>
    <row r="384" spans="1:36" ht="12.9" customHeight="1">
      <c r="D384" t="s">
        <v>1136</v>
      </c>
      <c r="Q384" s="1062">
        <v>2110000</v>
      </c>
      <c r="R384" s="1062"/>
      <c r="S384" s="1062"/>
      <c r="T384" s="1062"/>
      <c r="U384" s="1062"/>
      <c r="V384" s="37" t="s">
        <v>1137</v>
      </c>
      <c r="AG384" s="1219">
        <v>45657</v>
      </c>
      <c r="AH384" s="1219"/>
      <c r="AI384" s="1219"/>
      <c r="AJ384" s="1219"/>
    </row>
    <row r="385" spans="4:36" ht="12.9" customHeight="1">
      <c r="D385" t="s">
        <v>989</v>
      </c>
      <c r="I385" s="1007"/>
      <c r="J385" s="1007"/>
      <c r="K385" s="1007"/>
      <c r="L385" s="1007"/>
      <c r="M385" s="1007"/>
      <c r="N385" s="1007"/>
      <c r="Q385" s="37" t="s">
        <v>991</v>
      </c>
      <c r="S385" s="1094"/>
      <c r="T385" s="1094"/>
      <c r="U385" s="1094"/>
      <c r="V385" t="s">
        <v>1138</v>
      </c>
      <c r="AI385" s="1063" t="s">
        <v>759</v>
      </c>
      <c r="AJ385" s="1063"/>
    </row>
    <row r="386" spans="4:36" ht="12.9" customHeight="1">
      <c r="D386" t="s">
        <v>1139</v>
      </c>
      <c r="Q386" s="1120"/>
      <c r="R386" s="1120"/>
      <c r="S386" s="1120"/>
      <c r="T386" s="1120"/>
      <c r="U386" s="1120"/>
      <c r="V386" t="s">
        <v>1140</v>
      </c>
      <c r="AG386" s="1078"/>
      <c r="AH386" s="1078"/>
      <c r="AI386" s="1078"/>
      <c r="AJ386" s="1078"/>
    </row>
    <row r="387" spans="4:36" ht="12.9" customHeight="1">
      <c r="D387" t="s">
        <v>1141</v>
      </c>
      <c r="Q387" s="1345"/>
      <c r="R387" s="1345"/>
      <c r="S387" s="1345"/>
      <c r="T387" s="1345"/>
      <c r="U387" s="1345"/>
      <c r="V387" t="s">
        <v>1142</v>
      </c>
      <c r="AG387" s="1078"/>
      <c r="AH387" s="1078"/>
      <c r="AI387" s="1078"/>
      <c r="AJ387" s="1078"/>
    </row>
    <row r="388" spans="4:36" ht="12.9" customHeight="1">
      <c r="D388" t="s">
        <v>1143</v>
      </c>
      <c r="AG388" s="1078"/>
      <c r="AH388" s="1078"/>
      <c r="AI388" s="1078"/>
      <c r="AJ388" s="1078"/>
    </row>
    <row r="389" spans="4:36" ht="12.9" customHeight="1">
      <c r="AG389" s="719"/>
      <c r="AH389" s="719"/>
      <c r="AI389" s="719"/>
      <c r="AJ389" s="719"/>
    </row>
    <row r="390" spans="4:36" ht="12.9" customHeight="1">
      <c r="D390" s="37" t="s">
        <v>1144</v>
      </c>
      <c r="AG390" s="719"/>
      <c r="AH390" s="719"/>
      <c r="AI390" s="1063" t="s">
        <v>759</v>
      </c>
      <c r="AJ390" s="1063"/>
    </row>
    <row r="391" spans="4:36" ht="12.9" customHeight="1">
      <c r="D391" s="37" t="s">
        <v>1145</v>
      </c>
      <c r="T391" s="1076"/>
      <c r="U391" s="1076"/>
      <c r="V391" s="1076"/>
      <c r="W391" s="1076"/>
      <c r="X391" s="1076"/>
      <c r="Y391" s="1076"/>
      <c r="Z391" s="1076"/>
      <c r="AA391" s="1076"/>
      <c r="AB391" s="1076"/>
      <c r="AC391" s="1076"/>
      <c r="AD391" s="1076"/>
      <c r="AE391" s="1076"/>
      <c r="AF391" s="1076"/>
      <c r="AG391" s="1076"/>
      <c r="AH391" s="1076"/>
      <c r="AI391" s="1076"/>
      <c r="AJ391" s="1076"/>
    </row>
    <row r="392" spans="4:36" ht="12.9" customHeight="1">
      <c r="D392" s="37" t="s">
        <v>1146</v>
      </c>
      <c r="T392" s="1076"/>
      <c r="U392" s="1076"/>
      <c r="V392" s="1076"/>
      <c r="W392" s="1076"/>
      <c r="X392" s="1076"/>
      <c r="Y392" s="1076"/>
      <c r="Z392" s="1076"/>
      <c r="AA392" s="1076"/>
      <c r="AB392" s="1076"/>
      <c r="AC392" s="1076"/>
      <c r="AD392" s="1076"/>
      <c r="AE392" s="1076"/>
      <c r="AF392" s="1076"/>
      <c r="AG392" s="1076"/>
      <c r="AH392" s="1076"/>
      <c r="AI392" s="1076"/>
      <c r="AJ392" s="1076"/>
    </row>
    <row r="393" spans="4:36" ht="12.9" customHeight="1">
      <c r="AG393" s="719"/>
      <c r="AH393" s="719"/>
      <c r="AI393" s="719"/>
      <c r="AJ393" s="719"/>
    </row>
    <row r="394" spans="4:36" ht="12.9" customHeight="1">
      <c r="D394" s="37" t="s">
        <v>1147</v>
      </c>
      <c r="S394" s="1076" t="s">
        <v>759</v>
      </c>
      <c r="T394" s="1076"/>
      <c r="U394" s="1076"/>
      <c r="V394" t="s">
        <v>1148</v>
      </c>
      <c r="AG394" s="1395"/>
      <c r="AH394" s="1395"/>
      <c r="AI394" s="1395"/>
      <c r="AJ394" s="1395"/>
    </row>
    <row r="395" spans="4:36" ht="12.9" customHeight="1">
      <c r="D395" s="37" t="s">
        <v>1149</v>
      </c>
      <c r="S395" s="1076" t="s">
        <v>325</v>
      </c>
      <c r="T395" s="1076"/>
      <c r="U395" s="1076"/>
      <c r="V395" t="s">
        <v>1150</v>
      </c>
      <c r="AE395" s="1077"/>
      <c r="AF395" s="1077"/>
      <c r="AG395" s="1077"/>
      <c r="AH395" s="1077"/>
      <c r="AI395" s="1077"/>
      <c r="AJ395" s="1077"/>
    </row>
    <row r="396" spans="4:36" ht="12.9" customHeight="1">
      <c r="D396" s="37" t="s">
        <v>1151</v>
      </c>
      <c r="K396" s="1254"/>
      <c r="L396" s="1254"/>
      <c r="M396" s="1254"/>
      <c r="N396" s="1254"/>
      <c r="O396" s="1254"/>
      <c r="P396" s="1254"/>
      <c r="Q396" s="1254"/>
      <c r="R396" s="1254"/>
      <c r="S396" s="1254"/>
      <c r="T396" s="1254"/>
      <c r="U396" s="1254"/>
      <c r="V396" s="1254"/>
      <c r="W396" s="1254"/>
      <c r="X396" s="1254"/>
      <c r="Y396" s="1254"/>
      <c r="Z396" s="1254"/>
      <c r="AA396" s="1254"/>
      <c r="AB396" s="1254"/>
      <c r="AC396" s="1254"/>
      <c r="AD396" s="1254"/>
      <c r="AE396" s="1254"/>
      <c r="AF396" s="1254"/>
      <c r="AG396" s="1254"/>
      <c r="AH396" s="1254"/>
      <c r="AI396" s="1254"/>
      <c r="AJ396" s="1254"/>
    </row>
    <row r="397" spans="4:36" ht="12.9" customHeight="1">
      <c r="D397" s="37" t="s">
        <v>1152</v>
      </c>
      <c r="K397" s="1254"/>
      <c r="L397" s="1254"/>
      <c r="M397" s="1254"/>
      <c r="N397" s="1254"/>
      <c r="O397" s="1254"/>
      <c r="P397" s="1254"/>
      <c r="Q397" s="1254"/>
      <c r="R397" s="1254"/>
      <c r="S397" s="1254"/>
      <c r="T397" s="1254"/>
      <c r="U397" s="1254"/>
      <c r="V397" s="1254"/>
      <c r="W397" s="1254"/>
      <c r="X397" s="1254"/>
      <c r="Y397" s="1254"/>
      <c r="Z397" s="1254"/>
      <c r="AA397" s="1254"/>
      <c r="AB397" s="1254"/>
      <c r="AC397" s="1254"/>
      <c r="AD397" s="1254"/>
      <c r="AE397" s="1254"/>
      <c r="AF397" s="1254"/>
      <c r="AG397" s="1254"/>
      <c r="AH397" s="1254"/>
      <c r="AI397" s="1254"/>
      <c r="AJ397" s="1254"/>
    </row>
    <row r="398" spans="4:36" ht="12.9" customHeight="1">
      <c r="D398" s="37" t="s">
        <v>1153</v>
      </c>
      <c r="E398" s="703"/>
      <c r="F398" s="703"/>
      <c r="G398" s="703"/>
      <c r="H398" s="703"/>
      <c r="I398" s="703"/>
      <c r="J398" s="703"/>
      <c r="K398" s="703"/>
      <c r="L398" s="703"/>
      <c r="M398" s="703"/>
      <c r="N398" s="703"/>
      <c r="O398" s="703"/>
      <c r="P398" s="703"/>
      <c r="Q398" s="703"/>
      <c r="R398" s="703"/>
      <c r="S398" s="1397" t="s">
        <v>1154</v>
      </c>
      <c r="T398" s="1397"/>
      <c r="U398" s="1397"/>
      <c r="V398" s="1397"/>
      <c r="W398" s="1397"/>
      <c r="X398" s="1397"/>
      <c r="Y398" s="1397"/>
      <c r="Z398" s="1397"/>
      <c r="AA398" s="1397"/>
      <c r="AB398" s="1397"/>
      <c r="AC398" s="1397"/>
      <c r="AD398" s="1397"/>
      <c r="AE398" s="1397"/>
      <c r="AF398" s="1397"/>
      <c r="AG398" s="1397"/>
      <c r="AH398" s="1397"/>
      <c r="AI398" s="1397"/>
      <c r="AJ398" s="1397"/>
    </row>
    <row r="399" spans="4:36" ht="12.9" customHeight="1">
      <c r="D399" s="933" t="s">
        <v>1155</v>
      </c>
      <c r="E399" s="933"/>
      <c r="F399" s="933"/>
      <c r="G399" s="933"/>
      <c r="H399" s="933"/>
      <c r="I399" s="933"/>
      <c r="J399" s="933"/>
      <c r="K399" s="933"/>
      <c r="L399" s="933"/>
      <c r="M399" s="933"/>
      <c r="N399" s="933"/>
      <c r="O399" s="933"/>
      <c r="P399" s="933"/>
      <c r="Q399" s="933"/>
      <c r="R399" s="933"/>
      <c r="S399" s="933"/>
      <c r="T399" s="933"/>
      <c r="U399" s="933"/>
      <c r="V399" s="933"/>
      <c r="W399" s="933"/>
      <c r="X399" s="933"/>
      <c r="Y399" s="933"/>
      <c r="Z399" s="933"/>
      <c r="AA399" s="933"/>
      <c r="AB399" s="933"/>
      <c r="AC399" s="933"/>
      <c r="AD399" s="933"/>
      <c r="AE399" s="933"/>
      <c r="AF399" s="933"/>
      <c r="AG399" s="933"/>
      <c r="AH399" s="933"/>
      <c r="AI399" s="933"/>
      <c r="AJ399" s="933"/>
    </row>
    <row r="400" spans="4:36" ht="12.9" customHeight="1">
      <c r="D400" s="933"/>
      <c r="E400" s="933"/>
      <c r="F400" s="933"/>
      <c r="G400" s="933"/>
      <c r="H400" s="933"/>
      <c r="I400" s="933"/>
      <c r="J400" s="933"/>
      <c r="K400" s="933"/>
      <c r="L400" s="933"/>
      <c r="M400" s="933"/>
      <c r="N400" s="933"/>
      <c r="O400" s="933"/>
      <c r="P400" s="933"/>
      <c r="Q400" s="933"/>
      <c r="R400" s="933"/>
      <c r="S400" s="933"/>
      <c r="T400" s="933"/>
      <c r="U400" s="933"/>
      <c r="V400" s="933"/>
      <c r="W400" s="933"/>
      <c r="X400" s="933"/>
      <c r="Y400" s="933"/>
      <c r="Z400" s="933"/>
      <c r="AA400" s="933"/>
      <c r="AB400" s="933"/>
      <c r="AC400" s="933"/>
      <c r="AD400" s="933"/>
      <c r="AE400" s="933"/>
      <c r="AF400" s="933"/>
      <c r="AG400" s="933"/>
      <c r="AH400" s="933"/>
      <c r="AI400" s="933"/>
      <c r="AJ400" s="933"/>
    </row>
    <row r="401" spans="1:36" ht="12.9" customHeight="1">
      <c r="AG401" s="719"/>
      <c r="AH401" s="719"/>
      <c r="AI401" s="719"/>
      <c r="AJ401" s="719"/>
    </row>
    <row r="402" spans="1:36" ht="12.9" customHeight="1">
      <c r="A402" s="3" t="s">
        <v>929</v>
      </c>
      <c r="B402" s="3"/>
      <c r="C402" s="3" t="s">
        <v>155</v>
      </c>
    </row>
    <row r="403" spans="1:36" ht="12.9" customHeight="1">
      <c r="D403" s="3" t="s">
        <v>1156</v>
      </c>
      <c r="I403" s="1002" t="s">
        <v>1157</v>
      </c>
      <c r="J403" s="1002"/>
      <c r="K403" s="1002"/>
      <c r="L403" s="1002"/>
      <c r="M403" s="1002"/>
      <c r="N403" s="1002"/>
      <c r="O403" s="1002"/>
      <c r="P403" s="1002"/>
      <c r="Q403" s="1002"/>
      <c r="R403" s="1002"/>
      <c r="S403" s="1002"/>
      <c r="T403" s="1002"/>
      <c r="U403" s="1002"/>
      <c r="V403" s="1002"/>
      <c r="W403" s="1002"/>
      <c r="X403" s="1002"/>
      <c r="Y403" s="1002"/>
      <c r="Z403" s="1002"/>
      <c r="AA403" s="1002"/>
      <c r="AB403" s="1002"/>
      <c r="AC403" s="1002"/>
      <c r="AD403" s="1002"/>
    </row>
    <row r="404" spans="1:36" ht="12.9" customHeight="1">
      <c r="E404" t="s">
        <v>1158</v>
      </c>
      <c r="R404" s="1063" t="s">
        <v>325</v>
      </c>
      <c r="S404" s="1063"/>
      <c r="T404" t="s">
        <v>1159</v>
      </c>
      <c r="AD404" s="1061">
        <v>0</v>
      </c>
      <c r="AE404" s="1061"/>
    </row>
    <row r="405" spans="1:36" ht="12.9" customHeight="1">
      <c r="E405" t="s">
        <v>1160</v>
      </c>
      <c r="R405" s="1063" t="s">
        <v>325</v>
      </c>
      <c r="S405" s="1063"/>
      <c r="T405" t="s">
        <v>1159</v>
      </c>
      <c r="AD405" s="1061">
        <v>0</v>
      </c>
      <c r="AE405" s="1061"/>
    </row>
    <row r="406" spans="1:36" ht="12.9" customHeight="1">
      <c r="E406" t="s">
        <v>1161</v>
      </c>
      <c r="S406" s="1063" t="s">
        <v>325</v>
      </c>
      <c r="T406" s="1063"/>
    </row>
    <row r="407" spans="1:36" ht="12.9" customHeight="1">
      <c r="E407" t="s">
        <v>1162</v>
      </c>
      <c r="H407" s="1479" t="s">
        <v>1163</v>
      </c>
      <c r="I407" s="1479"/>
      <c r="J407" s="1479"/>
      <c r="K407" s="1479"/>
      <c r="L407" s="1479"/>
      <c r="M407" s="1479"/>
      <c r="N407" s="1479"/>
      <c r="O407" s="1479"/>
      <c r="P407" s="1479"/>
      <c r="Q407" s="1479"/>
      <c r="R407" s="1479"/>
      <c r="S407" s="1479"/>
      <c r="T407" s="1479"/>
      <c r="U407" s="1479"/>
      <c r="V407" s="1479"/>
      <c r="W407" s="1479"/>
      <c r="X407" s="1479"/>
      <c r="Y407" s="1479"/>
      <c r="Z407" s="1479"/>
      <c r="AA407" s="1479"/>
      <c r="AB407" s="1479"/>
      <c r="AC407" s="1479"/>
      <c r="AD407" s="1479"/>
      <c r="AE407" s="1479"/>
      <c r="AF407" s="1479"/>
      <c r="AG407" s="1479"/>
      <c r="AH407" s="1479"/>
      <c r="AI407" s="1479"/>
      <c r="AJ407" s="1479"/>
    </row>
    <row r="408" spans="1:36" ht="12.9" customHeight="1">
      <c r="H408" s="1480"/>
      <c r="I408" s="1480"/>
      <c r="J408" s="1480"/>
      <c r="K408" s="1480"/>
      <c r="L408" s="1480"/>
      <c r="M408" s="1480"/>
      <c r="N408" s="1480"/>
      <c r="O408" s="1480"/>
      <c r="P408" s="1480"/>
      <c r="Q408" s="1480"/>
      <c r="R408" s="1480"/>
      <c r="S408" s="1480"/>
      <c r="T408" s="1480"/>
      <c r="U408" s="1480"/>
      <c r="V408" s="1480"/>
      <c r="W408" s="1480"/>
      <c r="X408" s="1480"/>
      <c r="Y408" s="1480"/>
      <c r="Z408" s="1480"/>
      <c r="AA408" s="1480"/>
      <c r="AB408" s="1480"/>
      <c r="AC408" s="1480"/>
      <c r="AD408" s="1480"/>
      <c r="AE408" s="1480"/>
      <c r="AF408" s="1480"/>
      <c r="AG408" s="1480"/>
      <c r="AH408" s="1480"/>
      <c r="AI408" s="1480"/>
      <c r="AJ408" s="1480"/>
    </row>
    <row r="409" spans="1:36" ht="12.9" customHeight="1"/>
    <row r="410" spans="1:36" ht="12.9" customHeight="1">
      <c r="A410" s="3" t="s">
        <v>941</v>
      </c>
      <c r="B410" s="3"/>
      <c r="C410" s="3"/>
      <c r="D410" s="3" t="s">
        <v>160</v>
      </c>
      <c r="AE410" s="37"/>
      <c r="AF410" s="3" t="s">
        <v>1164</v>
      </c>
    </row>
    <row r="411" spans="1:36" ht="12.9" customHeight="1">
      <c r="E411" s="1358"/>
      <c r="F411" s="1358"/>
      <c r="G411" s="1358"/>
      <c r="H411" s="18" t="s">
        <v>1165</v>
      </c>
      <c r="I411" s="1358"/>
      <c r="J411" s="1358"/>
      <c r="K411" s="1358"/>
      <c r="L411" t="s">
        <v>1166</v>
      </c>
      <c r="N411" s="31" t="s">
        <v>1167</v>
      </c>
      <c r="P411" s="1359">
        <v>0.89476599999999995</v>
      </c>
      <c r="Q411" s="1359"/>
      <c r="R411" s="1359"/>
      <c r="S411" t="s">
        <v>1168</v>
      </c>
      <c r="W411" s="1360">
        <f>IF(E411&gt;0,(E411*I411),(P411*43560))</f>
        <v>38976.006959999999</v>
      </c>
      <c r="X411" s="1360"/>
      <c r="Y411" s="1360"/>
      <c r="Z411" t="s">
        <v>1169</v>
      </c>
      <c r="AF411" s="1409" cm="1">
        <f t="array" ref="AF411">_xlfn.IFS(P411&gt;0,(AG430/P411),W411&gt;0,(AG430/(W411/43560)),TRUE,0)</f>
        <v>25.705044670897198</v>
      </c>
      <c r="AG411" s="1409"/>
      <c r="AH411" s="1409"/>
    </row>
    <row r="412" spans="1:36" ht="12.9" customHeight="1">
      <c r="E412" t="s">
        <v>1170</v>
      </c>
    </row>
    <row r="413" spans="1:36" ht="12.9" customHeight="1">
      <c r="E413" s="1394"/>
      <c r="F413" s="1394"/>
      <c r="G413" s="1394"/>
      <c r="H413" s="1394"/>
      <c r="I413" s="1394"/>
      <c r="J413" s="1394"/>
      <c r="K413" s="1394"/>
      <c r="L413" s="1394"/>
      <c r="M413" s="1394"/>
      <c r="N413" s="1394"/>
      <c r="O413" s="1394"/>
      <c r="P413" s="1394"/>
      <c r="Q413" s="1394"/>
      <c r="R413" s="1394"/>
      <c r="S413" s="1394"/>
      <c r="T413" s="1394"/>
      <c r="U413" s="1394"/>
      <c r="V413" s="1394"/>
      <c r="W413" s="1394"/>
      <c r="X413" s="1394"/>
      <c r="Y413" s="1394"/>
      <c r="Z413" s="1394"/>
      <c r="AA413" s="1394"/>
      <c r="AB413" s="1394"/>
      <c r="AC413" s="1394"/>
      <c r="AD413" s="1394"/>
      <c r="AE413" s="1394"/>
      <c r="AF413" s="1394"/>
      <c r="AG413" s="1394"/>
      <c r="AH413" s="1394"/>
      <c r="AI413" s="1394"/>
      <c r="AJ413" s="1394"/>
    </row>
    <row r="414" spans="1:36" ht="12.9" customHeight="1">
      <c r="E414" s="232" t="s">
        <v>1171</v>
      </c>
      <c r="F414" s="27"/>
      <c r="G414" s="27"/>
      <c r="H414" s="27"/>
      <c r="I414" s="1390">
        <v>0.89476599999999995</v>
      </c>
      <c r="J414" s="1390"/>
      <c r="K414" s="1390"/>
      <c r="L414" s="27"/>
      <c r="M414" s="232"/>
      <c r="N414" s="27"/>
      <c r="O414" s="27"/>
      <c r="P414" s="1408">
        <f>(CQ628+CS633+CQ647)/I414</f>
        <v>25.705044670897198</v>
      </c>
      <c r="Q414" s="1408"/>
      <c r="R414" s="1408"/>
      <c r="S414" s="232" t="s">
        <v>1172</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949</v>
      </c>
      <c r="B416" s="3"/>
      <c r="C416" s="3"/>
      <c r="D416" s="3" t="s">
        <v>162</v>
      </c>
    </row>
    <row r="417" spans="1:36" ht="12.9" customHeight="1">
      <c r="E417" t="s">
        <v>1173</v>
      </c>
      <c r="P417" s="1063">
        <v>2</v>
      </c>
      <c r="Q417" s="1063"/>
      <c r="S417" t="s">
        <v>1174</v>
      </c>
      <c r="AE417" s="1063">
        <v>2</v>
      </c>
      <c r="AF417" s="1063"/>
    </row>
    <row r="418" spans="1:36" ht="12.9" customHeight="1">
      <c r="E418" t="s">
        <v>1175</v>
      </c>
      <c r="P418" s="1063">
        <v>0</v>
      </c>
      <c r="Q418" s="1063"/>
      <c r="S418" t="s">
        <v>1176</v>
      </c>
      <c r="AE418" s="1063" t="s">
        <v>325</v>
      </c>
      <c r="AF418" s="1063"/>
    </row>
    <row r="419" spans="1:36" ht="12.9" customHeight="1">
      <c r="F419" s="4" t="s">
        <v>1177</v>
      </c>
    </row>
    <row r="420" spans="1:36" ht="12.9" customHeight="1">
      <c r="F420" s="1267"/>
      <c r="G420" s="1267"/>
      <c r="H420" s="1267"/>
      <c r="I420" s="1267"/>
      <c r="J420" s="1267"/>
      <c r="K420" s="1267"/>
      <c r="L420" s="1267"/>
      <c r="M420" s="1267"/>
      <c r="N420" s="1267"/>
      <c r="O420" s="1267"/>
      <c r="P420" s="1267"/>
      <c r="Q420" s="1267"/>
      <c r="R420" s="1267"/>
      <c r="S420" s="1267"/>
      <c r="T420" s="1267"/>
      <c r="U420" s="1267"/>
      <c r="V420" s="1267"/>
      <c r="W420" s="1267"/>
      <c r="X420" s="1267"/>
      <c r="Y420" s="1267"/>
      <c r="Z420" s="1267"/>
      <c r="AA420" s="1267"/>
      <c r="AB420" s="1267"/>
      <c r="AC420" s="1267"/>
      <c r="AD420" s="1267"/>
      <c r="AE420" s="1267"/>
      <c r="AF420" s="1267"/>
      <c r="AG420" s="1267"/>
      <c r="AH420" s="1267"/>
    </row>
    <row r="421" spans="1:36" ht="12.9" customHeight="1">
      <c r="F421" s="1268"/>
      <c r="G421" s="1268"/>
      <c r="H421" s="1268"/>
      <c r="I421" s="1268"/>
      <c r="J421" s="1268"/>
      <c r="K421" s="1268"/>
      <c r="L421" s="1268"/>
      <c r="M421" s="1268"/>
      <c r="N421" s="1268"/>
      <c r="O421" s="1268"/>
      <c r="P421" s="1268"/>
      <c r="Q421" s="1268"/>
      <c r="R421" s="1268"/>
      <c r="S421" s="1268"/>
      <c r="T421" s="1268"/>
      <c r="U421" s="1268"/>
      <c r="V421" s="1268"/>
      <c r="W421" s="1268"/>
      <c r="X421" s="1268"/>
      <c r="Y421" s="1268"/>
      <c r="Z421" s="1268"/>
      <c r="AA421" s="1268"/>
      <c r="AB421" s="1268"/>
      <c r="AC421" s="1268"/>
      <c r="AD421" s="1268"/>
      <c r="AE421" s="1268"/>
      <c r="AF421" s="1268"/>
      <c r="AG421" s="1268"/>
      <c r="AH421" s="1268"/>
    </row>
    <row r="422" spans="1:36" ht="12.9" customHeight="1">
      <c r="E422" t="s">
        <v>1178</v>
      </c>
      <c r="P422" s="1"/>
      <c r="Q422" s="1063" t="s">
        <v>708</v>
      </c>
      <c r="R422" s="1063"/>
      <c r="AE422" s="1"/>
      <c r="AF422" s="1"/>
    </row>
    <row r="423" spans="1:36" ht="12.9" customHeight="1">
      <c r="F423" t="s">
        <v>1179</v>
      </c>
      <c r="P423" s="1"/>
      <c r="Q423" s="1"/>
      <c r="AE423" s="1063" t="s">
        <v>325</v>
      </c>
      <c r="AF423" s="1273"/>
    </row>
    <row r="424" spans="1:36" ht="12.9" customHeight="1"/>
    <row r="425" spans="1:36" ht="12.9" customHeight="1">
      <c r="A425" s="3"/>
      <c r="B425" s="3"/>
      <c r="C425" s="3"/>
      <c r="E425" s="37" t="s">
        <v>1180</v>
      </c>
      <c r="Z425" s="1063" t="s">
        <v>759</v>
      </c>
      <c r="AA425" s="1063"/>
    </row>
    <row r="426" spans="1:36" ht="12.9" customHeight="1">
      <c r="F426" s="41" t="s">
        <v>1181</v>
      </c>
      <c r="G426" s="42"/>
      <c r="H426" s="42"/>
      <c r="I426" s="42"/>
      <c r="J426" s="42"/>
      <c r="K426" s="42"/>
      <c r="L426" s="42"/>
      <c r="M426" s="42"/>
      <c r="N426" s="42"/>
      <c r="O426" s="42"/>
      <c r="P426" s="42"/>
      <c r="Q426" s="42"/>
      <c r="R426" s="42"/>
      <c r="S426" s="42"/>
      <c r="T426" s="42"/>
      <c r="U426" s="42"/>
      <c r="V426" s="42"/>
      <c r="W426" s="42"/>
      <c r="AB426" s="42"/>
    </row>
    <row r="427" spans="1:36" ht="12.9" customHeight="1">
      <c r="F427" t="s">
        <v>1182</v>
      </c>
      <c r="G427" s="42"/>
      <c r="I427" s="42"/>
      <c r="J427" s="42"/>
      <c r="K427" s="42"/>
      <c r="L427" s="42"/>
      <c r="M427" s="42"/>
      <c r="N427" s="42"/>
      <c r="Q427" s="37"/>
      <c r="R427" s="42"/>
      <c r="S427" s="42"/>
      <c r="T427" s="42"/>
      <c r="U427" s="42"/>
      <c r="V427" s="42"/>
      <c r="W427" s="42"/>
      <c r="Z427" s="1063" t="s">
        <v>325</v>
      </c>
      <c r="AA427" s="1063"/>
    </row>
    <row r="428" spans="1:36" ht="12.9" customHeight="1"/>
    <row r="429" spans="1:36" ht="12.9" customHeight="1">
      <c r="A429" s="3" t="s">
        <v>970</v>
      </c>
      <c r="B429" s="3"/>
      <c r="C429" s="3"/>
      <c r="D429" s="3" t="s">
        <v>169</v>
      </c>
      <c r="AF429" s="47"/>
    </row>
    <row r="430" spans="1:36" ht="12.9" customHeight="1">
      <c r="D430" s="1128" t="s">
        <v>1183</v>
      </c>
      <c r="E430" s="1129"/>
      <c r="F430" s="1129"/>
      <c r="G430" s="1129"/>
      <c r="H430" s="1129"/>
      <c r="I430" s="1129"/>
      <c r="J430" s="1129"/>
      <c r="K430" s="1129"/>
      <c r="L430" s="1129"/>
      <c r="M430" s="1129"/>
      <c r="N430" s="1129"/>
      <c r="O430" s="1129"/>
      <c r="P430" s="1129"/>
      <c r="Q430" s="1129"/>
      <c r="R430" s="1129"/>
      <c r="S430" s="1129"/>
      <c r="T430" s="1129"/>
      <c r="U430" s="1129"/>
      <c r="V430" s="1129"/>
      <c r="W430" s="1129"/>
      <c r="X430" s="1129"/>
      <c r="Y430" s="1129"/>
      <c r="Z430" s="1129"/>
      <c r="AA430" s="1129"/>
      <c r="AB430" s="1129"/>
      <c r="AC430" s="1129"/>
      <c r="AD430" s="1129"/>
      <c r="AE430" s="1129"/>
      <c r="AF430" s="1393"/>
      <c r="AG430" s="1355">
        <v>23</v>
      </c>
      <c r="AH430" s="1355"/>
      <c r="AI430" s="1355"/>
      <c r="AJ430" s="1355"/>
    </row>
    <row r="431" spans="1:36" ht="12.9" customHeight="1">
      <c r="D431" s="1068" t="s">
        <v>1184</v>
      </c>
      <c r="E431" s="1069"/>
      <c r="F431" s="1069"/>
      <c r="G431" s="1069"/>
      <c r="H431" s="1069"/>
      <c r="I431" s="1069"/>
      <c r="J431" s="1069"/>
      <c r="K431" s="1069"/>
      <c r="L431" s="1069"/>
      <c r="M431" s="1069"/>
      <c r="N431" s="1069"/>
      <c r="O431" s="1069"/>
      <c r="P431" s="1069"/>
      <c r="Q431" s="1069"/>
      <c r="R431" s="1069"/>
      <c r="S431" s="1069"/>
      <c r="T431" s="1069"/>
      <c r="U431" s="1069"/>
      <c r="V431" s="1069"/>
      <c r="W431" s="1069"/>
      <c r="X431" s="1069"/>
      <c r="Y431" s="1069"/>
      <c r="Z431" s="1069"/>
      <c r="AA431" s="1069"/>
      <c r="AB431" s="1069"/>
      <c r="AC431" s="1069"/>
      <c r="AD431" s="1069"/>
      <c r="AE431" s="1069"/>
      <c r="AF431" s="1070"/>
      <c r="AG431" s="1101">
        <v>0</v>
      </c>
      <c r="AH431" s="1102"/>
      <c r="AI431" s="1102"/>
      <c r="AJ431" s="1102"/>
    </row>
    <row r="432" spans="1:36" ht="12.9" customHeight="1">
      <c r="D432" s="1068" t="s">
        <v>1185</v>
      </c>
      <c r="E432" s="1069"/>
      <c r="F432" s="1069"/>
      <c r="G432" s="1069"/>
      <c r="H432" s="1069"/>
      <c r="I432" s="1069"/>
      <c r="J432" s="1069"/>
      <c r="K432" s="1069"/>
      <c r="L432" s="1069"/>
      <c r="M432" s="1069"/>
      <c r="N432" s="1069"/>
      <c r="O432" s="1069"/>
      <c r="P432" s="1069"/>
      <c r="Q432" s="1069"/>
      <c r="R432" s="1069"/>
      <c r="S432" s="1069"/>
      <c r="T432" s="1069"/>
      <c r="U432" s="1069"/>
      <c r="V432" s="1069"/>
      <c r="W432" s="1069"/>
      <c r="X432" s="1069"/>
      <c r="Y432" s="1069"/>
      <c r="Z432" s="1069"/>
      <c r="AA432" s="1069"/>
      <c r="AB432" s="1069"/>
      <c r="AC432" s="1069"/>
      <c r="AD432" s="1069"/>
      <c r="AE432" s="1069"/>
      <c r="AF432" s="1070"/>
      <c r="AG432" s="1355">
        <v>22</v>
      </c>
      <c r="AH432" s="1355"/>
      <c r="AI432" s="1355"/>
      <c r="AJ432" s="1355"/>
    </row>
    <row r="433" spans="4:36" ht="12.9" customHeight="1">
      <c r="D433" s="1068" t="s">
        <v>1186</v>
      </c>
      <c r="E433" s="1069"/>
      <c r="F433" s="1069"/>
      <c r="G433" s="1069"/>
      <c r="H433" s="1069"/>
      <c r="I433" s="1069"/>
      <c r="J433" s="1069"/>
      <c r="K433" s="1069"/>
      <c r="L433" s="1069"/>
      <c r="M433" s="1069"/>
      <c r="N433" s="1069"/>
      <c r="O433" s="1069"/>
      <c r="P433" s="1069"/>
      <c r="Q433" s="1069"/>
      <c r="R433" s="1069"/>
      <c r="S433" s="1069"/>
      <c r="T433" s="1069"/>
      <c r="U433" s="1069"/>
      <c r="V433" s="1069"/>
      <c r="W433" s="1069"/>
      <c r="X433" s="1069"/>
      <c r="Y433" s="1069"/>
      <c r="Z433" s="1069"/>
      <c r="AA433" s="1069"/>
      <c r="AB433" s="1069"/>
      <c r="AC433" s="1069"/>
      <c r="AD433" s="1069"/>
      <c r="AE433" s="1069"/>
      <c r="AF433" s="1070"/>
      <c r="AG433" s="1355">
        <v>22</v>
      </c>
      <c r="AH433" s="1355"/>
      <c r="AI433" s="1355"/>
      <c r="AJ433" s="1355"/>
    </row>
    <row r="434" spans="4:36" ht="12.9" customHeight="1">
      <c r="D434" s="1068" t="s">
        <v>1187</v>
      </c>
      <c r="E434" s="1069"/>
      <c r="F434" s="1069"/>
      <c r="G434" s="1069"/>
      <c r="H434" s="1069"/>
      <c r="I434" s="1069"/>
      <c r="J434" s="1069"/>
      <c r="K434" s="1069"/>
      <c r="L434" s="1069"/>
      <c r="M434" s="1069"/>
      <c r="N434" s="1069"/>
      <c r="O434" s="1069"/>
      <c r="P434" s="1069"/>
      <c r="Q434" s="1069"/>
      <c r="R434" s="1069"/>
      <c r="S434" s="1069"/>
      <c r="T434" s="1069"/>
      <c r="U434" s="1069"/>
      <c r="V434" s="1069"/>
      <c r="W434" s="1069"/>
      <c r="X434" s="1069"/>
      <c r="Y434" s="1069"/>
      <c r="Z434" s="1069"/>
      <c r="AA434" s="1069"/>
      <c r="AB434" s="1069"/>
      <c r="AC434" s="1069"/>
      <c r="AD434" s="1069"/>
      <c r="AE434" s="1069"/>
      <c r="AF434" s="1070"/>
      <c r="AG434" s="1095">
        <f>IF(ISERROR(AG433/AG432),"",AG433/AG432)</f>
        <v>1</v>
      </c>
      <c r="AH434" s="1095"/>
      <c r="AI434" s="1095"/>
      <c r="AJ434" s="1095"/>
    </row>
    <row r="435" spans="4:36" ht="12.9" customHeight="1">
      <c r="D435" s="1068" t="s">
        <v>1188</v>
      </c>
      <c r="E435" s="1069"/>
      <c r="F435" s="1069"/>
      <c r="G435" s="1069"/>
      <c r="H435" s="1069"/>
      <c r="I435" s="1069"/>
      <c r="J435" s="1069"/>
      <c r="K435" s="1069"/>
      <c r="L435" s="1069"/>
      <c r="M435" s="1069"/>
      <c r="N435" s="1069"/>
      <c r="O435" s="1069"/>
      <c r="P435" s="1069"/>
      <c r="Q435" s="1069"/>
      <c r="R435" s="1069"/>
      <c r="S435" s="1069"/>
      <c r="T435" s="1069"/>
      <c r="U435" s="1069"/>
      <c r="V435" s="1069"/>
      <c r="W435" s="1069"/>
      <c r="X435" s="1069"/>
      <c r="Y435" s="1069"/>
      <c r="Z435" s="1069"/>
      <c r="AA435" s="1069"/>
      <c r="AB435" s="1069"/>
      <c r="AC435" s="1069"/>
      <c r="AD435" s="1069"/>
      <c r="AE435" s="1069"/>
      <c r="AF435" s="1070"/>
      <c r="AG435" s="1354">
        <f>(4800+9000)/23*22</f>
        <v>13200</v>
      </c>
      <c r="AH435" s="1354"/>
      <c r="AI435" s="1354"/>
      <c r="AJ435" s="1354"/>
    </row>
    <row r="436" spans="4:36" ht="12.9" customHeight="1">
      <c r="D436" s="1068" t="s">
        <v>1189</v>
      </c>
      <c r="E436" s="1069"/>
      <c r="F436" s="1069"/>
      <c r="G436" s="1069"/>
      <c r="H436" s="1069"/>
      <c r="I436" s="1069"/>
      <c r="J436" s="1069"/>
      <c r="K436" s="1069"/>
      <c r="L436" s="1069"/>
      <c r="M436" s="1069"/>
      <c r="N436" s="1069"/>
      <c r="O436" s="1069"/>
      <c r="P436" s="1069"/>
      <c r="Q436" s="1069"/>
      <c r="R436" s="1069"/>
      <c r="S436" s="1069"/>
      <c r="T436" s="1069"/>
      <c r="U436" s="1069"/>
      <c r="V436" s="1069"/>
      <c r="W436" s="1069"/>
      <c r="X436" s="1069"/>
      <c r="Y436" s="1069"/>
      <c r="Z436" s="1069"/>
      <c r="AA436" s="1069"/>
      <c r="AB436" s="1069"/>
      <c r="AC436" s="1069"/>
      <c r="AD436" s="1069"/>
      <c r="AE436" s="1069"/>
      <c r="AF436" s="1070"/>
      <c r="AG436" s="1354">
        <v>13200</v>
      </c>
      <c r="AH436" s="1354"/>
      <c r="AI436" s="1354"/>
      <c r="AJ436" s="1354"/>
    </row>
    <row r="437" spans="4:36" ht="12.9" customHeight="1">
      <c r="D437" s="1068" t="s">
        <v>1190</v>
      </c>
      <c r="E437" s="1069"/>
      <c r="F437" s="1069"/>
      <c r="G437" s="1069"/>
      <c r="H437" s="1069"/>
      <c r="I437" s="1069"/>
      <c r="J437" s="1069"/>
      <c r="K437" s="1069"/>
      <c r="L437" s="1069"/>
      <c r="M437" s="1069"/>
      <c r="N437" s="1069"/>
      <c r="O437" s="1069"/>
      <c r="P437" s="1069"/>
      <c r="Q437" s="1069"/>
      <c r="R437" s="1069"/>
      <c r="S437" s="1069"/>
      <c r="T437" s="1069"/>
      <c r="U437" s="1069"/>
      <c r="V437" s="1069"/>
      <c r="W437" s="1069"/>
      <c r="X437" s="1069"/>
      <c r="Y437" s="1069"/>
      <c r="Z437" s="1069"/>
      <c r="AA437" s="1069"/>
      <c r="AB437" s="1069"/>
      <c r="AC437" s="1069"/>
      <c r="AD437" s="1069"/>
      <c r="AE437" s="1069"/>
      <c r="AF437" s="1070"/>
      <c r="AG437" s="1095">
        <f>IF(ISERROR(AG436/AG435),"",AG436/AG435)</f>
        <v>1</v>
      </c>
      <c r="AH437" s="1095"/>
      <c r="AI437" s="1095"/>
      <c r="AJ437" s="1095"/>
    </row>
    <row r="438" spans="4:36" ht="12.9" customHeight="1">
      <c r="D438" s="1068" t="s">
        <v>1191</v>
      </c>
      <c r="E438" s="1069"/>
      <c r="F438" s="1069"/>
      <c r="G438" s="1069"/>
      <c r="H438" s="1069"/>
      <c r="I438" s="1069"/>
      <c r="J438" s="1069"/>
      <c r="K438" s="1069"/>
      <c r="L438" s="1069"/>
      <c r="M438" s="1069"/>
      <c r="N438" s="1069"/>
      <c r="O438" s="1069"/>
      <c r="P438" s="1069"/>
      <c r="Q438" s="1069"/>
      <c r="R438" s="1069"/>
      <c r="S438" s="1069"/>
      <c r="T438" s="1069"/>
      <c r="U438" s="1069"/>
      <c r="V438" s="1069"/>
      <c r="W438" s="1069"/>
      <c r="X438" s="1069"/>
      <c r="Y438" s="1069"/>
      <c r="Z438" s="1069"/>
      <c r="AA438" s="1069"/>
      <c r="AB438" s="1069"/>
      <c r="AC438" s="1069"/>
      <c r="AD438" s="1069"/>
      <c r="AE438" s="1069"/>
      <c r="AF438" s="1070"/>
      <c r="AG438" s="1095">
        <f>MIN(IF(AG434&gt;AG437,AG437,AG434),1)</f>
        <v>1</v>
      </c>
      <c r="AH438" s="1095"/>
      <c r="AI438" s="1095"/>
      <c r="AJ438" s="1095"/>
    </row>
    <row r="439" spans="4:36" ht="12.9" customHeight="1">
      <c r="D439" s="1068" t="s">
        <v>1192</v>
      </c>
      <c r="E439" s="1129"/>
      <c r="F439" s="1129"/>
      <c r="G439" s="1129"/>
      <c r="H439" s="1129"/>
      <c r="I439" s="1129"/>
      <c r="J439" s="1129"/>
      <c r="K439" s="1129"/>
      <c r="L439" s="1129"/>
      <c r="M439" s="1129"/>
      <c r="N439" s="1129"/>
      <c r="O439" s="1129"/>
      <c r="P439" s="1129"/>
      <c r="Q439" s="1129"/>
      <c r="R439" s="1129"/>
      <c r="S439" s="1129"/>
      <c r="T439" s="1129"/>
      <c r="U439" s="1129"/>
      <c r="V439" s="1129"/>
      <c r="W439" s="1129"/>
      <c r="X439" s="1129"/>
      <c r="Y439" s="1129"/>
      <c r="Z439" s="1129"/>
      <c r="AA439" s="1129"/>
      <c r="AB439" s="1129"/>
      <c r="AC439" s="1129"/>
      <c r="AD439" s="1129"/>
      <c r="AE439" s="1129"/>
      <c r="AF439" s="1393"/>
      <c r="AG439" s="1354">
        <f>600+160</f>
        <v>760</v>
      </c>
      <c r="AH439" s="1354"/>
      <c r="AI439" s="1354"/>
      <c r="AJ439" s="1354"/>
    </row>
    <row r="440" spans="4:36" ht="12.9" customHeight="1">
      <c r="D440" s="1068" t="s">
        <v>1193</v>
      </c>
      <c r="E440" s="1069"/>
      <c r="F440" s="1069"/>
      <c r="G440" s="1069"/>
      <c r="H440" s="1069"/>
      <c r="I440" s="1069"/>
      <c r="J440" s="1069"/>
      <c r="K440" s="1069"/>
      <c r="L440" s="1069"/>
      <c r="M440" s="1069"/>
      <c r="N440" s="1069"/>
      <c r="O440" s="1069"/>
      <c r="P440" s="1069"/>
      <c r="Q440" s="1069"/>
      <c r="R440" s="1069"/>
      <c r="S440" s="1069"/>
      <c r="T440" s="1069"/>
      <c r="U440" s="1069"/>
      <c r="V440" s="1069"/>
      <c r="W440" s="1069"/>
      <c r="X440" s="1069"/>
      <c r="Y440" s="1069"/>
      <c r="Z440" s="1069"/>
      <c r="AA440" s="1069"/>
      <c r="AB440" s="1069"/>
      <c r="AC440" s="1069"/>
      <c r="AD440" s="1069"/>
      <c r="AE440" s="1069"/>
      <c r="AF440" s="1070"/>
      <c r="AG440" s="1354">
        <v>0</v>
      </c>
      <c r="AH440" s="1354"/>
      <c r="AI440" s="1354"/>
      <c r="AJ440" s="1354"/>
    </row>
    <row r="441" spans="4:36" ht="12.9" customHeight="1">
      <c r="D441" s="1068" t="s">
        <v>1194</v>
      </c>
      <c r="E441" s="1069"/>
      <c r="F441" s="1069"/>
      <c r="G441" s="1069"/>
      <c r="H441" s="1069"/>
      <c r="I441" s="1069"/>
      <c r="J441" s="1069"/>
      <c r="K441" s="1069"/>
      <c r="L441" s="1069"/>
      <c r="M441" s="1069"/>
      <c r="N441" s="1069"/>
      <c r="O441" s="1069"/>
      <c r="P441" s="1069"/>
      <c r="Q441" s="1069"/>
      <c r="R441" s="1069"/>
      <c r="S441" s="1069"/>
      <c r="T441" s="1069"/>
      <c r="U441" s="1069"/>
      <c r="V441" s="1069"/>
      <c r="W441" s="1069"/>
      <c r="X441" s="1069"/>
      <c r="Y441" s="1069"/>
      <c r="Z441" s="1069"/>
      <c r="AA441" s="1069"/>
      <c r="AB441" s="1069"/>
      <c r="AC441" s="1069"/>
      <c r="AD441" s="1069"/>
      <c r="AE441" s="1069"/>
      <c r="AF441" s="1070"/>
      <c r="AG441" s="1354">
        <f>AG435/22</f>
        <v>600</v>
      </c>
      <c r="AH441" s="1354"/>
      <c r="AI441" s="1354"/>
      <c r="AJ441" s="1354"/>
    </row>
    <row r="442" spans="4:36" ht="12.9" customHeight="1">
      <c r="D442" s="1068" t="s">
        <v>1195</v>
      </c>
      <c r="E442" s="1069"/>
      <c r="F442" s="1069"/>
      <c r="G442" s="1069"/>
      <c r="H442" s="1069"/>
      <c r="I442" s="1069"/>
      <c r="J442" s="1069"/>
      <c r="K442" s="1069"/>
      <c r="L442" s="1069"/>
      <c r="M442" s="1069"/>
      <c r="N442" s="1069"/>
      <c r="O442" s="1069"/>
      <c r="P442" s="1069"/>
      <c r="Q442" s="1069"/>
      <c r="R442" s="1069"/>
      <c r="S442" s="1069"/>
      <c r="T442" s="1069"/>
      <c r="U442" s="1069"/>
      <c r="V442" s="1069"/>
      <c r="W442" s="1069"/>
      <c r="X442" s="1069"/>
      <c r="Y442" s="1069"/>
      <c r="Z442" s="1069"/>
      <c r="AA442" s="1069"/>
      <c r="AB442" s="1069"/>
      <c r="AC442" s="1069"/>
      <c r="AD442" s="1069"/>
      <c r="AE442" s="1069"/>
      <c r="AF442" s="1070"/>
      <c r="AG442" s="1354">
        <v>0</v>
      </c>
      <c r="AH442" s="1354"/>
      <c r="AI442" s="1354"/>
      <c r="AJ442" s="1354"/>
    </row>
    <row r="443" spans="4:36" ht="12.9" customHeight="1">
      <c r="D443" s="1068" t="s">
        <v>1196</v>
      </c>
      <c r="E443" s="1069"/>
      <c r="F443" s="1069"/>
      <c r="G443" s="1069"/>
      <c r="H443" s="1069"/>
      <c r="I443" s="1069"/>
      <c r="J443" s="1069"/>
      <c r="K443" s="1069"/>
      <c r="L443" s="1069"/>
      <c r="M443" s="1069"/>
      <c r="N443" s="1069"/>
      <c r="O443" s="1069"/>
      <c r="P443" s="1069"/>
      <c r="Q443" s="1069"/>
      <c r="R443" s="1069"/>
      <c r="S443" s="1069"/>
      <c r="T443" s="1069"/>
      <c r="U443" s="1069"/>
      <c r="V443" s="1069"/>
      <c r="W443" s="1069"/>
      <c r="X443" s="1069"/>
      <c r="Y443" s="1069"/>
      <c r="Z443" s="1069"/>
      <c r="AA443" s="1069"/>
      <c r="AB443" s="1069"/>
      <c r="AC443" s="1069"/>
      <c r="AD443" s="1069"/>
      <c r="AE443" s="1069"/>
      <c r="AF443" s="1070"/>
      <c r="AG443" s="1389">
        <f>AG435+AG439+AG441+AG442</f>
        <v>14560</v>
      </c>
      <c r="AH443" s="1389"/>
      <c r="AI443" s="1389"/>
      <c r="AJ443" s="1389"/>
    </row>
    <row r="444" spans="4:36" ht="12.9" customHeight="1">
      <c r="D444" s="1391" t="s">
        <v>1197</v>
      </c>
      <c r="E444" s="1391"/>
      <c r="F444" s="1391"/>
      <c r="G444" s="1391"/>
      <c r="H444" s="1391"/>
      <c r="I444" s="1391"/>
      <c r="J444" s="1391"/>
      <c r="K444" s="1391"/>
      <c r="L444" s="1391"/>
      <c r="M444" s="1391"/>
      <c r="N444" s="1391"/>
      <c r="O444" s="1391"/>
      <c r="P444" s="1391"/>
      <c r="Q444" s="1391"/>
      <c r="R444" s="1391"/>
      <c r="S444" s="1391"/>
      <c r="T444" s="1391"/>
      <c r="U444" s="1391"/>
      <c r="V444" s="1391"/>
      <c r="W444" s="1391"/>
      <c r="X444" s="1391"/>
      <c r="Y444" s="1391"/>
      <c r="Z444" s="1391"/>
      <c r="AA444" s="1391"/>
      <c r="AB444" s="1391"/>
      <c r="AC444" s="1391"/>
      <c r="AD444" s="1391"/>
      <c r="AE444" s="1391"/>
      <c r="AF444" s="1391"/>
      <c r="AG444" s="1391"/>
      <c r="AH444" s="1391"/>
      <c r="AI444" s="1391"/>
      <c r="AJ444" s="1391"/>
    </row>
    <row r="445" spans="4:36" ht="12.9" customHeight="1">
      <c r="D445" s="1392"/>
      <c r="E445" s="1392"/>
      <c r="F445" s="1392"/>
      <c r="G445" s="1392"/>
      <c r="H445" s="1392"/>
      <c r="I445" s="1392"/>
      <c r="J445" s="1392"/>
      <c r="K445" s="1392"/>
      <c r="L445" s="1392"/>
      <c r="M445" s="1392"/>
      <c r="N445" s="1392"/>
      <c r="O445" s="1392"/>
      <c r="P445" s="1392"/>
      <c r="Q445" s="1392"/>
      <c r="R445" s="1392"/>
      <c r="S445" s="1392"/>
      <c r="T445" s="1392"/>
      <c r="U445" s="1392"/>
      <c r="V445" s="1392"/>
      <c r="W445" s="1392"/>
      <c r="X445" s="1392"/>
      <c r="Y445" s="1392"/>
      <c r="Z445" s="1392"/>
      <c r="AA445" s="1392"/>
      <c r="AB445" s="1392"/>
      <c r="AC445" s="1392"/>
      <c r="AD445" s="1392"/>
      <c r="AE445" s="1392"/>
      <c r="AF445" s="1392"/>
      <c r="AG445" s="1392"/>
      <c r="AH445" s="1392"/>
      <c r="AI445" s="1392"/>
      <c r="AJ445" s="1392"/>
    </row>
    <row r="446" spans="4:36" ht="12.9" customHeight="1">
      <c r="D446" s="1388"/>
      <c r="E446" s="1388"/>
      <c r="F446" s="1388"/>
      <c r="G446" s="1388"/>
      <c r="H446" s="1388"/>
      <c r="I446" s="1388"/>
      <c r="J446" s="1388"/>
      <c r="K446" s="1388"/>
      <c r="L446" s="1388"/>
      <c r="M446" s="1388"/>
      <c r="N446" s="1388"/>
      <c r="O446" s="1388"/>
      <c r="P446" s="1388"/>
      <c r="Q446" s="1388"/>
      <c r="R446" s="1388"/>
      <c r="S446" s="1388"/>
      <c r="T446" s="1388"/>
      <c r="U446" s="1388"/>
      <c r="V446" s="1388"/>
      <c r="W446" s="1388"/>
      <c r="X446" s="1388"/>
      <c r="Y446" s="1388"/>
      <c r="Z446" s="1388"/>
      <c r="AA446" s="1388"/>
      <c r="AB446" s="1388"/>
      <c r="AC446" s="1388"/>
      <c r="AD446" s="1388"/>
      <c r="AE446" s="1388"/>
      <c r="AF446" s="1388"/>
      <c r="AG446" s="1388"/>
      <c r="AH446" s="1388"/>
      <c r="AI446" s="1388"/>
      <c r="AJ446" s="1388"/>
    </row>
    <row r="447" spans="4:36" ht="12.9" customHeight="1">
      <c r="D447" s="3" t="s">
        <v>1198</v>
      </c>
      <c r="E447" s="466"/>
      <c r="F447" s="466"/>
      <c r="G447" s="466"/>
      <c r="H447" s="466"/>
      <c r="I447" s="466"/>
      <c r="J447" s="466"/>
      <c r="K447" s="466"/>
      <c r="L447" s="466"/>
      <c r="M447" s="466"/>
      <c r="N447" s="466"/>
      <c r="O447" s="466"/>
      <c r="P447" s="466"/>
      <c r="Q447" s="466"/>
      <c r="R447" s="466"/>
      <c r="S447" s="466"/>
      <c r="T447" s="466"/>
      <c r="U447" s="466"/>
      <c r="V447" s="466"/>
      <c r="W447" s="466"/>
      <c r="X447" s="466"/>
      <c r="Y447" s="466"/>
      <c r="Z447" s="466"/>
      <c r="AA447" s="466"/>
      <c r="AB447" s="466"/>
      <c r="AC447" s="1103">
        <f>IF(AG430=0,"",'Sources and Uses Budget'!B104/Application!AG430)</f>
        <v>322854.55062641634</v>
      </c>
      <c r="AD447" s="1103"/>
      <c r="AE447" s="1103"/>
      <c r="AF447" s="1103"/>
      <c r="AG447" s="1398"/>
      <c r="AH447" s="1398"/>
      <c r="AI447" s="1398"/>
      <c r="AJ447" s="1398"/>
    </row>
    <row r="448" spans="4:36" ht="12.9" customHeight="1">
      <c r="D448" s="3" t="s">
        <v>1199</v>
      </c>
      <c r="E448" s="466"/>
      <c r="F448" s="466"/>
      <c r="G448" s="466"/>
      <c r="H448" s="466"/>
      <c r="I448" s="466"/>
      <c r="J448" s="466"/>
      <c r="K448" s="466"/>
      <c r="L448" s="466"/>
      <c r="M448" s="466"/>
      <c r="N448" s="466"/>
      <c r="O448" s="466"/>
      <c r="P448" s="466"/>
      <c r="Q448" s="466"/>
      <c r="R448" s="466"/>
      <c r="S448" s="466"/>
      <c r="T448" s="466"/>
      <c r="U448" s="466"/>
      <c r="V448" s="466"/>
      <c r="W448" s="466"/>
      <c r="X448" s="466"/>
      <c r="Y448" s="466"/>
      <c r="Z448" s="466"/>
      <c r="AA448" s="466"/>
      <c r="AB448" s="466"/>
      <c r="AC448" s="1103">
        <f>IF(AG430=0,"",'Sources and Uses Budget'!C104/Application!AG430)</f>
        <v>322854.55062641634</v>
      </c>
      <c r="AD448" s="1103"/>
      <c r="AE448" s="1103"/>
      <c r="AF448" s="1103"/>
      <c r="AG448" s="1398"/>
      <c r="AH448" s="1398"/>
      <c r="AI448" s="1398"/>
      <c r="AJ448" s="1398"/>
    </row>
    <row r="449" spans="1:38" ht="12.9" customHeight="1">
      <c r="D449" s="302" t="s">
        <v>1200</v>
      </c>
      <c r="E449" s="466"/>
      <c r="F449" s="466"/>
      <c r="G449" s="466"/>
      <c r="H449" s="466"/>
      <c r="I449" s="466"/>
      <c r="J449" s="466"/>
      <c r="K449" s="466"/>
      <c r="L449" s="466"/>
      <c r="M449" s="466"/>
      <c r="N449" s="466"/>
      <c r="O449" s="466"/>
      <c r="P449" s="466"/>
      <c r="Q449" s="466"/>
      <c r="R449" s="466"/>
      <c r="S449" s="466"/>
      <c r="T449" s="466"/>
      <c r="U449" s="466"/>
      <c r="V449" s="466"/>
      <c r="W449" s="466"/>
      <c r="X449" s="466"/>
      <c r="Y449" s="466"/>
      <c r="Z449" s="466"/>
      <c r="AA449" s="466"/>
      <c r="AB449" s="466"/>
      <c r="AC449" s="1103">
        <f>IF(AG430=0,"",('Sources and Uses Budget'!S106+'Sources and Uses Budget'!T106)/Application!AG430)</f>
        <v>209165.25</v>
      </c>
      <c r="AD449" s="1103"/>
      <c r="AE449" s="1103"/>
      <c r="AF449" s="1103"/>
      <c r="AG449" s="874"/>
      <c r="AH449" s="874"/>
      <c r="AI449" s="874"/>
      <c r="AJ449" s="874"/>
    </row>
    <row r="450" spans="1:38" ht="12.9" customHeight="1">
      <c r="D450" s="302"/>
      <c r="E450" s="466"/>
      <c r="F450" s="1481" t="str">
        <f>IF(AG430=0,"",IF(AC447&gt;650000,"Please provide a justification of cost per unit in Tab 12 for all projects with per unit costs of greater than $650,000.",""))</f>
        <v/>
      </c>
      <c r="G450" s="1481"/>
      <c r="H450" s="1481"/>
      <c r="I450" s="1481"/>
      <c r="J450" s="1481"/>
      <c r="K450" s="1481"/>
      <c r="L450" s="1481"/>
      <c r="M450" s="1481"/>
      <c r="N450" s="1481"/>
      <c r="O450" s="1481"/>
      <c r="P450" s="1481"/>
      <c r="Q450" s="1481"/>
      <c r="R450" s="1481"/>
      <c r="S450" s="1481"/>
      <c r="T450" s="1481"/>
      <c r="U450" s="1481"/>
      <c r="V450" s="1481"/>
      <c r="W450" s="1481"/>
      <c r="X450" s="1481"/>
      <c r="Y450" s="1481"/>
      <c r="Z450" s="1481"/>
      <c r="AA450" s="1481"/>
      <c r="AB450" s="1481"/>
      <c r="AC450" s="808"/>
      <c r="AD450" s="808"/>
      <c r="AE450" s="808"/>
      <c r="AF450" s="808"/>
      <c r="AG450" s="874"/>
      <c r="AH450" s="874"/>
      <c r="AI450" s="874"/>
      <c r="AJ450" s="874"/>
    </row>
    <row r="451" spans="1:38" ht="12.9" customHeight="1">
      <c r="D451" s="302"/>
      <c r="E451" s="466"/>
      <c r="F451" s="1481"/>
      <c r="G451" s="1481"/>
      <c r="H451" s="1481"/>
      <c r="I451" s="1481"/>
      <c r="J451" s="1481"/>
      <c r="K451" s="1481"/>
      <c r="L451" s="1481"/>
      <c r="M451" s="1481"/>
      <c r="N451" s="1481"/>
      <c r="O451" s="1481"/>
      <c r="P451" s="1481"/>
      <c r="Q451" s="1481"/>
      <c r="R451" s="1481"/>
      <c r="S451" s="1481"/>
      <c r="T451" s="1481"/>
      <c r="U451" s="1481"/>
      <c r="V451" s="1481"/>
      <c r="W451" s="1481"/>
      <c r="X451" s="1481"/>
      <c r="Y451" s="1481"/>
      <c r="Z451" s="1481"/>
      <c r="AA451" s="1481"/>
      <c r="AB451" s="1481"/>
      <c r="AC451" s="808"/>
      <c r="AD451" s="808"/>
      <c r="AE451" s="808"/>
      <c r="AF451" s="808"/>
      <c r="AG451" s="874"/>
      <c r="AH451" s="874"/>
      <c r="AI451" s="874"/>
      <c r="AJ451" s="874"/>
    </row>
    <row r="452" spans="1:38" ht="12.9" customHeight="1">
      <c r="D452" s="466"/>
      <c r="E452" s="466"/>
      <c r="F452" s="466"/>
      <c r="G452" s="466"/>
      <c r="H452" s="466"/>
      <c r="I452" s="466"/>
      <c r="J452" s="466"/>
      <c r="K452" s="466"/>
      <c r="L452" s="466"/>
      <c r="M452" s="466"/>
      <c r="N452" s="466"/>
      <c r="O452" s="466"/>
      <c r="P452" s="466"/>
      <c r="Q452" s="466"/>
      <c r="R452" s="466"/>
      <c r="S452" s="466"/>
      <c r="T452" s="466"/>
      <c r="U452" s="466"/>
      <c r="V452" s="466"/>
      <c r="W452" s="466"/>
      <c r="X452" s="466"/>
      <c r="Y452" s="466"/>
      <c r="Z452" s="466"/>
      <c r="AA452" s="466"/>
      <c r="AB452" s="466"/>
      <c r="AC452" s="466"/>
      <c r="AD452" s="466"/>
      <c r="AE452" s="466"/>
      <c r="AF452" s="466"/>
      <c r="AG452" s="466"/>
      <c r="AH452" s="466"/>
      <c r="AI452" s="466"/>
    </row>
    <row r="453" spans="1:38" ht="12.9" customHeight="1">
      <c r="A453" s="3" t="s">
        <v>1201</v>
      </c>
      <c r="D453" s="3" t="s">
        <v>172</v>
      </c>
      <c r="E453" s="466"/>
      <c r="F453" s="466"/>
      <c r="G453" s="466"/>
      <c r="H453" s="466"/>
      <c r="I453" s="466"/>
      <c r="J453" s="466"/>
      <c r="K453" s="466"/>
      <c r="L453" s="466"/>
      <c r="M453" s="466"/>
      <c r="N453" s="466"/>
      <c r="O453" s="466"/>
      <c r="P453" s="466"/>
      <c r="Q453" s="466"/>
      <c r="R453" s="466"/>
      <c r="S453" s="466"/>
      <c r="T453" s="466"/>
      <c r="U453" s="466"/>
      <c r="V453" s="466"/>
      <c r="W453" s="466"/>
      <c r="X453" s="466"/>
      <c r="Y453" s="466"/>
      <c r="Z453" s="466"/>
      <c r="AA453" s="466"/>
      <c r="AB453" s="466"/>
      <c r="AC453" s="466"/>
      <c r="AD453" s="466"/>
      <c r="AE453" s="466"/>
      <c r="AF453" s="466"/>
      <c r="AG453" s="466"/>
      <c r="AH453" s="466"/>
      <c r="AI453" s="466"/>
    </row>
    <row r="454" spans="1:38" ht="12.9" customHeight="1">
      <c r="D454" s="264" t="s">
        <v>1202</v>
      </c>
      <c r="E454" s="466"/>
      <c r="F454" s="466"/>
      <c r="G454" s="466"/>
      <c r="H454" s="466"/>
      <c r="I454" s="466"/>
      <c r="J454" s="466"/>
      <c r="K454" s="466"/>
      <c r="L454" s="466"/>
      <c r="M454" s="466"/>
      <c r="N454" s="466"/>
      <c r="O454" s="466"/>
      <c r="P454" s="466"/>
      <c r="Q454" s="466"/>
      <c r="R454" s="466"/>
      <c r="S454" s="466"/>
      <c r="T454" s="466"/>
      <c r="U454" s="466"/>
      <c r="V454" s="466"/>
      <c r="W454" s="466"/>
      <c r="X454" s="466"/>
      <c r="Y454" s="466"/>
      <c r="Z454" s="466"/>
      <c r="AA454" s="466"/>
      <c r="AB454" s="466"/>
      <c r="AC454" s="466"/>
      <c r="AD454" s="466"/>
      <c r="AE454" s="466"/>
      <c r="AF454" s="466"/>
      <c r="AG454" s="466"/>
      <c r="AH454" s="466"/>
      <c r="AI454" s="466"/>
    </row>
    <row r="455" spans="1:38" ht="12.9" customHeight="1">
      <c r="D455" s="265" t="s">
        <v>1203</v>
      </c>
      <c r="E455" s="466"/>
      <c r="F455" s="466"/>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E455" s="466"/>
      <c r="AF455" s="466"/>
      <c r="AG455" s="466"/>
      <c r="AH455" s="466"/>
      <c r="AI455" s="466"/>
    </row>
    <row r="456" spans="1:38" ht="12.9" customHeight="1">
      <c r="D456" s="264" t="s">
        <v>1204</v>
      </c>
      <c r="E456" s="466"/>
      <c r="F456" s="466"/>
      <c r="G456" s="466"/>
      <c r="H456" s="466"/>
      <c r="I456" s="466"/>
      <c r="J456" s="466"/>
      <c r="K456" s="466"/>
      <c r="L456" s="466"/>
      <c r="M456" s="466"/>
      <c r="N456" s="466"/>
      <c r="O456" s="466"/>
      <c r="P456" s="466"/>
      <c r="Q456" s="466"/>
      <c r="R456" s="466"/>
      <c r="S456" s="466"/>
      <c r="T456" s="466"/>
      <c r="U456" s="466"/>
      <c r="V456" s="466"/>
      <c r="W456" s="466"/>
      <c r="X456" s="466"/>
      <c r="Y456" s="466"/>
      <c r="Z456" s="466"/>
      <c r="AA456" s="466"/>
      <c r="AB456" s="466"/>
      <c r="AC456" s="466"/>
      <c r="AD456" s="466"/>
      <c r="AE456" s="466"/>
      <c r="AF456" s="466"/>
      <c r="AG456" s="466"/>
      <c r="AH456" s="466"/>
      <c r="AI456" s="466"/>
    </row>
    <row r="457" spans="1:38" ht="12.9" customHeight="1">
      <c r="D457" s="264" t="s">
        <v>1205</v>
      </c>
      <c r="E457" s="466"/>
      <c r="F457" s="46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E457" s="466"/>
      <c r="AF457" s="466"/>
      <c r="AG457" s="466"/>
      <c r="AH457" s="466"/>
      <c r="AI457" s="466"/>
    </row>
    <row r="458" spans="1:38" ht="12.9" customHeight="1">
      <c r="D458" s="466"/>
      <c r="E458" s="466"/>
      <c r="F458" s="466"/>
      <c r="G458" s="466"/>
      <c r="H458" s="466"/>
      <c r="I458" s="466"/>
      <c r="J458" s="466"/>
      <c r="K458" s="466"/>
      <c r="L458" s="466"/>
      <c r="M458" s="466"/>
      <c r="N458" s="466"/>
      <c r="O458" s="466"/>
      <c r="P458" s="466"/>
      <c r="Q458" s="466"/>
      <c r="R458" s="466"/>
      <c r="S458" s="466"/>
      <c r="T458" s="466"/>
      <c r="U458" s="466"/>
      <c r="V458" s="466"/>
      <c r="W458" s="466"/>
      <c r="X458" s="466"/>
      <c r="Y458" s="466"/>
      <c r="Z458" s="466"/>
      <c r="AA458" s="466"/>
      <c r="AB458" s="466"/>
      <c r="AC458" s="466"/>
      <c r="AD458" s="466"/>
      <c r="AE458" s="466"/>
      <c r="AF458" s="466"/>
      <c r="AG458" s="466"/>
      <c r="AH458" s="466"/>
      <c r="AI458" s="466"/>
    </row>
    <row r="459" spans="1:38" ht="12.9" customHeight="1">
      <c r="A459" s="37"/>
      <c r="B459" s="37"/>
      <c r="C459" s="37"/>
      <c r="D459" s="264" t="s">
        <v>1206</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65" t="s">
        <v>1207</v>
      </c>
      <c r="E460" s="1066"/>
      <c r="F460" s="1066"/>
      <c r="G460" s="1066"/>
      <c r="H460" s="1066"/>
      <c r="I460" s="1066"/>
      <c r="J460" s="1066"/>
      <c r="K460" s="1066"/>
      <c r="L460" s="1066"/>
      <c r="M460" s="1066"/>
      <c r="N460" s="1066"/>
      <c r="O460" s="1066"/>
      <c r="P460" s="1066"/>
      <c r="Q460" s="1066"/>
      <c r="R460" s="1066"/>
      <c r="S460" s="1066"/>
      <c r="T460" s="1066"/>
      <c r="U460" s="1066"/>
      <c r="V460" s="1067"/>
      <c r="W460" s="1071">
        <v>0</v>
      </c>
      <c r="X460" s="1072"/>
      <c r="Y460" s="1073"/>
      <c r="Z460" s="264"/>
      <c r="AA460" s="264"/>
      <c r="AB460" s="264"/>
      <c r="AC460" s="264"/>
      <c r="AD460" s="264"/>
      <c r="AE460" s="264"/>
      <c r="AF460" s="264"/>
      <c r="AG460" s="264"/>
      <c r="AH460" s="264"/>
      <c r="AI460" s="264"/>
      <c r="AJ460" s="37"/>
      <c r="AK460" s="37"/>
      <c r="AL460" s="37"/>
    </row>
    <row r="461" spans="1:38" ht="12.9" customHeight="1">
      <c r="A461" s="37"/>
      <c r="B461" s="37"/>
      <c r="C461" s="37"/>
      <c r="D461" s="1065" t="s">
        <v>1208</v>
      </c>
      <c r="E461" s="1066"/>
      <c r="F461" s="1066"/>
      <c r="G461" s="1066"/>
      <c r="H461" s="1066"/>
      <c r="I461" s="1066"/>
      <c r="J461" s="1066"/>
      <c r="K461" s="1066"/>
      <c r="L461" s="1066"/>
      <c r="M461" s="1066"/>
      <c r="N461" s="1066"/>
      <c r="O461" s="1066"/>
      <c r="P461" s="1066"/>
      <c r="Q461" s="1066"/>
      <c r="R461" s="1066"/>
      <c r="S461" s="1066"/>
      <c r="T461" s="1066"/>
      <c r="U461" s="1066"/>
      <c r="V461" s="1067"/>
      <c r="W461" s="1071">
        <v>0</v>
      </c>
      <c r="X461" s="1072"/>
      <c r="Y461" s="1073"/>
      <c r="Z461" s="264"/>
      <c r="AA461" s="264"/>
      <c r="AB461" s="264"/>
      <c r="AC461" s="264"/>
      <c r="AD461" s="264"/>
      <c r="AE461" s="264"/>
      <c r="AF461" s="264"/>
      <c r="AG461" s="264"/>
      <c r="AH461" s="264"/>
      <c r="AI461" s="264"/>
      <c r="AJ461" s="37"/>
      <c r="AK461" s="37"/>
      <c r="AL461" s="37"/>
    </row>
    <row r="462" spans="1:38" ht="12.9" customHeight="1">
      <c r="A462" s="37"/>
      <c r="B462" s="37"/>
      <c r="C462" s="37"/>
      <c r="D462" s="1065" t="s">
        <v>1209</v>
      </c>
      <c r="E462" s="1066"/>
      <c r="F462" s="1066"/>
      <c r="G462" s="1066"/>
      <c r="H462" s="1066"/>
      <c r="I462" s="1066"/>
      <c r="J462" s="1066"/>
      <c r="K462" s="1066"/>
      <c r="L462" s="1066"/>
      <c r="M462" s="1066"/>
      <c r="N462" s="1066"/>
      <c r="O462" s="1066"/>
      <c r="P462" s="1066"/>
      <c r="Q462" s="1066"/>
      <c r="R462" s="1066"/>
      <c r="S462" s="1066"/>
      <c r="T462" s="1066"/>
      <c r="U462" s="1066"/>
      <c r="V462" s="1067"/>
      <c r="W462" s="1071">
        <v>0</v>
      </c>
      <c r="X462" s="1072"/>
      <c r="Y462" s="1073"/>
      <c r="Z462" s="264"/>
      <c r="AA462" s="264"/>
      <c r="AB462" s="264"/>
      <c r="AC462" s="264"/>
      <c r="AD462" s="264"/>
      <c r="AE462" s="264"/>
      <c r="AF462" s="264"/>
      <c r="AG462" s="264"/>
      <c r="AH462" s="264"/>
      <c r="AI462" s="264"/>
      <c r="AJ462" s="37"/>
      <c r="AK462" s="37"/>
      <c r="AL462" s="37"/>
    </row>
    <row r="463" spans="1:38" ht="12.9" customHeight="1">
      <c r="A463" s="37"/>
      <c r="B463" s="37"/>
      <c r="C463" s="37"/>
      <c r="D463" s="1065" t="s">
        <v>1210</v>
      </c>
      <c r="E463" s="1066"/>
      <c r="F463" s="1066"/>
      <c r="G463" s="1066"/>
      <c r="H463" s="1066"/>
      <c r="I463" s="1066"/>
      <c r="J463" s="1066"/>
      <c r="K463" s="1066"/>
      <c r="L463" s="1066"/>
      <c r="M463" s="1066"/>
      <c r="N463" s="1066"/>
      <c r="O463" s="1066"/>
      <c r="P463" s="1066"/>
      <c r="Q463" s="1066"/>
      <c r="R463" s="1066"/>
      <c r="S463" s="1066"/>
      <c r="T463" s="1066"/>
      <c r="U463" s="1066"/>
      <c r="V463" s="1067"/>
      <c r="W463" s="1071">
        <v>0</v>
      </c>
      <c r="X463" s="1072"/>
      <c r="Y463" s="1073"/>
      <c r="Z463" s="264"/>
      <c r="AA463" s="264"/>
      <c r="AB463" s="264"/>
      <c r="AC463" s="264"/>
      <c r="AD463" s="264"/>
      <c r="AE463" s="264"/>
      <c r="AF463" s="264"/>
      <c r="AG463" s="264"/>
      <c r="AH463" s="264"/>
      <c r="AI463" s="264"/>
      <c r="AJ463" s="37"/>
      <c r="AK463" s="37"/>
      <c r="AL463" s="37"/>
    </row>
    <row r="464" spans="1:38" ht="12.9" customHeight="1">
      <c r="A464" s="37"/>
      <c r="B464" s="37"/>
      <c r="C464" s="37"/>
      <c r="D464" s="1065" t="s">
        <v>1211</v>
      </c>
      <c r="E464" s="1066"/>
      <c r="F464" s="1066"/>
      <c r="G464" s="1066"/>
      <c r="H464" s="1066"/>
      <c r="I464" s="1066"/>
      <c r="J464" s="1066"/>
      <c r="K464" s="1066"/>
      <c r="L464" s="1066"/>
      <c r="M464" s="1066"/>
      <c r="N464" s="1066"/>
      <c r="O464" s="1066"/>
      <c r="P464" s="1066"/>
      <c r="Q464" s="1066"/>
      <c r="R464" s="1066"/>
      <c r="S464" s="1066"/>
      <c r="T464" s="1066"/>
      <c r="U464" s="1066"/>
      <c r="V464" s="1067"/>
      <c r="W464" s="1071">
        <v>0</v>
      </c>
      <c r="X464" s="1072"/>
      <c r="Y464" s="1073"/>
      <c r="Z464" s="264"/>
      <c r="AA464" s="264"/>
      <c r="AB464" s="264"/>
      <c r="AC464" s="264"/>
      <c r="AD464" s="264"/>
      <c r="AE464" s="264"/>
      <c r="AF464" s="264"/>
      <c r="AG464" s="264"/>
      <c r="AH464" s="264"/>
      <c r="AI464" s="264"/>
      <c r="AJ464" s="37"/>
      <c r="AK464" s="37"/>
      <c r="AL464" s="37"/>
    </row>
    <row r="465" spans="1:97" ht="12.9" customHeight="1">
      <c r="A465" s="37"/>
      <c r="B465" s="37"/>
      <c r="C465" s="37"/>
      <c r="D465" s="1065" t="s">
        <v>1212</v>
      </c>
      <c r="E465" s="1066"/>
      <c r="F465" s="1066"/>
      <c r="G465" s="1066"/>
      <c r="H465" s="1066"/>
      <c r="I465" s="1066"/>
      <c r="J465" s="1066"/>
      <c r="K465" s="1066"/>
      <c r="L465" s="1066"/>
      <c r="M465" s="1066"/>
      <c r="N465" s="1066"/>
      <c r="O465" s="1066"/>
      <c r="P465" s="1066"/>
      <c r="Q465" s="1066"/>
      <c r="R465" s="1066"/>
      <c r="S465" s="1066"/>
      <c r="T465" s="1066"/>
      <c r="U465" s="1066"/>
      <c r="V465" s="1067"/>
      <c r="W465" s="1071">
        <v>0</v>
      </c>
      <c r="X465" s="1072"/>
      <c r="Y465" s="1073"/>
      <c r="Z465" s="264"/>
      <c r="AA465" s="264"/>
      <c r="AB465" s="264"/>
      <c r="AC465" s="264"/>
      <c r="AD465" s="264"/>
      <c r="AE465" s="264"/>
      <c r="AF465" s="264"/>
      <c r="AG465" s="264"/>
      <c r="AH465" s="264"/>
      <c r="AI465" s="264"/>
      <c r="AJ465" s="37"/>
      <c r="AK465" s="37"/>
      <c r="AL465" s="37"/>
    </row>
    <row r="466" spans="1:97" ht="12.9" customHeight="1">
      <c r="A466" s="37"/>
      <c r="B466" s="37"/>
      <c r="C466" s="37"/>
      <c r="D466" s="1065" t="s">
        <v>1213</v>
      </c>
      <c r="E466" s="1066"/>
      <c r="F466" s="1066"/>
      <c r="G466" s="1066"/>
      <c r="H466" s="1066"/>
      <c r="I466" s="1066"/>
      <c r="J466" s="1066"/>
      <c r="K466" s="1066"/>
      <c r="L466" s="1066"/>
      <c r="M466" s="1066"/>
      <c r="N466" s="1066"/>
      <c r="O466" s="1066"/>
      <c r="P466" s="1066"/>
      <c r="Q466" s="1066"/>
      <c r="R466" s="1066"/>
      <c r="S466" s="1066"/>
      <c r="T466" s="1066"/>
      <c r="U466" s="1066"/>
      <c r="V466" s="1067"/>
      <c r="W466" s="1071">
        <v>0</v>
      </c>
      <c r="X466" s="1072"/>
      <c r="Y466" s="1073"/>
      <c r="Z466" s="264"/>
      <c r="AA466" s="264"/>
      <c r="AB466" s="264"/>
      <c r="AC466" s="264"/>
      <c r="AD466" s="466"/>
      <c r="AE466" s="466"/>
      <c r="AF466" s="466"/>
      <c r="AG466" s="466"/>
      <c r="AH466" s="466"/>
      <c r="AI466" s="466"/>
      <c r="AJ466" s="874"/>
    </row>
    <row r="467" spans="1:97" ht="12.9" customHeight="1">
      <c r="A467" s="37"/>
      <c r="B467" s="37"/>
      <c r="C467" s="37"/>
      <c r="D467" s="1065" t="s">
        <v>1214</v>
      </c>
      <c r="E467" s="1066"/>
      <c r="F467" s="1066"/>
      <c r="G467" s="1066"/>
      <c r="H467" s="1066"/>
      <c r="I467" s="1066"/>
      <c r="J467" s="1066"/>
      <c r="K467" s="1066"/>
      <c r="L467" s="1066"/>
      <c r="M467" s="1066"/>
      <c r="N467" s="1066"/>
      <c r="O467" s="1066"/>
      <c r="P467" s="1066"/>
      <c r="Q467" s="1066"/>
      <c r="R467" s="1066"/>
      <c r="S467" s="1066"/>
      <c r="T467" s="1066"/>
      <c r="U467" s="1066"/>
      <c r="V467" s="1067"/>
      <c r="W467" s="1071">
        <v>0</v>
      </c>
      <c r="X467" s="1072"/>
      <c r="Y467" s="1073"/>
      <c r="Z467" s="264"/>
      <c r="AA467" s="264"/>
      <c r="AB467" s="264"/>
      <c r="AC467" s="264"/>
      <c r="AD467" s="466"/>
      <c r="AE467" s="466"/>
      <c r="AF467" s="466"/>
      <c r="AG467" s="466"/>
      <c r="AH467" s="466"/>
      <c r="AI467" s="466"/>
      <c r="AJ467" s="874"/>
    </row>
    <row r="468" spans="1:97" ht="12.9" customHeight="1">
      <c r="A468" s="37"/>
      <c r="B468" s="37"/>
      <c r="C468" s="37"/>
      <c r="D468" s="1065" t="s">
        <v>1215</v>
      </c>
      <c r="E468" s="1066"/>
      <c r="F468" s="1066"/>
      <c r="G468" s="1066"/>
      <c r="H468" s="1066"/>
      <c r="I468" s="1066"/>
      <c r="J468" s="1066"/>
      <c r="K468" s="1066"/>
      <c r="L468" s="1066"/>
      <c r="M468" s="1066"/>
      <c r="N468" s="1066"/>
      <c r="O468" s="1066"/>
      <c r="P468" s="1066"/>
      <c r="Q468" s="1066"/>
      <c r="R468" s="1066"/>
      <c r="S468" s="1066"/>
      <c r="T468" s="1066"/>
      <c r="U468" s="1066"/>
      <c r="V468" s="1067"/>
      <c r="W468" s="1071">
        <v>0</v>
      </c>
      <c r="X468" s="1072"/>
      <c r="Y468" s="1073"/>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5" t="s">
        <v>1162</v>
      </c>
      <c r="E469" s="337"/>
      <c r="F469" s="338"/>
      <c r="G469" s="1098" t="s">
        <v>1216</v>
      </c>
      <c r="H469" s="1099"/>
      <c r="I469" s="1099"/>
      <c r="J469" s="1099"/>
      <c r="K469" s="1099"/>
      <c r="L469" s="1099"/>
      <c r="M469" s="1099"/>
      <c r="N469" s="1099"/>
      <c r="O469" s="1099"/>
      <c r="P469" s="1099"/>
      <c r="Q469" s="1099"/>
      <c r="R469" s="1099"/>
      <c r="S469" s="1099"/>
      <c r="T469" s="1099"/>
      <c r="U469" s="1099"/>
      <c r="V469" s="1100"/>
      <c r="W469" s="1071">
        <v>22</v>
      </c>
      <c r="X469" s="1072"/>
      <c r="Y469" s="1073"/>
      <c r="Z469" s="264"/>
      <c r="AA469" s="264"/>
      <c r="AB469" s="264"/>
      <c r="AC469" s="264"/>
      <c r="AD469" s="264"/>
      <c r="AE469" s="264"/>
      <c r="AF469" s="264"/>
      <c r="AG469" s="264"/>
      <c r="AH469" s="264"/>
      <c r="AI469" s="264"/>
      <c r="AJ469" s="37"/>
      <c r="AK469" s="37"/>
      <c r="AL469" s="37"/>
    </row>
    <row r="470" spans="1:97" ht="12.9" customHeight="1">
      <c r="A470" s="37"/>
      <c r="B470" s="37"/>
      <c r="C470" s="37"/>
      <c r="D470" s="832" t="s">
        <v>1217</v>
      </c>
      <c r="E470" s="833"/>
      <c r="F470" s="833"/>
      <c r="G470" s="833"/>
      <c r="H470" s="833"/>
      <c r="I470" s="833"/>
      <c r="J470" s="833"/>
      <c r="K470" s="833"/>
      <c r="L470" s="833"/>
      <c r="M470" s="833"/>
      <c r="N470" s="833"/>
      <c r="O470" s="833"/>
      <c r="P470" s="833"/>
      <c r="Q470" s="833"/>
      <c r="R470" s="833"/>
      <c r="S470" s="833"/>
      <c r="T470" s="833"/>
      <c r="U470" s="833"/>
      <c r="V470" s="833"/>
      <c r="W470" s="833"/>
      <c r="X470" s="833"/>
      <c r="Y470" s="833"/>
      <c r="Z470" s="264"/>
      <c r="AA470" s="264"/>
      <c r="AB470" s="264"/>
      <c r="AC470" s="264"/>
      <c r="AD470" s="264"/>
      <c r="AE470" s="264"/>
      <c r="AF470" s="264"/>
      <c r="AG470" s="264"/>
      <c r="AH470" s="264"/>
      <c r="AI470" s="264"/>
      <c r="AJ470" s="37"/>
      <c r="AK470" s="37"/>
      <c r="AL470" s="37"/>
    </row>
    <row r="471" spans="1:97" ht="12.9" customHeight="1">
      <c r="A471" s="37"/>
      <c r="B471" s="37"/>
      <c r="C471" s="37"/>
      <c r="D471" s="1472"/>
      <c r="E471" s="1472"/>
      <c r="F471" s="1472"/>
      <c r="G471" s="1472"/>
      <c r="H471" s="1472"/>
      <c r="I471" s="1472"/>
      <c r="J471" s="1472"/>
      <c r="K471" s="1472"/>
      <c r="L471" s="1472"/>
      <c r="M471" s="1472"/>
      <c r="N471" s="1472"/>
      <c r="O471" s="1472"/>
      <c r="P471" s="1472"/>
      <c r="Q471" s="1472"/>
      <c r="R471" s="1472"/>
      <c r="S471" s="1472"/>
      <c r="T471" s="1472"/>
      <c r="U471" s="1472"/>
      <c r="V471" s="1472"/>
      <c r="W471" s="1472"/>
      <c r="X471" s="1472"/>
      <c r="Y471" s="1472"/>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473"/>
      <c r="E472" s="1473"/>
      <c r="F472" s="1473"/>
      <c r="G472" s="1473"/>
      <c r="H472" s="1473"/>
      <c r="I472" s="1473"/>
      <c r="J472" s="1473"/>
      <c r="K472" s="1473"/>
      <c r="L472" s="1473"/>
      <c r="M472" s="1473"/>
      <c r="N472" s="1473"/>
      <c r="O472" s="1473"/>
      <c r="P472" s="1473"/>
      <c r="Q472" s="1473"/>
      <c r="R472" s="1473"/>
      <c r="S472" s="1473"/>
      <c r="T472" s="1473"/>
      <c r="U472" s="1473"/>
      <c r="V472" s="1473"/>
      <c r="W472" s="1473"/>
      <c r="X472" s="1473"/>
      <c r="Y472" s="1473"/>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473"/>
      <c r="E473" s="1473"/>
      <c r="F473" s="1473"/>
      <c r="G473" s="1473"/>
      <c r="H473" s="1473"/>
      <c r="I473" s="1473"/>
      <c r="J473" s="1473"/>
      <c r="K473" s="1473"/>
      <c r="L473" s="1473"/>
      <c r="M473" s="1473"/>
      <c r="N473" s="1473"/>
      <c r="O473" s="1473"/>
      <c r="P473" s="1473"/>
      <c r="Q473" s="1473"/>
      <c r="R473" s="1473"/>
      <c r="S473" s="1473"/>
      <c r="T473" s="1473"/>
      <c r="U473" s="1473"/>
      <c r="V473" s="1473"/>
      <c r="W473" s="1473"/>
      <c r="X473" s="1473"/>
      <c r="Y473" s="1473"/>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06" t="s">
        <v>1218</v>
      </c>
      <c r="B476" s="1006"/>
      <c r="C476" s="1006"/>
      <c r="D476" s="1006"/>
      <c r="E476" s="1006"/>
      <c r="F476" s="1006"/>
      <c r="G476" s="1006"/>
      <c r="H476" s="1006"/>
      <c r="I476" s="1006"/>
      <c r="J476" s="1006"/>
      <c r="K476" s="1006"/>
      <c r="L476" s="1006"/>
      <c r="M476" s="1006"/>
      <c r="N476" s="1006"/>
      <c r="O476" s="1006"/>
      <c r="P476" s="1006"/>
      <c r="Q476" s="1006"/>
      <c r="R476" s="1006"/>
      <c r="S476" s="1006"/>
      <c r="T476" s="1006"/>
      <c r="U476" s="1006"/>
      <c r="V476" s="1006"/>
      <c r="W476" s="1006"/>
      <c r="X476" s="1006"/>
      <c r="Y476" s="1006"/>
      <c r="Z476" s="1006"/>
      <c r="AA476" s="1006"/>
      <c r="AB476" s="1006"/>
      <c r="AC476" s="1006"/>
      <c r="AD476" s="1006"/>
      <c r="AE476" s="1006"/>
      <c r="AF476" s="1006"/>
      <c r="AG476" s="1006"/>
      <c r="AH476" s="1006"/>
      <c r="AI476" s="1006"/>
      <c r="AJ476" s="1006"/>
      <c r="AK476" s="1006"/>
      <c r="AL476" s="1006"/>
      <c r="AM476" s="1006"/>
      <c r="AN476" s="1006"/>
      <c r="AO476" s="1006"/>
      <c r="AP476" s="1006"/>
      <c r="AQ476" s="1006"/>
      <c r="AR476" s="1006"/>
      <c r="AS476" s="1006"/>
      <c r="AT476" s="1006"/>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06"/>
      <c r="B477" s="1006"/>
      <c r="C477" s="1006"/>
      <c r="D477" s="1006"/>
      <c r="E477" s="1006"/>
      <c r="F477" s="1006"/>
      <c r="G477" s="1006"/>
      <c r="H477" s="1006"/>
      <c r="I477" s="1006"/>
      <c r="J477" s="1006"/>
      <c r="K477" s="1006"/>
      <c r="L477" s="1006"/>
      <c r="M477" s="1006"/>
      <c r="N477" s="1006"/>
      <c r="O477" s="1006"/>
      <c r="P477" s="1006"/>
      <c r="Q477" s="1006"/>
      <c r="R477" s="1006"/>
      <c r="S477" s="1006"/>
      <c r="T477" s="1006"/>
      <c r="U477" s="1006"/>
      <c r="V477" s="1006"/>
      <c r="W477" s="1006"/>
      <c r="X477" s="1006"/>
      <c r="Y477" s="1006"/>
      <c r="Z477" s="1006"/>
      <c r="AA477" s="1006"/>
      <c r="AB477" s="1006"/>
      <c r="AC477" s="1006"/>
      <c r="AD477" s="1006"/>
      <c r="AE477" s="1006"/>
      <c r="AF477" s="1006"/>
      <c r="AG477" s="1006"/>
      <c r="AH477" s="1006"/>
      <c r="AI477" s="1006"/>
      <c r="AJ477" s="1006"/>
      <c r="AK477" s="1006"/>
      <c r="AL477" s="1006"/>
      <c r="AM477" s="1006"/>
      <c r="AN477" s="1006"/>
      <c r="AO477" s="1006"/>
      <c r="AP477" s="1006"/>
      <c r="AQ477" s="1006"/>
      <c r="AR477" s="1006"/>
      <c r="AS477" s="1006"/>
      <c r="AT477" s="1006"/>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791</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351" t="s">
        <v>1219</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53"/>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1220</v>
      </c>
      <c r="C482" s="9"/>
      <c r="D482" s="9"/>
      <c r="E482" s="9"/>
      <c r="F482" s="9"/>
      <c r="G482" s="9"/>
      <c r="H482" s="9"/>
      <c r="I482" s="9"/>
      <c r="J482" s="9"/>
      <c r="K482" s="9"/>
      <c r="L482" s="9"/>
      <c r="M482" s="9"/>
      <c r="N482" s="9"/>
      <c r="O482" s="9"/>
      <c r="P482" s="9"/>
      <c r="Q482" s="1074" t="s">
        <v>1221</v>
      </c>
      <c r="R482" s="1004"/>
      <c r="S482" s="1004"/>
      <c r="T482" s="1004"/>
      <c r="U482" s="1004"/>
      <c r="V482" s="1004"/>
      <c r="W482" s="1004"/>
      <c r="X482" s="1004"/>
      <c r="Y482" s="1004"/>
      <c r="Z482" s="1004"/>
      <c r="AA482" s="1004"/>
      <c r="AB482" s="1004"/>
      <c r="AC482" s="1004"/>
      <c r="AD482" s="1004"/>
      <c r="AE482" s="1004"/>
      <c r="AF482" s="1004"/>
      <c r="AG482" s="1004"/>
      <c r="AH482" s="1004"/>
      <c r="AI482" s="1004"/>
      <c r="AJ482" s="1004"/>
      <c r="AK482" s="1075"/>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1222</v>
      </c>
      <c r="C483" s="9"/>
      <c r="D483" s="9"/>
      <c r="E483" s="9"/>
      <c r="F483" s="9"/>
      <c r="G483" s="9"/>
      <c r="H483" s="9"/>
      <c r="I483" s="9"/>
      <c r="J483" s="9"/>
      <c r="K483" s="9"/>
      <c r="L483" s="9"/>
      <c r="M483" s="9"/>
      <c r="N483" s="9"/>
      <c r="O483" s="9"/>
      <c r="P483" s="9"/>
      <c r="Q483" s="1074" t="s">
        <v>1223</v>
      </c>
      <c r="R483" s="1004"/>
      <c r="S483" s="1004"/>
      <c r="T483" s="1004"/>
      <c r="U483" s="1004"/>
      <c r="V483" s="1004"/>
      <c r="W483" s="1004"/>
      <c r="X483" s="1004"/>
      <c r="Y483" s="1004"/>
      <c r="Z483" s="1004"/>
      <c r="AA483" s="1004"/>
      <c r="AB483" s="1004"/>
      <c r="AC483" s="1004"/>
      <c r="AD483" s="1004"/>
      <c r="AE483" s="1004"/>
      <c r="AF483" s="1004"/>
      <c r="AG483" s="1004"/>
      <c r="AH483" s="1004"/>
      <c r="AI483" s="1004"/>
      <c r="AJ483" s="1004"/>
      <c r="AK483" s="107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1224</v>
      </c>
      <c r="C484" s="9"/>
      <c r="D484" s="9"/>
      <c r="E484" s="9"/>
      <c r="F484" s="9"/>
      <c r="G484" s="9"/>
      <c r="H484" s="9"/>
      <c r="I484" s="9"/>
      <c r="J484" s="9"/>
      <c r="K484" s="9"/>
      <c r="L484" s="9"/>
      <c r="M484" s="9"/>
      <c r="N484" s="9"/>
      <c r="O484" s="9"/>
      <c r="P484" s="9"/>
      <c r="Q484" s="1074" t="s">
        <v>1223</v>
      </c>
      <c r="R484" s="1004"/>
      <c r="S484" s="1004"/>
      <c r="T484" s="1004"/>
      <c r="U484" s="1004"/>
      <c r="V484" s="1004"/>
      <c r="W484" s="1004"/>
      <c r="X484" s="1004"/>
      <c r="Y484" s="1004"/>
      <c r="Z484" s="1004"/>
      <c r="AA484" s="1004"/>
      <c r="AB484" s="1004"/>
      <c r="AC484" s="1004"/>
      <c r="AD484" s="1004"/>
      <c r="AE484" s="1004"/>
      <c r="AF484" s="1004"/>
      <c r="AG484" s="1004"/>
      <c r="AH484" s="1004"/>
      <c r="AI484" s="1004"/>
      <c r="AJ484" s="1004"/>
      <c r="AK484" s="1075"/>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399" t="s">
        <v>1225</v>
      </c>
      <c r="C485" s="1400"/>
      <c r="D485" s="1400"/>
      <c r="E485" s="1400"/>
      <c r="F485" s="1400"/>
      <c r="G485" s="1400"/>
      <c r="H485" s="1400"/>
      <c r="I485" s="1400"/>
      <c r="J485" s="1400"/>
      <c r="K485" s="1400"/>
      <c r="L485" s="1400"/>
      <c r="M485" s="1400"/>
      <c r="N485" s="1400"/>
      <c r="O485" s="1400"/>
      <c r="P485" s="1401"/>
      <c r="Q485" s="1410" t="s">
        <v>759</v>
      </c>
      <c r="R485" s="1411"/>
      <c r="S485" s="1414" t="s">
        <v>1226</v>
      </c>
      <c r="T485" s="1415"/>
      <c r="U485" s="1415"/>
      <c r="V485" s="1415"/>
      <c r="W485" s="1415"/>
      <c r="X485" s="1415"/>
      <c r="Y485" s="1415"/>
      <c r="Z485" s="1415"/>
      <c r="AA485" s="1415"/>
      <c r="AB485" s="1415"/>
      <c r="AC485" s="1415"/>
      <c r="AD485" s="1415"/>
      <c r="AE485" s="1415"/>
      <c r="AF485" s="1415"/>
      <c r="AG485" s="1415"/>
      <c r="AH485" s="1415"/>
      <c r="AI485" s="1415"/>
      <c r="AJ485" s="1415"/>
      <c r="AK485" s="1416"/>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402"/>
      <c r="C486" s="1403"/>
      <c r="D486" s="1403"/>
      <c r="E486" s="1403"/>
      <c r="F486" s="1403"/>
      <c r="G486" s="1403"/>
      <c r="H486" s="1403"/>
      <c r="I486" s="1403"/>
      <c r="J486" s="1403"/>
      <c r="K486" s="1403"/>
      <c r="L486" s="1403"/>
      <c r="M486" s="1403"/>
      <c r="N486" s="1403"/>
      <c r="O486" s="1403"/>
      <c r="P486" s="1404"/>
      <c r="Q486" s="1412"/>
      <c r="R486" s="1413"/>
      <c r="S486" s="1417"/>
      <c r="T486" s="1418"/>
      <c r="U486" s="1418"/>
      <c r="V486" s="1418"/>
      <c r="W486" s="1418"/>
      <c r="X486" s="1418"/>
      <c r="Y486" s="1418"/>
      <c r="Z486" s="1418"/>
      <c r="AA486" s="1418"/>
      <c r="AB486" s="1418"/>
      <c r="AC486" s="1418"/>
      <c r="AD486" s="1418"/>
      <c r="AE486" s="1418"/>
      <c r="AF486" s="1418"/>
      <c r="AG486" s="1418"/>
      <c r="AH486" s="1418"/>
      <c r="AI486" s="1418"/>
      <c r="AJ486" s="1418"/>
      <c r="AK486" s="1419"/>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0" t="s">
        <v>1227</v>
      </c>
      <c r="C487" s="704"/>
      <c r="D487" s="704"/>
      <c r="E487" s="704"/>
      <c r="F487" s="704"/>
      <c r="G487" s="704"/>
      <c r="H487" s="704"/>
      <c r="I487" s="704"/>
      <c r="J487" s="704"/>
      <c r="K487" s="704"/>
      <c r="L487" s="704"/>
      <c r="M487" s="704"/>
      <c r="N487" s="704"/>
      <c r="O487" s="704"/>
      <c r="P487" s="704"/>
      <c r="Q487" s="1420"/>
      <c r="R487" s="1421"/>
      <c r="S487" s="1421"/>
      <c r="T487" s="1421"/>
      <c r="U487" s="1421"/>
      <c r="V487" s="1421"/>
      <c r="W487" s="1421"/>
      <c r="X487" s="1421"/>
      <c r="Y487" s="1421"/>
      <c r="Z487" s="1421"/>
      <c r="AA487" s="1421"/>
      <c r="AB487" s="1421"/>
      <c r="AC487" s="1421"/>
      <c r="AD487" s="1421"/>
      <c r="AE487" s="1421"/>
      <c r="AF487" s="1421"/>
      <c r="AG487" s="1421"/>
      <c r="AH487" s="1421"/>
      <c r="AI487" s="1421"/>
      <c r="AJ487" s="1421"/>
      <c r="AK487" s="1422"/>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1228</v>
      </c>
      <c r="C488" s="9"/>
      <c r="D488" s="9"/>
      <c r="E488" s="9"/>
      <c r="F488" s="9"/>
      <c r="G488" s="9"/>
      <c r="H488" s="9"/>
      <c r="I488" s="9"/>
      <c r="J488" s="9"/>
      <c r="K488" s="9"/>
      <c r="L488" s="9"/>
      <c r="M488" s="9"/>
      <c r="N488" s="9"/>
      <c r="O488" s="9"/>
      <c r="P488" s="9"/>
      <c r="Q488" s="1074" t="s">
        <v>1229</v>
      </c>
      <c r="R488" s="1004"/>
      <c r="S488" s="1004"/>
      <c r="T488" s="1004"/>
      <c r="U488" s="1004"/>
      <c r="V488" s="1004"/>
      <c r="W488" s="1004"/>
      <c r="X488" s="1004"/>
      <c r="Y488" s="1004"/>
      <c r="Z488" s="1004"/>
      <c r="AA488" s="1004"/>
      <c r="AB488" s="1004"/>
      <c r="AC488" s="1004"/>
      <c r="AD488" s="1004"/>
      <c r="AE488" s="1004"/>
      <c r="AF488" s="1004"/>
      <c r="AG488" s="1004"/>
      <c r="AH488" s="1004"/>
      <c r="AI488" s="1004"/>
      <c r="AJ488" s="1004"/>
      <c r="AK488" s="1075"/>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1230</v>
      </c>
      <c r="C489" s="9"/>
      <c r="D489" s="9"/>
      <c r="E489" s="9"/>
      <c r="F489" s="9"/>
      <c r="G489" s="9"/>
      <c r="H489" s="9"/>
      <c r="I489" s="9"/>
      <c r="J489" s="9"/>
      <c r="K489" s="9"/>
      <c r="L489" s="9"/>
      <c r="M489" s="9"/>
      <c r="N489" s="9"/>
      <c r="O489" s="9"/>
      <c r="P489" s="9"/>
      <c r="Q489" s="1074" t="s">
        <v>1231</v>
      </c>
      <c r="R489" s="1004"/>
      <c r="S489" s="1004"/>
      <c r="T489" s="1004"/>
      <c r="U489" s="1004"/>
      <c r="V489" s="1004"/>
      <c r="W489" s="1004"/>
      <c r="X489" s="1004"/>
      <c r="Y489" s="1004"/>
      <c r="Z489" s="1004"/>
      <c r="AA489" s="1004"/>
      <c r="AB489" s="1004"/>
      <c r="AC489" s="1004"/>
      <c r="AD489" s="1004"/>
      <c r="AE489" s="1004"/>
      <c r="AF489" s="1004"/>
      <c r="AG489" s="1004"/>
      <c r="AH489" s="1004"/>
      <c r="AI489" s="1004"/>
      <c r="AJ489" s="1004"/>
      <c r="AK489" s="107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1232</v>
      </c>
      <c r="C490" s="9"/>
      <c r="D490" s="9"/>
      <c r="E490" s="9"/>
      <c r="F490" s="9"/>
      <c r="G490" s="9"/>
      <c r="H490" s="9"/>
      <c r="I490" s="9"/>
      <c r="J490" s="9"/>
      <c r="K490" s="9"/>
      <c r="L490" s="9"/>
      <c r="M490" s="9"/>
      <c r="N490" s="9"/>
      <c r="O490" s="9"/>
      <c r="P490" s="9"/>
      <c r="Q490" s="1074">
        <v>27</v>
      </c>
      <c r="R490" s="1004"/>
      <c r="S490" s="1004"/>
      <c r="T490" s="1004"/>
      <c r="U490" s="1004"/>
      <c r="V490" s="1004"/>
      <c r="W490" s="1004"/>
      <c r="X490" s="1004"/>
      <c r="Y490" s="1004"/>
      <c r="Z490" s="1004"/>
      <c r="AA490" s="1004"/>
      <c r="AB490" s="1004"/>
      <c r="AC490" s="1004"/>
      <c r="AD490" s="1004"/>
      <c r="AE490" s="1004"/>
      <c r="AF490" s="1004"/>
      <c r="AG490" s="1004"/>
      <c r="AH490" s="1004"/>
      <c r="AI490" s="1004"/>
      <c r="AJ490" s="1004"/>
      <c r="AK490" s="1075"/>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1233</v>
      </c>
      <c r="C491" s="9"/>
      <c r="D491" s="9"/>
      <c r="E491" s="9"/>
      <c r="F491" s="9"/>
      <c r="G491" s="9"/>
      <c r="H491" s="9"/>
      <c r="I491" s="9"/>
      <c r="J491" s="9"/>
      <c r="K491" s="9"/>
      <c r="L491" s="9"/>
      <c r="M491" s="1270">
        <v>0</v>
      </c>
      <c r="N491" s="1092"/>
      <c r="O491" s="1092"/>
      <c r="P491" s="1271"/>
      <c r="Q491" s="180" t="s">
        <v>1234</v>
      </c>
      <c r="R491" s="9"/>
      <c r="S491" s="9"/>
      <c r="T491" s="9"/>
      <c r="U491" s="9"/>
      <c r="V491" s="9"/>
      <c r="W491" s="9"/>
      <c r="X491" s="9"/>
      <c r="Y491" s="9"/>
      <c r="Z491" s="9"/>
      <c r="AA491" s="9"/>
      <c r="AB491" s="9"/>
      <c r="AC491" s="9"/>
      <c r="AD491" s="9"/>
      <c r="AE491" s="9"/>
      <c r="AF491" s="9"/>
      <c r="AG491" s="9"/>
      <c r="AH491" s="1270">
        <v>27</v>
      </c>
      <c r="AI491" s="1092"/>
      <c r="AJ491" s="1092"/>
      <c r="AK491" s="127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826</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51" t="s">
        <v>1235</v>
      </c>
      <c r="AD495" s="1352"/>
      <c r="AE495" s="1352"/>
      <c r="AF495" s="1352"/>
      <c r="AG495" s="1352"/>
      <c r="AH495" s="1352"/>
      <c r="AI495" s="1352"/>
      <c r="AJ495" s="1352"/>
      <c r="AK495" s="135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51" t="s">
        <v>1236</v>
      </c>
      <c r="AD496" s="1352"/>
      <c r="AE496" s="1352"/>
      <c r="AF496" s="1352"/>
      <c r="AG496" s="49" t="s">
        <v>1237</v>
      </c>
      <c r="AH496" s="1352" t="s">
        <v>1238</v>
      </c>
      <c r="AI496" s="1352"/>
      <c r="AJ496" s="1352"/>
      <c r="AK496" s="135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079" t="s">
        <v>1239</v>
      </c>
      <c r="C497" s="1080"/>
      <c r="D497" s="1080"/>
      <c r="E497" s="1080"/>
      <c r="F497" s="1080"/>
      <c r="G497" s="1080"/>
      <c r="H497" s="1081"/>
      <c r="I497" s="7" t="s">
        <v>1240</v>
      </c>
      <c r="J497" s="7"/>
      <c r="K497" s="7"/>
      <c r="L497" s="7"/>
      <c r="M497" s="7"/>
      <c r="N497" s="7"/>
      <c r="O497" s="7"/>
      <c r="P497" s="7"/>
      <c r="Q497" s="7"/>
      <c r="R497" s="7"/>
      <c r="S497" s="7"/>
      <c r="T497" s="7"/>
      <c r="U497" s="7"/>
      <c r="V497" s="7"/>
      <c r="W497" s="7"/>
      <c r="AC497" s="1064" t="s">
        <v>325</v>
      </c>
      <c r="AD497" s="1061"/>
      <c r="AE497" s="1061"/>
      <c r="AF497" s="1061"/>
      <c r="AG497" s="18" t="s">
        <v>1237</v>
      </c>
      <c r="AH497" s="1090">
        <v>0</v>
      </c>
      <c r="AI497" s="1090"/>
      <c r="AJ497" s="1090"/>
      <c r="AK497" s="109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082"/>
      <c r="C498" s="1083"/>
      <c r="D498" s="1083"/>
      <c r="E498" s="1083"/>
      <c r="F498" s="1083"/>
      <c r="G498" s="1083"/>
      <c r="H498" s="1084"/>
      <c r="I498" s="47" t="s">
        <v>1241</v>
      </c>
      <c r="J498" s="47"/>
      <c r="K498" s="47"/>
      <c r="L498" s="47"/>
      <c r="M498" s="47"/>
      <c r="N498" s="47"/>
      <c r="O498" s="47"/>
      <c r="P498" s="47"/>
      <c r="Q498" s="47"/>
      <c r="R498" s="47"/>
      <c r="S498" s="47"/>
      <c r="T498" s="47"/>
      <c r="U498" s="47"/>
      <c r="V498" s="47"/>
      <c r="W498" s="47"/>
      <c r="X498" s="47"/>
      <c r="Y498" s="47"/>
      <c r="Z498" s="47"/>
      <c r="AA498" s="47"/>
      <c r="AB498" s="47"/>
      <c r="AC498" s="1064" t="s">
        <v>325</v>
      </c>
      <c r="AD498" s="1061"/>
      <c r="AE498" s="1061"/>
      <c r="AF498" s="1061"/>
      <c r="AG498" s="40" t="s">
        <v>1237</v>
      </c>
      <c r="AH498" s="1090"/>
      <c r="AI498" s="1090"/>
      <c r="AJ498" s="1090"/>
      <c r="AK498" s="109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079" t="s">
        <v>1242</v>
      </c>
      <c r="C499" s="1080"/>
      <c r="D499" s="1080"/>
      <c r="E499" s="1080"/>
      <c r="F499" s="1080"/>
      <c r="G499" s="1080"/>
      <c r="H499" s="1081"/>
      <c r="I499" s="7" t="s">
        <v>1243</v>
      </c>
      <c r="J499" s="7"/>
      <c r="K499" s="7"/>
      <c r="L499" s="7"/>
      <c r="M499" s="7"/>
      <c r="N499" s="7"/>
      <c r="O499" s="7"/>
      <c r="P499" s="7"/>
      <c r="Q499" s="7"/>
      <c r="R499" s="7"/>
      <c r="S499" s="7"/>
      <c r="T499" s="7"/>
      <c r="U499" s="7"/>
      <c r="V499" s="7"/>
      <c r="W499" s="7"/>
      <c r="AC499" s="1064" t="s">
        <v>325</v>
      </c>
      <c r="AD499" s="1061"/>
      <c r="AE499" s="1061"/>
      <c r="AF499" s="1061"/>
      <c r="AG499" s="18" t="s">
        <v>1237</v>
      </c>
      <c r="AH499" s="1090"/>
      <c r="AI499" s="1090"/>
      <c r="AJ499" s="1090"/>
      <c r="AK499" s="1091"/>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082"/>
      <c r="C500" s="1083"/>
      <c r="D500" s="1083"/>
      <c r="E500" s="1083"/>
      <c r="F500" s="1083"/>
      <c r="G500" s="1083"/>
      <c r="H500" s="1084"/>
      <c r="I500" t="s">
        <v>1244</v>
      </c>
      <c r="AC500" s="1064" t="s">
        <v>325</v>
      </c>
      <c r="AD500" s="1061"/>
      <c r="AE500" s="1061"/>
      <c r="AF500" s="1061"/>
      <c r="AG500" s="18" t="s">
        <v>1237</v>
      </c>
      <c r="AH500" s="1090"/>
      <c r="AI500" s="1090"/>
      <c r="AJ500" s="1090"/>
      <c r="AK500" s="1091"/>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082"/>
      <c r="C501" s="1083"/>
      <c r="D501" s="1083"/>
      <c r="E501" s="1083"/>
      <c r="F501" s="1083"/>
      <c r="G501" s="1083"/>
      <c r="H501" s="1084"/>
      <c r="I501" t="s">
        <v>1245</v>
      </c>
      <c r="AC501" s="1064" t="s">
        <v>325</v>
      </c>
      <c r="AD501" s="1061"/>
      <c r="AE501" s="1061"/>
      <c r="AF501" s="1061"/>
      <c r="AG501" s="18" t="s">
        <v>1237</v>
      </c>
      <c r="AH501" s="1090"/>
      <c r="AI501" s="1090"/>
      <c r="AJ501" s="1090"/>
      <c r="AK501" s="1091"/>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082"/>
      <c r="C502" s="1083"/>
      <c r="D502" s="1083"/>
      <c r="E502" s="1083"/>
      <c r="F502" s="1083"/>
      <c r="G502" s="1083"/>
      <c r="H502" s="1084"/>
      <c r="I502" t="s">
        <v>1246</v>
      </c>
      <c r="AC502" s="1064" t="s">
        <v>325</v>
      </c>
      <c r="AD502" s="1061"/>
      <c r="AE502" s="1061"/>
      <c r="AF502" s="1061"/>
      <c r="AG502" s="18" t="s">
        <v>1237</v>
      </c>
      <c r="AH502" s="1090"/>
      <c r="AI502" s="1090"/>
      <c r="AJ502" s="1090"/>
      <c r="AK502" s="109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082"/>
      <c r="C503" s="1083"/>
      <c r="D503" s="1083"/>
      <c r="E503" s="1083"/>
      <c r="F503" s="1083"/>
      <c r="G503" s="1083"/>
      <c r="H503" s="1084"/>
      <c r="I503" s="37" t="s">
        <v>1247</v>
      </c>
      <c r="AC503" s="1027">
        <v>11</v>
      </c>
      <c r="AD503" s="1028"/>
      <c r="AE503" s="1028"/>
      <c r="AF503" s="1028"/>
      <c r="AG503" s="18" t="s">
        <v>1237</v>
      </c>
      <c r="AH503" s="1090">
        <v>2024</v>
      </c>
      <c r="AI503" s="1090"/>
      <c r="AJ503" s="1090"/>
      <c r="AK503" s="109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082"/>
      <c r="C504" s="1083"/>
      <c r="D504" s="1083"/>
      <c r="E504" s="1083"/>
      <c r="F504" s="1083"/>
      <c r="G504" s="1083"/>
      <c r="H504" s="1084"/>
      <c r="I504" s="334" t="s">
        <v>1162</v>
      </c>
      <c r="J504" s="47"/>
      <c r="K504" s="47"/>
      <c r="L504" s="1096" t="s">
        <v>1163</v>
      </c>
      <c r="M504" s="1076"/>
      <c r="N504" s="1076"/>
      <c r="O504" s="1076"/>
      <c r="P504" s="1076"/>
      <c r="Q504" s="1076"/>
      <c r="R504" s="1076"/>
      <c r="S504" s="1076"/>
      <c r="T504" s="1076"/>
      <c r="U504" s="1076"/>
      <c r="V504" s="1076"/>
      <c r="W504" s="1076"/>
      <c r="X504" s="1076"/>
      <c r="Y504" s="1076"/>
      <c r="Z504" s="1076"/>
      <c r="AA504" s="1076"/>
      <c r="AB504" s="1097"/>
      <c r="AC504" s="1064" t="s">
        <v>325</v>
      </c>
      <c r="AD504" s="1061"/>
      <c r="AE504" s="1061"/>
      <c r="AF504" s="1061"/>
      <c r="AG504" s="40" t="s">
        <v>1237</v>
      </c>
      <c r="AH504" s="1090"/>
      <c r="AI504" s="1090"/>
      <c r="AJ504" s="1090"/>
      <c r="AK504" s="109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082"/>
      <c r="C505" s="1083"/>
      <c r="D505" s="1083"/>
      <c r="E505" s="1083"/>
      <c r="F505" s="1083"/>
      <c r="G505" s="1083"/>
      <c r="H505" s="1084"/>
      <c r="I505" s="37" t="s">
        <v>1248</v>
      </c>
      <c r="AC505" s="1355" t="s">
        <v>759</v>
      </c>
      <c r="AD505" s="1355"/>
      <c r="AE505" s="1355"/>
      <c r="AF505" s="1355"/>
      <c r="AG505" s="18"/>
      <c r="AH505" s="1356"/>
      <c r="AI505" s="1356"/>
      <c r="AJ505" s="1356"/>
      <c r="AK505" s="135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082"/>
      <c r="C506" s="1083"/>
      <c r="D506" s="1083"/>
      <c r="E506" s="1083"/>
      <c r="F506" s="1083"/>
      <c r="G506" s="1083"/>
      <c r="H506" s="1084"/>
      <c r="I506" t="s">
        <v>1249</v>
      </c>
      <c r="AC506" s="1027"/>
      <c r="AD506" s="1028"/>
      <c r="AE506" s="1028"/>
      <c r="AF506" s="1029"/>
      <c r="AG506" s="18"/>
      <c r="AH506" s="1356"/>
      <c r="AI506" s="1356"/>
      <c r="AJ506" s="1356"/>
      <c r="AK506" s="135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082"/>
      <c r="C507" s="1083"/>
      <c r="D507" s="1083"/>
      <c r="E507" s="1083"/>
      <c r="F507" s="1083"/>
      <c r="G507" s="1083"/>
      <c r="H507" s="1084"/>
      <c r="I507" t="s">
        <v>1250</v>
      </c>
      <c r="AC507" s="721"/>
      <c r="AD507" s="722"/>
      <c r="AE507" s="722"/>
      <c r="AF507" s="723"/>
      <c r="AG507" s="18"/>
      <c r="AH507" s="1"/>
      <c r="AI507" s="1"/>
      <c r="AJ507" s="1"/>
      <c r="AK507" s="724"/>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082"/>
      <c r="C508" s="1083"/>
      <c r="D508" s="1083"/>
      <c r="E508" s="1083"/>
      <c r="F508" s="1083"/>
      <c r="G508" s="1083"/>
      <c r="H508" s="1084"/>
      <c r="I508" s="725" t="s">
        <v>1251</v>
      </c>
      <c r="J508" s="47"/>
      <c r="K508" s="47"/>
      <c r="L508" s="47"/>
      <c r="M508" s="47"/>
      <c r="N508" s="47"/>
      <c r="O508" s="47"/>
      <c r="P508" s="47"/>
      <c r="Q508" s="47"/>
      <c r="R508" s="47"/>
      <c r="S508" s="47"/>
      <c r="T508" s="47"/>
      <c r="U508" s="47"/>
      <c r="V508" s="47"/>
      <c r="W508" s="47"/>
      <c r="X508" s="47"/>
      <c r="Y508" s="47"/>
      <c r="Z508" s="47"/>
      <c r="AA508" s="47"/>
      <c r="AB508" s="47"/>
      <c r="AC508" s="1405"/>
      <c r="AD508" s="1406"/>
      <c r="AE508" s="1406"/>
      <c r="AF508" s="1407"/>
      <c r="AG508" s="40"/>
      <c r="AH508" s="1088"/>
      <c r="AI508" s="1088"/>
      <c r="AJ508" s="1088"/>
      <c r="AK508" s="108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079" t="s">
        <v>1252</v>
      </c>
      <c r="C509" s="1080"/>
      <c r="D509" s="1080"/>
      <c r="E509" s="1080"/>
      <c r="F509" s="1080"/>
      <c r="G509" s="1080"/>
      <c r="H509" s="1081"/>
      <c r="I509" s="7" t="s">
        <v>1253</v>
      </c>
      <c r="J509" s="7"/>
      <c r="K509" s="7"/>
      <c r="L509" s="7"/>
      <c r="M509" s="7"/>
      <c r="N509" s="7"/>
      <c r="O509" s="7"/>
      <c r="P509" s="7"/>
      <c r="Q509" s="7"/>
      <c r="R509" s="7"/>
      <c r="S509" s="7"/>
      <c r="T509" s="7"/>
      <c r="U509" s="7"/>
      <c r="V509" s="7"/>
      <c r="W509" s="7"/>
      <c r="AC509" s="1064">
        <v>6</v>
      </c>
      <c r="AD509" s="1061"/>
      <c r="AE509" s="1061"/>
      <c r="AF509" s="1061"/>
      <c r="AG509" s="18" t="s">
        <v>1237</v>
      </c>
      <c r="AH509" s="1090">
        <v>2024</v>
      </c>
      <c r="AI509" s="1090"/>
      <c r="AJ509" s="1090"/>
      <c r="AK509" s="109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082"/>
      <c r="C510" s="1083"/>
      <c r="D510" s="1083"/>
      <c r="E510" s="1083"/>
      <c r="F510" s="1083"/>
      <c r="G510" s="1083"/>
      <c r="H510" s="1084"/>
      <c r="I510" t="s">
        <v>1254</v>
      </c>
      <c r="AC510" s="1064">
        <v>6</v>
      </c>
      <c r="AD510" s="1061"/>
      <c r="AE510" s="1061"/>
      <c r="AF510" s="1061"/>
      <c r="AG510" s="18" t="s">
        <v>1237</v>
      </c>
      <c r="AH510" s="1090">
        <v>2024</v>
      </c>
      <c r="AI510" s="1090"/>
      <c r="AJ510" s="1090"/>
      <c r="AK510" s="109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082"/>
      <c r="C511" s="1083"/>
      <c r="D511" s="1083"/>
      <c r="E511" s="1083"/>
      <c r="F511" s="1083"/>
      <c r="G511" s="1083"/>
      <c r="H511" s="1084"/>
      <c r="I511" s="47" t="s">
        <v>1255</v>
      </c>
      <c r="J511" s="47"/>
      <c r="K511" s="47"/>
      <c r="L511" s="47"/>
      <c r="M511" s="47"/>
      <c r="N511" s="47"/>
      <c r="O511" s="47"/>
      <c r="P511" s="47"/>
      <c r="Q511" s="47"/>
      <c r="R511" s="47"/>
      <c r="S511" s="47"/>
      <c r="T511" s="47"/>
      <c r="U511" s="47"/>
      <c r="V511" s="47"/>
      <c r="W511" s="47"/>
      <c r="X511" s="47"/>
      <c r="Y511" s="47"/>
      <c r="Z511" s="47"/>
      <c r="AA511" s="47"/>
      <c r="AB511" s="47"/>
      <c r="AC511" s="1064">
        <v>3</v>
      </c>
      <c r="AD511" s="1061"/>
      <c r="AE511" s="1061"/>
      <c r="AF511" s="1061"/>
      <c r="AG511" s="40" t="s">
        <v>1237</v>
      </c>
      <c r="AH511" s="1090">
        <v>2025</v>
      </c>
      <c r="AI511" s="1090"/>
      <c r="AJ511" s="1090"/>
      <c r="AK511" s="109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079" t="s">
        <v>1256</v>
      </c>
      <c r="C512" s="1080"/>
      <c r="D512" s="1080"/>
      <c r="E512" s="1080"/>
      <c r="F512" s="1080"/>
      <c r="G512" s="1080"/>
      <c r="H512" s="1081"/>
      <c r="I512" s="7" t="s">
        <v>1253</v>
      </c>
      <c r="J512" s="7"/>
      <c r="K512" s="7"/>
      <c r="L512" s="7"/>
      <c r="M512" s="7"/>
      <c r="N512" s="7"/>
      <c r="O512" s="7"/>
      <c r="P512" s="7"/>
      <c r="Q512" s="7"/>
      <c r="R512" s="7"/>
      <c r="S512" s="7"/>
      <c r="T512" s="7"/>
      <c r="U512" s="7"/>
      <c r="V512" s="7"/>
      <c r="W512" s="7"/>
      <c r="X512" s="7"/>
      <c r="Y512" s="7"/>
      <c r="Z512" s="7"/>
      <c r="AA512" s="7"/>
      <c r="AB512" s="7"/>
      <c r="AC512" s="1027">
        <v>7</v>
      </c>
      <c r="AD512" s="1028"/>
      <c r="AE512" s="1028"/>
      <c r="AF512" s="1028"/>
      <c r="AG512" s="196" t="s">
        <v>1237</v>
      </c>
      <c r="AH512" s="1090">
        <v>2024</v>
      </c>
      <c r="AI512" s="1090"/>
      <c r="AJ512" s="1090"/>
      <c r="AK512" s="109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082"/>
      <c r="C513" s="1083"/>
      <c r="D513" s="1083"/>
      <c r="E513" s="1083"/>
      <c r="F513" s="1083"/>
      <c r="G513" s="1083"/>
      <c r="H513" s="1084"/>
      <c r="I513" t="s">
        <v>1254</v>
      </c>
      <c r="AC513" s="1064">
        <v>7</v>
      </c>
      <c r="AD513" s="1061"/>
      <c r="AE513" s="1061"/>
      <c r="AF513" s="1061"/>
      <c r="AG513" s="18" t="s">
        <v>1237</v>
      </c>
      <c r="AH513" s="1090">
        <v>2024</v>
      </c>
      <c r="AI513" s="1090"/>
      <c r="AJ513" s="1090"/>
      <c r="AK513" s="109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085"/>
      <c r="C514" s="1086"/>
      <c r="D514" s="1086"/>
      <c r="E514" s="1086"/>
      <c r="F514" s="1086"/>
      <c r="G514" s="1086"/>
      <c r="H514" s="1087"/>
      <c r="I514" s="47" t="s">
        <v>1255</v>
      </c>
      <c r="J514" s="47"/>
      <c r="K514" s="47"/>
      <c r="L514" s="47"/>
      <c r="M514" s="47"/>
      <c r="N514" s="47"/>
      <c r="O514" s="47"/>
      <c r="P514" s="47"/>
      <c r="Q514" s="47"/>
      <c r="R514" s="47"/>
      <c r="S514" s="47"/>
      <c r="T514" s="47"/>
      <c r="U514" s="47"/>
      <c r="V514" s="47"/>
      <c r="W514" s="47"/>
      <c r="X514" s="47"/>
      <c r="Y514" s="47"/>
      <c r="Z514" s="47"/>
      <c r="AA514" s="47"/>
      <c r="AB514" s="47"/>
      <c r="AC514" s="1064">
        <v>3</v>
      </c>
      <c r="AD514" s="1061"/>
      <c r="AE514" s="1061"/>
      <c r="AF514" s="1061"/>
      <c r="AG514" s="40" t="s">
        <v>1237</v>
      </c>
      <c r="AH514" s="1090">
        <v>2025</v>
      </c>
      <c r="AI514" s="1090"/>
      <c r="AJ514" s="1090"/>
      <c r="AK514" s="109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079" t="s">
        <v>1257</v>
      </c>
      <c r="C515" s="1080"/>
      <c r="D515" s="1080"/>
      <c r="E515" s="1080"/>
      <c r="F515" s="1080"/>
      <c r="G515" s="1080"/>
      <c r="H515" s="1081"/>
      <c r="I515" s="6" t="s">
        <v>1258</v>
      </c>
      <c r="J515" s="7"/>
      <c r="K515" s="7"/>
      <c r="L515" s="7"/>
      <c r="M515" s="7"/>
      <c r="N515" s="7"/>
      <c r="O515" s="1096" t="s">
        <v>1259</v>
      </c>
      <c r="P515" s="1076"/>
      <c r="Q515" s="1076"/>
      <c r="R515" s="1076"/>
      <c r="S515" s="1076"/>
      <c r="T515" s="1076"/>
      <c r="U515" s="1076"/>
      <c r="V515" s="1076"/>
      <c r="W515" s="1076"/>
      <c r="X515" s="1076"/>
      <c r="Y515" s="1076"/>
      <c r="Z515" s="1076"/>
      <c r="AA515" s="1076"/>
      <c r="AB515" s="57"/>
      <c r="AC515" s="1027">
        <v>7</v>
      </c>
      <c r="AD515" s="1028"/>
      <c r="AE515" s="1028"/>
      <c r="AF515" s="1028"/>
      <c r="AG515" s="196" t="s">
        <v>1237</v>
      </c>
      <c r="AH515" s="1090">
        <v>2024</v>
      </c>
      <c r="AI515" s="1090"/>
      <c r="AJ515" s="1090"/>
      <c r="AK515" s="109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082"/>
      <c r="C516" s="1083"/>
      <c r="D516" s="1083"/>
      <c r="E516" s="1083"/>
      <c r="F516" s="1083"/>
      <c r="G516" s="1083"/>
      <c r="H516" s="1084"/>
      <c r="I516" s="175" t="s">
        <v>38</v>
      </c>
      <c r="AB516" s="63"/>
      <c r="AC516" s="1064">
        <v>7</v>
      </c>
      <c r="AD516" s="1061"/>
      <c r="AE516" s="1061"/>
      <c r="AF516" s="1061"/>
      <c r="AG516" s="18" t="s">
        <v>1237</v>
      </c>
      <c r="AH516" s="1090">
        <v>2024</v>
      </c>
      <c r="AI516" s="1090"/>
      <c r="AJ516" s="1090"/>
      <c r="AK516" s="109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082"/>
      <c r="C517" s="1083"/>
      <c r="D517" s="1083"/>
      <c r="E517" s="1083"/>
      <c r="F517" s="1083"/>
      <c r="G517" s="1083"/>
      <c r="H517" s="1084"/>
      <c r="I517" s="46" t="s">
        <v>1260</v>
      </c>
      <c r="J517" s="47"/>
      <c r="K517" s="47"/>
      <c r="L517" s="47"/>
      <c r="M517" s="47"/>
      <c r="N517" s="47"/>
      <c r="O517" s="47"/>
      <c r="P517" s="47"/>
      <c r="Q517" s="47"/>
      <c r="R517" s="47"/>
      <c r="S517" s="47"/>
      <c r="T517" s="47"/>
      <c r="U517" s="47"/>
      <c r="V517" s="47"/>
      <c r="W517" s="47"/>
      <c r="X517" s="47"/>
      <c r="Y517" s="47"/>
      <c r="Z517" s="47"/>
      <c r="AA517" s="47"/>
      <c r="AB517" s="48"/>
      <c r="AC517" s="1064">
        <v>3</v>
      </c>
      <c r="AD517" s="1061"/>
      <c r="AE517" s="1061"/>
      <c r="AF517" s="1061"/>
      <c r="AG517" s="40" t="s">
        <v>1237</v>
      </c>
      <c r="AH517" s="1090">
        <v>2025</v>
      </c>
      <c r="AI517" s="1090"/>
      <c r="AJ517" s="1090"/>
      <c r="AK517" s="1091"/>
      <c r="AM517" s="37"/>
      <c r="AN517" s="37"/>
      <c r="AO517" s="37"/>
      <c r="AP517" s="37"/>
      <c r="AQ517" s="37"/>
      <c r="AR517" s="37"/>
      <c r="AS517" s="37"/>
      <c r="AT517" s="37"/>
      <c r="AU517" s="37"/>
      <c r="AV517" s="37"/>
      <c r="AW517" s="37"/>
      <c r="AX517" s="37"/>
      <c r="AY517" s="37"/>
      <c r="AZ517" s="37" t="s">
        <v>1261</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082"/>
      <c r="C518" s="1083"/>
      <c r="D518" s="1083"/>
      <c r="E518" s="1083"/>
      <c r="F518" s="1083"/>
      <c r="G518" s="1083"/>
      <c r="H518" s="1084"/>
      <c r="I518" s="7" t="s">
        <v>1262</v>
      </c>
      <c r="J518" s="7"/>
      <c r="K518" s="7"/>
      <c r="L518" s="7"/>
      <c r="M518" s="7"/>
      <c r="N518" s="7"/>
      <c r="O518" s="1096" t="s">
        <v>1263</v>
      </c>
      <c r="P518" s="1076"/>
      <c r="Q518" s="1076"/>
      <c r="R518" s="1076"/>
      <c r="S518" s="1076"/>
      <c r="T518" s="1076"/>
      <c r="U518" s="1076"/>
      <c r="V518" s="1076"/>
      <c r="W518" s="1076"/>
      <c r="X518" s="1076"/>
      <c r="Y518" s="1076"/>
      <c r="Z518" s="1076"/>
      <c r="AA518" s="1076"/>
      <c r="AC518" s="1064">
        <v>7</v>
      </c>
      <c r="AD518" s="1061"/>
      <c r="AE518" s="1061"/>
      <c r="AF518" s="1061"/>
      <c r="AG518" s="18" t="s">
        <v>1237</v>
      </c>
      <c r="AH518" s="1090">
        <v>2024</v>
      </c>
      <c r="AI518" s="1090"/>
      <c r="AJ518" s="1090"/>
      <c r="AK518" s="1091"/>
      <c r="AM518" s="37"/>
      <c r="AN518" s="37"/>
      <c r="AO518" s="37"/>
      <c r="AP518" s="37"/>
      <c r="AQ518" s="37"/>
      <c r="AR518" s="37"/>
      <c r="AS518" s="37"/>
      <c r="AT518" s="37"/>
      <c r="AU518" s="37"/>
      <c r="AV518" s="37"/>
      <c r="AW518" s="37"/>
      <c r="AX518" s="37"/>
      <c r="AY518" s="37"/>
      <c r="AZ518" s="37" t="s">
        <v>1264</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082"/>
      <c r="C519" s="1083"/>
      <c r="D519" s="1083"/>
      <c r="E519" s="1083"/>
      <c r="F519" s="1083"/>
      <c r="G519" s="1083"/>
      <c r="H519" s="1084"/>
      <c r="I519" t="s">
        <v>38</v>
      </c>
      <c r="AC519" s="1064">
        <v>7</v>
      </c>
      <c r="AD519" s="1061"/>
      <c r="AE519" s="1061"/>
      <c r="AF519" s="1061"/>
      <c r="AG519" s="18" t="s">
        <v>1237</v>
      </c>
      <c r="AH519" s="1090">
        <v>2024</v>
      </c>
      <c r="AI519" s="1090"/>
      <c r="AJ519" s="1090"/>
      <c r="AK519" s="1091"/>
      <c r="AM519" s="37"/>
      <c r="AN519" s="37"/>
      <c r="AO519" s="37"/>
      <c r="AP519" s="37"/>
      <c r="AQ519" s="37"/>
      <c r="AR519" s="37"/>
      <c r="AS519" s="37"/>
      <c r="AT519" s="37"/>
      <c r="AU519" s="37"/>
      <c r="AV519" s="37"/>
      <c r="AW519" s="37"/>
      <c r="AX519" s="37"/>
      <c r="AY519" s="37"/>
      <c r="AZ519" s="37" t="s">
        <v>1265</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082"/>
      <c r="C520" s="1083"/>
      <c r="D520" s="1083"/>
      <c r="E520" s="1083"/>
      <c r="F520" s="1083"/>
      <c r="G520" s="1083"/>
      <c r="H520" s="1084"/>
      <c r="I520" s="47" t="s">
        <v>1260</v>
      </c>
      <c r="J520" s="47"/>
      <c r="K520" s="47"/>
      <c r="L520" s="47"/>
      <c r="M520" s="47"/>
      <c r="N520" s="47"/>
      <c r="O520" s="47"/>
      <c r="P520" s="47"/>
      <c r="Q520" s="47"/>
      <c r="R520" s="47"/>
      <c r="S520" s="47"/>
      <c r="T520" s="47"/>
      <c r="U520" s="47"/>
      <c r="V520" s="47"/>
      <c r="W520" s="47"/>
      <c r="X520" s="47"/>
      <c r="Y520" s="47"/>
      <c r="Z520" s="47"/>
      <c r="AA520" s="47"/>
      <c r="AB520" s="47"/>
      <c r="AC520" s="1064">
        <v>3</v>
      </c>
      <c r="AD520" s="1061"/>
      <c r="AE520" s="1061"/>
      <c r="AF520" s="1061"/>
      <c r="AG520" s="40" t="s">
        <v>1237</v>
      </c>
      <c r="AH520" s="1090">
        <v>2025</v>
      </c>
      <c r="AI520" s="1090"/>
      <c r="AJ520" s="1090"/>
      <c r="AK520" s="1091"/>
      <c r="AM520" s="37"/>
      <c r="AN520" s="37"/>
      <c r="AO520" s="37"/>
      <c r="AP520" s="37"/>
      <c r="AQ520" s="37"/>
      <c r="AR520" s="37"/>
      <c r="AS520" s="37"/>
      <c r="AT520" s="37"/>
      <c r="AU520" s="37"/>
      <c r="AV520" s="37"/>
      <c r="AW520" s="37"/>
      <c r="AX520" s="37"/>
      <c r="AY520" s="37"/>
      <c r="AZ520" s="37" t="s">
        <v>1266</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082"/>
      <c r="C521" s="1083"/>
      <c r="D521" s="1083"/>
      <c r="E521" s="1083"/>
      <c r="F521" s="1083"/>
      <c r="G521" s="1083"/>
      <c r="H521" s="1084"/>
      <c r="I521" s="7" t="s">
        <v>1262</v>
      </c>
      <c r="J521" s="7"/>
      <c r="K521" s="7"/>
      <c r="L521" s="7"/>
      <c r="M521" s="7"/>
      <c r="N521" s="7"/>
      <c r="O521" s="1096" t="s">
        <v>1163</v>
      </c>
      <c r="P521" s="1076"/>
      <c r="Q521" s="1076"/>
      <c r="R521" s="1076"/>
      <c r="S521" s="1076"/>
      <c r="T521" s="1076"/>
      <c r="U521" s="1076"/>
      <c r="V521" s="1076"/>
      <c r="W521" s="1076"/>
      <c r="X521" s="1076"/>
      <c r="Y521" s="1076"/>
      <c r="Z521" s="1076"/>
      <c r="AA521" s="1076"/>
      <c r="AC521" s="1064" t="s">
        <v>325</v>
      </c>
      <c r="AD521" s="1061"/>
      <c r="AE521" s="1061"/>
      <c r="AF521" s="1061"/>
      <c r="AG521" s="18" t="s">
        <v>1237</v>
      </c>
      <c r="AH521" s="1090"/>
      <c r="AI521" s="1090"/>
      <c r="AJ521" s="1090"/>
      <c r="AK521" s="1091"/>
      <c r="AM521" s="37"/>
      <c r="AN521" s="37"/>
      <c r="AO521" s="37"/>
      <c r="AP521" s="37"/>
      <c r="AQ521" s="37"/>
      <c r="AR521" s="37"/>
      <c r="AS521" s="37"/>
      <c r="AT521" s="37"/>
      <c r="AU521" s="37"/>
      <c r="AV521" s="37"/>
      <c r="AW521" s="37"/>
      <c r="AX521" s="37"/>
      <c r="AY521" s="37"/>
      <c r="AZ521" s="37" t="s">
        <v>1267</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082"/>
      <c r="C522" s="1083"/>
      <c r="D522" s="1083"/>
      <c r="E522" s="1083"/>
      <c r="F522" s="1083"/>
      <c r="G522" s="1083"/>
      <c r="H522" s="1084"/>
      <c r="I522" t="s">
        <v>38</v>
      </c>
      <c r="AC522" s="1064" t="s">
        <v>325</v>
      </c>
      <c r="AD522" s="1061"/>
      <c r="AE522" s="1061"/>
      <c r="AF522" s="1061"/>
      <c r="AG522" s="18" t="s">
        <v>1237</v>
      </c>
      <c r="AH522" s="1090"/>
      <c r="AI522" s="1090"/>
      <c r="AJ522" s="1090"/>
      <c r="AK522" s="1091"/>
      <c r="AM522" s="37"/>
      <c r="AN522" s="37"/>
      <c r="AO522" s="37"/>
      <c r="AP522" s="37"/>
      <c r="AQ522" s="37"/>
      <c r="AR522" s="37"/>
      <c r="AS522" s="37"/>
      <c r="AT522" s="37"/>
      <c r="AU522" s="37"/>
      <c r="AV522" s="37"/>
      <c r="AW522" s="37"/>
      <c r="AX522" s="37"/>
      <c r="AY522" s="37"/>
      <c r="AZ522" s="37" t="s">
        <v>1268</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082"/>
      <c r="C523" s="1083"/>
      <c r="D523" s="1083"/>
      <c r="E523" s="1083"/>
      <c r="F523" s="1083"/>
      <c r="G523" s="1083"/>
      <c r="H523" s="1084"/>
      <c r="I523" s="47" t="s">
        <v>1260</v>
      </c>
      <c r="J523" s="47"/>
      <c r="K523" s="47"/>
      <c r="L523" s="47"/>
      <c r="M523" s="47"/>
      <c r="N523" s="47"/>
      <c r="O523" s="47"/>
      <c r="P523" s="47"/>
      <c r="Q523" s="47"/>
      <c r="R523" s="47"/>
      <c r="S523" s="47"/>
      <c r="T523" s="47"/>
      <c r="U523" s="47"/>
      <c r="V523" s="47"/>
      <c r="W523" s="47"/>
      <c r="X523" s="47"/>
      <c r="Y523" s="47"/>
      <c r="Z523" s="47"/>
      <c r="AA523" s="47"/>
      <c r="AB523" s="47"/>
      <c r="AC523" s="1064" t="s">
        <v>325</v>
      </c>
      <c r="AD523" s="1061"/>
      <c r="AE523" s="1061"/>
      <c r="AF523" s="1061"/>
      <c r="AG523" s="40" t="s">
        <v>1237</v>
      </c>
      <c r="AH523" s="1090"/>
      <c r="AI523" s="1090"/>
      <c r="AJ523" s="1090"/>
      <c r="AK523" s="1091"/>
      <c r="AM523" s="37"/>
      <c r="AN523" s="37"/>
      <c r="AO523" s="37"/>
      <c r="AP523" s="37"/>
      <c r="AQ523" s="37"/>
      <c r="AR523" s="37"/>
      <c r="AS523" s="37"/>
      <c r="AT523" s="37"/>
      <c r="AU523" s="37"/>
      <c r="AV523" s="37"/>
      <c r="AW523" s="37"/>
      <c r="AX523" s="37"/>
      <c r="AY523" s="37"/>
      <c r="AZ523" s="37" t="s">
        <v>1269</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082"/>
      <c r="C524" s="1083"/>
      <c r="D524" s="1083"/>
      <c r="E524" s="1083"/>
      <c r="F524" s="1083"/>
      <c r="G524" s="1083"/>
      <c r="H524" s="1084"/>
      <c r="I524" s="7" t="s">
        <v>1262</v>
      </c>
      <c r="J524" s="7"/>
      <c r="K524" s="7"/>
      <c r="L524" s="7"/>
      <c r="M524" s="7"/>
      <c r="N524" s="7"/>
      <c r="O524" s="1096" t="s">
        <v>1163</v>
      </c>
      <c r="P524" s="1076"/>
      <c r="Q524" s="1076"/>
      <c r="R524" s="1076"/>
      <c r="S524" s="1076"/>
      <c r="T524" s="1076"/>
      <c r="U524" s="1076"/>
      <c r="V524" s="1076"/>
      <c r="W524" s="1076"/>
      <c r="X524" s="1076"/>
      <c r="Y524" s="1076"/>
      <c r="Z524" s="1076"/>
      <c r="AA524" s="1076"/>
      <c r="AC524" s="1064" t="s">
        <v>325</v>
      </c>
      <c r="AD524" s="1061"/>
      <c r="AE524" s="1061"/>
      <c r="AF524" s="1061"/>
      <c r="AG524" s="18" t="s">
        <v>1237</v>
      </c>
      <c r="AH524" s="1090"/>
      <c r="AI524" s="1090"/>
      <c r="AJ524" s="1090"/>
      <c r="AK524" s="1091"/>
      <c r="AM524" s="37"/>
      <c r="AN524" s="37"/>
      <c r="AO524" s="37"/>
      <c r="AP524" s="37"/>
      <c r="AQ524" s="37"/>
      <c r="AR524" s="37"/>
      <c r="AS524" s="37"/>
      <c r="AT524" s="37"/>
      <c r="AU524" s="37"/>
      <c r="AV524" s="37"/>
      <c r="AW524" s="37"/>
      <c r="AX524" s="37"/>
      <c r="AY524" s="37"/>
      <c r="AZ524" s="37" t="s">
        <v>1270</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082"/>
      <c r="C525" s="1083"/>
      <c r="D525" s="1083"/>
      <c r="E525" s="1083"/>
      <c r="F525" s="1083"/>
      <c r="G525" s="1083"/>
      <c r="H525" s="1084"/>
      <c r="I525" t="s">
        <v>38</v>
      </c>
      <c r="AC525" s="1064" t="s">
        <v>325</v>
      </c>
      <c r="AD525" s="1061"/>
      <c r="AE525" s="1061"/>
      <c r="AF525" s="1061"/>
      <c r="AG525" s="18" t="s">
        <v>1237</v>
      </c>
      <c r="AH525" s="1090"/>
      <c r="AI525" s="1090"/>
      <c r="AJ525" s="1090"/>
      <c r="AK525" s="1091"/>
      <c r="AM525" s="37"/>
      <c r="AN525" s="37"/>
      <c r="AO525" s="37"/>
      <c r="AP525" s="37"/>
      <c r="AQ525" s="37"/>
      <c r="AR525" s="37"/>
      <c r="AS525" s="37"/>
      <c r="AT525" s="37"/>
      <c r="AU525" s="37"/>
      <c r="AV525" s="37"/>
      <c r="AW525" s="37"/>
      <c r="AX525" s="37"/>
      <c r="AY525" s="37"/>
      <c r="AZ525" s="37" t="s">
        <v>1271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082"/>
      <c r="C526" s="1083"/>
      <c r="D526" s="1083"/>
      <c r="E526" s="1083"/>
      <c r="F526" s="1083"/>
      <c r="G526" s="1083"/>
      <c r="H526" s="1084"/>
      <c r="I526" s="47" t="s">
        <v>1260</v>
      </c>
      <c r="J526" s="47"/>
      <c r="K526" s="47"/>
      <c r="L526" s="47"/>
      <c r="M526" s="47"/>
      <c r="N526" s="47"/>
      <c r="O526" s="47"/>
      <c r="P526" s="47"/>
      <c r="Q526" s="47"/>
      <c r="R526" s="47"/>
      <c r="S526" s="47"/>
      <c r="T526" s="47"/>
      <c r="U526" s="47"/>
      <c r="V526" s="47"/>
      <c r="W526" s="47"/>
      <c r="X526" s="47"/>
      <c r="Y526" s="47"/>
      <c r="Z526" s="47"/>
      <c r="AA526" s="47"/>
      <c r="AB526" s="47"/>
      <c r="AC526" s="1064" t="s">
        <v>325</v>
      </c>
      <c r="AD526" s="1061"/>
      <c r="AE526" s="1061"/>
      <c r="AF526" s="1061"/>
      <c r="AG526" s="40" t="s">
        <v>1237</v>
      </c>
      <c r="AH526" s="1090"/>
      <c r="AI526" s="1090"/>
      <c r="AJ526" s="1090"/>
      <c r="AK526" s="1091"/>
      <c r="AM526" s="37"/>
      <c r="AN526" s="37"/>
      <c r="AO526" s="37"/>
      <c r="AP526" s="37"/>
      <c r="AQ526" s="37"/>
      <c r="AR526" s="37"/>
      <c r="AS526" s="37"/>
      <c r="AT526" s="37"/>
      <c r="AU526" s="37"/>
      <c r="AV526" s="37"/>
      <c r="AW526" s="37"/>
      <c r="AX526" s="37"/>
      <c r="AY526" s="37"/>
      <c r="AZ526" s="37" t="s">
        <v>1272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082"/>
      <c r="C527" s="1083"/>
      <c r="D527" s="1083"/>
      <c r="E527" s="1083"/>
      <c r="F527" s="1083"/>
      <c r="G527" s="1083"/>
      <c r="H527" s="1084"/>
      <c r="I527" s="7" t="s">
        <v>1262</v>
      </c>
      <c r="J527" s="7"/>
      <c r="K527" s="7"/>
      <c r="L527" s="7"/>
      <c r="M527" s="7"/>
      <c r="N527" s="7"/>
      <c r="O527" s="1096" t="s">
        <v>1163</v>
      </c>
      <c r="P527" s="1076"/>
      <c r="Q527" s="1076"/>
      <c r="R527" s="1076"/>
      <c r="S527" s="1076"/>
      <c r="T527" s="1076"/>
      <c r="U527" s="1076"/>
      <c r="V527" s="1076"/>
      <c r="W527" s="1076"/>
      <c r="X527" s="1076"/>
      <c r="Y527" s="1076"/>
      <c r="Z527" s="1076"/>
      <c r="AA527" s="1076"/>
      <c r="AC527" s="1064" t="s">
        <v>325</v>
      </c>
      <c r="AD527" s="1061"/>
      <c r="AE527" s="1061"/>
      <c r="AF527" s="1061"/>
      <c r="AG527" s="18" t="s">
        <v>1237</v>
      </c>
      <c r="AH527" s="1090"/>
      <c r="AI527" s="1090"/>
      <c r="AJ527" s="1090"/>
      <c r="AK527" s="1091"/>
      <c r="AM527" s="37"/>
      <c r="AN527" s="37"/>
      <c r="AO527" s="37"/>
      <c r="AP527" s="37"/>
      <c r="AQ527" s="37"/>
      <c r="AR527" s="37"/>
      <c r="AS527" s="37"/>
      <c r="AT527" s="37"/>
      <c r="AU527" s="37"/>
      <c r="AV527" s="37"/>
      <c r="AW527" s="37"/>
      <c r="AX527" s="37"/>
      <c r="AY527" s="37"/>
      <c r="AZ527" s="37" t="s">
        <v>1273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082"/>
      <c r="C528" s="1083"/>
      <c r="D528" s="1083"/>
      <c r="E528" s="1083"/>
      <c r="F528" s="1083"/>
      <c r="G528" s="1083"/>
      <c r="H528" s="1084"/>
      <c r="I528" t="s">
        <v>38</v>
      </c>
      <c r="AC528" s="1064" t="s">
        <v>325</v>
      </c>
      <c r="AD528" s="1061"/>
      <c r="AE528" s="1061"/>
      <c r="AF528" s="1061"/>
      <c r="AG528" s="40" t="s">
        <v>1237</v>
      </c>
      <c r="AH528" s="1090"/>
      <c r="AI528" s="1090"/>
      <c r="AJ528" s="1090"/>
      <c r="AK528" s="1091"/>
      <c r="AM528" s="37"/>
      <c r="AN528" s="37"/>
      <c r="AO528" s="37"/>
      <c r="AP528" s="37"/>
      <c r="AQ528" s="37"/>
      <c r="AR528" s="37"/>
      <c r="AS528" s="37"/>
      <c r="AT528" s="37"/>
      <c r="AU528" s="37"/>
      <c r="AV528" s="37"/>
      <c r="AW528" s="37"/>
      <c r="AX528" s="37"/>
      <c r="AY528" s="37"/>
      <c r="AZ528" s="37" t="s">
        <v>1274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082"/>
      <c r="C529" s="1083"/>
      <c r="D529" s="1083"/>
      <c r="E529" s="1083"/>
      <c r="F529" s="1083"/>
      <c r="G529" s="1083"/>
      <c r="H529" s="1084"/>
      <c r="I529" s="47" t="s">
        <v>1260</v>
      </c>
      <c r="J529" s="47"/>
      <c r="K529" s="47"/>
      <c r="L529" s="47"/>
      <c r="M529" s="47"/>
      <c r="N529" s="47"/>
      <c r="O529" s="47"/>
      <c r="P529" s="47"/>
      <c r="Q529" s="47"/>
      <c r="R529" s="47"/>
      <c r="S529" s="47"/>
      <c r="T529" s="47"/>
      <c r="U529" s="47"/>
      <c r="V529" s="47"/>
      <c r="W529" s="47"/>
      <c r="X529" s="47"/>
      <c r="Y529" s="47"/>
      <c r="Z529" s="47"/>
      <c r="AA529" s="47"/>
      <c r="AB529" s="47"/>
      <c r="AC529" s="1064" t="s">
        <v>325</v>
      </c>
      <c r="AD529" s="1061"/>
      <c r="AE529" s="1061"/>
      <c r="AF529" s="1061"/>
      <c r="AG529" s="18" t="s">
        <v>1237</v>
      </c>
      <c r="AH529" s="1090"/>
      <c r="AI529" s="1090"/>
      <c r="AJ529" s="1090"/>
      <c r="AK529" s="1091"/>
      <c r="AM529" s="37"/>
      <c r="AN529" s="37"/>
      <c r="AO529" s="37"/>
      <c r="AP529" s="37"/>
      <c r="AQ529" s="37"/>
      <c r="AR529" s="37"/>
      <c r="AS529" s="37"/>
      <c r="AT529" s="37"/>
      <c r="AU529" s="37"/>
      <c r="AV529" s="37"/>
      <c r="AW529" s="37"/>
      <c r="AX529" s="37"/>
      <c r="AY529" s="37"/>
      <c r="AZ529" s="37" t="s">
        <v>1275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082"/>
      <c r="C530" s="1083"/>
      <c r="D530" s="1083"/>
      <c r="E530" s="1083"/>
      <c r="F530" s="1083"/>
      <c r="G530" s="1083"/>
      <c r="H530" s="1084"/>
      <c r="I530" s="7" t="s">
        <v>1262</v>
      </c>
      <c r="J530" s="7"/>
      <c r="K530" s="7"/>
      <c r="L530" s="7"/>
      <c r="M530" s="7"/>
      <c r="N530" s="7"/>
      <c r="O530" s="1096" t="s">
        <v>1163</v>
      </c>
      <c r="P530" s="1076"/>
      <c r="Q530" s="1076"/>
      <c r="R530" s="1076"/>
      <c r="S530" s="1076"/>
      <c r="T530" s="1076"/>
      <c r="U530" s="1076"/>
      <c r="V530" s="1076"/>
      <c r="W530" s="1076"/>
      <c r="X530" s="1076"/>
      <c r="Y530" s="1076"/>
      <c r="Z530" s="1076"/>
      <c r="AA530" s="1076"/>
      <c r="AC530" s="1064" t="s">
        <v>325</v>
      </c>
      <c r="AD530" s="1061"/>
      <c r="AE530" s="1061"/>
      <c r="AF530" s="1061"/>
      <c r="AG530" s="40" t="s">
        <v>1237</v>
      </c>
      <c r="AH530" s="1090"/>
      <c r="AI530" s="1090"/>
      <c r="AJ530" s="1090"/>
      <c r="AK530" s="1091"/>
      <c r="AM530" s="37"/>
      <c r="AN530" s="37"/>
      <c r="AO530" s="37"/>
      <c r="AP530" s="37"/>
      <c r="AQ530" s="37"/>
      <c r="AR530" s="37"/>
      <c r="AS530" s="37"/>
      <c r="AT530" s="37"/>
      <c r="AU530" s="37"/>
      <c r="AV530" s="37"/>
      <c r="AW530" s="37"/>
      <c r="AX530" s="37"/>
      <c r="AY530" s="37"/>
      <c r="AZ530" s="37" t="s">
        <v>1276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082"/>
      <c r="C531" s="1083"/>
      <c r="D531" s="1083"/>
      <c r="E531" s="1083"/>
      <c r="F531" s="1083"/>
      <c r="G531" s="1083"/>
      <c r="H531" s="1084"/>
      <c r="I531" t="s">
        <v>38</v>
      </c>
      <c r="AC531" s="1064" t="s">
        <v>325</v>
      </c>
      <c r="AD531" s="1061"/>
      <c r="AE531" s="1061"/>
      <c r="AF531" s="1061"/>
      <c r="AG531" s="18" t="s">
        <v>1237</v>
      </c>
      <c r="AH531" s="1090"/>
      <c r="AI531" s="1090"/>
      <c r="AJ531" s="1090"/>
      <c r="AK531" s="1091"/>
      <c r="AM531" s="37"/>
      <c r="AN531" s="37"/>
      <c r="AO531" s="37"/>
      <c r="AP531" s="37"/>
      <c r="AQ531" s="37"/>
      <c r="AR531" s="37"/>
      <c r="AS531" s="37"/>
      <c r="AT531" s="37"/>
      <c r="AU531" s="37"/>
      <c r="AV531" s="37"/>
      <c r="AW531" s="37"/>
      <c r="AX531" s="37"/>
      <c r="AY531" s="37"/>
      <c r="AZ531" s="37" t="s">
        <v>1277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082"/>
      <c r="C532" s="1083"/>
      <c r="D532" s="1083"/>
      <c r="E532" s="1083"/>
      <c r="F532" s="1083"/>
      <c r="G532" s="1083"/>
      <c r="H532" s="1084"/>
      <c r="I532" s="47" t="s">
        <v>1260</v>
      </c>
      <c r="J532" s="47"/>
      <c r="K532" s="47"/>
      <c r="L532" s="47"/>
      <c r="M532" s="47"/>
      <c r="N532" s="47"/>
      <c r="O532" s="47"/>
      <c r="P532" s="47"/>
      <c r="Q532" s="47"/>
      <c r="R532" s="47"/>
      <c r="S532" s="47"/>
      <c r="T532" s="47"/>
      <c r="U532" s="47"/>
      <c r="V532" s="47"/>
      <c r="W532" s="47"/>
      <c r="X532" s="47"/>
      <c r="Y532" s="47"/>
      <c r="Z532" s="47"/>
      <c r="AA532" s="47"/>
      <c r="AB532" s="47"/>
      <c r="AC532" s="1064" t="s">
        <v>325</v>
      </c>
      <c r="AD532" s="1061"/>
      <c r="AE532" s="1061"/>
      <c r="AF532" s="1061"/>
      <c r="AG532" s="40" t="s">
        <v>1237</v>
      </c>
      <c r="AH532" s="1090"/>
      <c r="AI532" s="1090"/>
      <c r="AJ532" s="1090"/>
      <c r="AK532" s="1091"/>
      <c r="AM532" s="37"/>
      <c r="AN532" s="37"/>
      <c r="AO532" s="37"/>
      <c r="AP532" s="37"/>
      <c r="AQ532" s="37"/>
      <c r="AR532" s="37"/>
      <c r="AS532" s="37"/>
      <c r="AT532" s="37"/>
      <c r="AU532" s="37"/>
      <c r="AV532" s="37"/>
      <c r="AW532" s="37"/>
      <c r="AX532" s="37"/>
      <c r="AY532" s="37"/>
      <c r="AZ532" s="37" t="s">
        <v>1278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082"/>
      <c r="C533" s="1083"/>
      <c r="D533" s="1083"/>
      <c r="E533" s="1083"/>
      <c r="F533" s="1083"/>
      <c r="G533" s="1083"/>
      <c r="H533" s="1084"/>
      <c r="I533" s="7" t="s">
        <v>1279</v>
      </c>
      <c r="J533" s="7"/>
      <c r="K533" s="7"/>
      <c r="L533" s="7"/>
      <c r="M533" s="7"/>
      <c r="N533" s="7"/>
      <c r="O533" s="7"/>
      <c r="P533" s="7"/>
      <c r="Q533" s="7"/>
      <c r="R533" s="7"/>
      <c r="S533" s="7"/>
      <c r="T533" s="7"/>
      <c r="U533" s="7"/>
      <c r="V533" s="7"/>
      <c r="W533" s="7"/>
      <c r="AC533" s="1064">
        <v>3</v>
      </c>
      <c r="AD533" s="1061"/>
      <c r="AE533" s="1061"/>
      <c r="AF533" s="1061"/>
      <c r="AG533" s="40" t="s">
        <v>1237</v>
      </c>
      <c r="AH533" s="1090">
        <v>2025</v>
      </c>
      <c r="AI533" s="1090"/>
      <c r="AJ533" s="1090"/>
      <c r="AK533" s="1091"/>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082"/>
      <c r="C534" s="1083"/>
      <c r="D534" s="1083"/>
      <c r="E534" s="1083"/>
      <c r="F534" s="1083"/>
      <c r="G534" s="1083"/>
      <c r="H534" s="1084"/>
      <c r="I534" t="s">
        <v>1281</v>
      </c>
      <c r="AC534" s="1064">
        <v>3</v>
      </c>
      <c r="AD534" s="1061"/>
      <c r="AE534" s="1061"/>
      <c r="AF534" s="1061"/>
      <c r="AG534" s="18" t="s">
        <v>1237</v>
      </c>
      <c r="AH534" s="1090">
        <v>2025</v>
      </c>
      <c r="AI534" s="1090"/>
      <c r="AJ534" s="1090"/>
      <c r="AK534" s="1091"/>
      <c r="AM534" s="37"/>
      <c r="AN534" s="37"/>
      <c r="AO534" s="37"/>
      <c r="AP534" s="37"/>
      <c r="AQ534" s="37"/>
      <c r="AR534" s="37"/>
      <c r="AS534" s="37"/>
      <c r="AT534" s="37"/>
      <c r="AU534" s="37"/>
      <c r="AV534" s="37"/>
      <c r="AW534" s="37"/>
      <c r="AX534" s="37"/>
      <c r="AY534" s="37"/>
      <c r="AZ534" s="37" t="s">
        <v>1282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082"/>
      <c r="C535" s="1083"/>
      <c r="D535" s="1083"/>
      <c r="E535" s="1083"/>
      <c r="F535" s="1083"/>
      <c r="G535" s="1083"/>
      <c r="H535" s="1084"/>
      <c r="I535" t="s">
        <v>1283</v>
      </c>
      <c r="AC535" s="1064">
        <v>3</v>
      </c>
      <c r="AD535" s="1061"/>
      <c r="AE535" s="1061"/>
      <c r="AF535" s="1061"/>
      <c r="AG535" s="40" t="s">
        <v>1237</v>
      </c>
      <c r="AH535" s="1090">
        <v>2026</v>
      </c>
      <c r="AI535" s="1090"/>
      <c r="AJ535" s="1090"/>
      <c r="AK535" s="1091"/>
      <c r="AM535" s="37"/>
      <c r="AN535" s="37"/>
      <c r="AO535" s="37"/>
      <c r="AP535" s="37"/>
      <c r="AQ535" s="37"/>
      <c r="AR535" s="37"/>
      <c r="AS535" s="37"/>
      <c r="AT535" s="37"/>
      <c r="AU535" s="37"/>
      <c r="AV535" s="37"/>
      <c r="AW535" s="37"/>
      <c r="AX535" s="37"/>
      <c r="AY535" s="37"/>
      <c r="AZ535" s="37" t="s">
        <v>1284</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082"/>
      <c r="C536" s="1083"/>
      <c r="D536" s="1083"/>
      <c r="E536" s="1083"/>
      <c r="F536" s="1083"/>
      <c r="G536" s="1083"/>
      <c r="H536" s="1084"/>
      <c r="I536" t="s">
        <v>1285</v>
      </c>
      <c r="AC536" s="1064">
        <v>3</v>
      </c>
      <c r="AD536" s="1061"/>
      <c r="AE536" s="1061"/>
      <c r="AF536" s="1061"/>
      <c r="AG536" s="40" t="s">
        <v>1237</v>
      </c>
      <c r="AH536" s="1090">
        <v>2026</v>
      </c>
      <c r="AI536" s="1090"/>
      <c r="AJ536" s="1090"/>
      <c r="AK536" s="1091"/>
      <c r="AM536" s="37"/>
      <c r="AN536" s="37"/>
      <c r="AO536" s="37"/>
      <c r="AP536" s="37"/>
      <c r="AQ536" s="37"/>
      <c r="AR536" s="37"/>
      <c r="AS536" s="37"/>
      <c r="AT536" s="37"/>
      <c r="AU536" s="37"/>
      <c r="AV536" s="37"/>
      <c r="AW536" s="37"/>
      <c r="AX536" s="37"/>
      <c r="AY536" s="37"/>
      <c r="AZ536" s="37" t="s">
        <v>1286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085"/>
      <c r="C537" s="1086"/>
      <c r="D537" s="1086"/>
      <c r="E537" s="1086"/>
      <c r="F537" s="1086"/>
      <c r="G537" s="1086"/>
      <c r="H537" s="1087"/>
      <c r="I537" s="47" t="s">
        <v>1287</v>
      </c>
      <c r="J537" s="47"/>
      <c r="K537" s="47"/>
      <c r="L537" s="47"/>
      <c r="M537" s="47"/>
      <c r="N537" s="47"/>
      <c r="O537" s="47"/>
      <c r="P537" s="47"/>
      <c r="Q537" s="47"/>
      <c r="R537" s="47"/>
      <c r="S537" s="47"/>
      <c r="T537" s="47"/>
      <c r="U537" s="47"/>
      <c r="V537" s="47"/>
      <c r="W537" s="47"/>
      <c r="X537" s="47"/>
      <c r="Y537" s="47"/>
      <c r="Z537" s="47"/>
      <c r="AA537" s="47"/>
      <c r="AB537" s="47"/>
      <c r="AC537" s="1064">
        <v>5</v>
      </c>
      <c r="AD537" s="1061"/>
      <c r="AE537" s="1061"/>
      <c r="AF537" s="1061"/>
      <c r="AG537" s="40" t="s">
        <v>1237</v>
      </c>
      <c r="AH537" s="1090">
        <v>2026</v>
      </c>
      <c r="AI537" s="1090"/>
      <c r="AJ537" s="1090"/>
      <c r="AK537" s="1091"/>
      <c r="AM537" s="37"/>
      <c r="AN537" s="37"/>
      <c r="AO537" s="37"/>
      <c r="AP537" s="37"/>
      <c r="AQ537" s="37"/>
      <c r="AR537" s="37"/>
      <c r="AS537" s="37"/>
      <c r="AT537" s="37"/>
      <c r="AU537" s="37"/>
      <c r="AV537" s="37"/>
      <c r="AW537" s="37"/>
      <c r="AX537" s="37"/>
      <c r="AY537" s="37"/>
      <c r="AZ537" s="37" t="s">
        <v>1288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1289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26" t="s">
        <v>1290</v>
      </c>
      <c r="B539" s="926"/>
      <c r="C539" s="926"/>
      <c r="D539" s="926"/>
      <c r="E539" s="926"/>
      <c r="F539" s="926"/>
      <c r="G539" s="926"/>
      <c r="H539" s="926"/>
      <c r="I539" s="926"/>
      <c r="J539" s="926"/>
      <c r="K539" s="926"/>
      <c r="L539" s="926"/>
      <c r="M539" s="926"/>
      <c r="N539" s="926"/>
      <c r="O539" s="926"/>
      <c r="P539" s="926"/>
      <c r="Q539" s="926"/>
      <c r="R539" s="926"/>
      <c r="S539" s="926"/>
      <c r="T539" s="926"/>
      <c r="U539" s="926"/>
      <c r="V539" s="926"/>
      <c r="W539" s="926"/>
      <c r="X539" s="926"/>
      <c r="Y539" s="926"/>
      <c r="Z539" s="926"/>
      <c r="AA539" s="926"/>
      <c r="AB539" s="926"/>
      <c r="AC539" s="926"/>
      <c r="AD539" s="926"/>
      <c r="AE539" s="926"/>
      <c r="AF539" s="926"/>
      <c r="AG539" s="926"/>
      <c r="AH539" s="926"/>
      <c r="AI539" s="926"/>
      <c r="AJ539" s="926"/>
      <c r="AK539" s="926"/>
      <c r="AL539" s="926"/>
      <c r="AM539" s="926"/>
      <c r="AN539" s="926"/>
      <c r="AO539" s="926"/>
      <c r="AP539" s="926"/>
      <c r="AQ539" s="926"/>
      <c r="AR539" s="926"/>
      <c r="AS539" s="926"/>
      <c r="AT539" s="926"/>
      <c r="AU539" s="37"/>
      <c r="AV539" s="37"/>
      <c r="AW539" s="37"/>
      <c r="AX539" s="37"/>
      <c r="AY539" s="37"/>
      <c r="AZ539" s="37" t="s">
        <v>1291</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26"/>
      <c r="B540" s="926"/>
      <c r="C540" s="926"/>
      <c r="D540" s="926"/>
      <c r="E540" s="926"/>
      <c r="F540" s="926"/>
      <c r="G540" s="926"/>
      <c r="H540" s="926"/>
      <c r="I540" s="926"/>
      <c r="J540" s="926"/>
      <c r="K540" s="926"/>
      <c r="L540" s="926"/>
      <c r="M540" s="926"/>
      <c r="N540" s="926"/>
      <c r="O540" s="926"/>
      <c r="P540" s="926"/>
      <c r="Q540" s="926"/>
      <c r="R540" s="926"/>
      <c r="S540" s="926"/>
      <c r="T540" s="926"/>
      <c r="U540" s="926"/>
      <c r="V540" s="926"/>
      <c r="W540" s="926"/>
      <c r="X540" s="926"/>
      <c r="Y540" s="926"/>
      <c r="Z540" s="926"/>
      <c r="AA540" s="926"/>
      <c r="AB540" s="926"/>
      <c r="AC540" s="926"/>
      <c r="AD540" s="926"/>
      <c r="AE540" s="926"/>
      <c r="AF540" s="926"/>
      <c r="AG540" s="926"/>
      <c r="AH540" s="926"/>
      <c r="AI540" s="926"/>
      <c r="AJ540" s="926"/>
      <c r="AK540" s="926"/>
      <c r="AL540" s="926"/>
      <c r="AM540" s="926"/>
      <c r="AN540" s="926"/>
      <c r="AO540" s="926"/>
      <c r="AP540" s="926"/>
      <c r="AQ540" s="926"/>
      <c r="AR540" s="926"/>
      <c r="AS540" s="926"/>
      <c r="AT540" s="926"/>
      <c r="AU540" s="37"/>
      <c r="AV540" s="37"/>
      <c r="AW540" s="37"/>
      <c r="AX540" s="37"/>
      <c r="AY540" s="37"/>
      <c r="AZ540" s="37" t="s">
        <v>1292</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1293</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791</v>
      </c>
      <c r="B542" s="3"/>
      <c r="C542" s="3" t="s">
        <v>181</v>
      </c>
      <c r="AT542" s="37"/>
      <c r="AU542" s="37"/>
      <c r="AV542" s="37"/>
      <c r="AW542" s="37"/>
      <c r="AX542" s="37"/>
      <c r="AY542" s="37"/>
      <c r="AZ542" t="s">
        <v>1294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1295</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26"/>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079" t="s">
        <v>1296</v>
      </c>
      <c r="C546" s="1080"/>
      <c r="D546" s="1080"/>
      <c r="E546" s="1080"/>
      <c r="F546" s="1080"/>
      <c r="G546" s="1080"/>
      <c r="H546" s="1080"/>
      <c r="I546" s="1080"/>
      <c r="J546" s="1080"/>
      <c r="K546" s="1080"/>
      <c r="L546" s="1080"/>
      <c r="M546" s="1093" t="s">
        <v>1297</v>
      </c>
      <c r="N546" s="1093"/>
      <c r="O546" s="1093"/>
      <c r="P546" s="1093"/>
      <c r="Q546" s="1079" t="s">
        <v>1298</v>
      </c>
      <c r="R546" s="1080"/>
      <c r="S546" s="1081"/>
      <c r="T546" s="1079" t="s">
        <v>1299</v>
      </c>
      <c r="U546" s="1080"/>
      <c r="V546" s="1081"/>
      <c r="W546" s="1079" t="s">
        <v>1300</v>
      </c>
      <c r="X546" s="1080"/>
      <c r="Y546" s="1081"/>
      <c r="Z546" s="1079" t="s">
        <v>1301</v>
      </c>
      <c r="AA546" s="1080"/>
      <c r="AB546" s="1080"/>
      <c r="AC546" s="1080"/>
      <c r="AD546" s="1081"/>
      <c r="AE546" s="1079" t="s">
        <v>1302</v>
      </c>
      <c r="AF546" s="1080"/>
      <c r="AG546" s="1080"/>
      <c r="AH546" s="1081"/>
      <c r="AI546" s="1079" t="s">
        <v>1303</v>
      </c>
      <c r="AJ546" s="1080"/>
      <c r="AK546" s="1080"/>
      <c r="AL546" s="1081"/>
      <c r="AM546" s="1079" t="s">
        <v>1304</v>
      </c>
      <c r="AN546" s="1080"/>
      <c r="AO546" s="1080"/>
      <c r="AP546" s="1080"/>
      <c r="AQ546" s="1080"/>
      <c r="AR546" s="1080"/>
      <c r="AS546" s="1081"/>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082"/>
      <c r="C547" s="1083"/>
      <c r="D547" s="1083"/>
      <c r="E547" s="1083"/>
      <c r="F547" s="1083"/>
      <c r="G547" s="1083"/>
      <c r="H547" s="1083"/>
      <c r="I547" s="1083"/>
      <c r="J547" s="1083"/>
      <c r="K547" s="1083"/>
      <c r="L547" s="1083"/>
      <c r="M547" s="1093"/>
      <c r="N547" s="1093"/>
      <c r="O547" s="1093"/>
      <c r="P547" s="1093"/>
      <c r="Q547" s="1082"/>
      <c r="R547" s="1083"/>
      <c r="S547" s="1084"/>
      <c r="T547" s="1082"/>
      <c r="U547" s="1083"/>
      <c r="V547" s="1084"/>
      <c r="W547" s="1082"/>
      <c r="X547" s="1083"/>
      <c r="Y547" s="1084"/>
      <c r="Z547" s="1082"/>
      <c r="AA547" s="1083"/>
      <c r="AB547" s="1083"/>
      <c r="AC547" s="1083"/>
      <c r="AD547" s="1084"/>
      <c r="AE547" s="1082"/>
      <c r="AF547" s="1083"/>
      <c r="AG547" s="1083"/>
      <c r="AH547" s="1084"/>
      <c r="AI547" s="1082"/>
      <c r="AJ547" s="1083"/>
      <c r="AK547" s="1083"/>
      <c r="AL547" s="1084"/>
      <c r="AM547" s="1082"/>
      <c r="AN547" s="1083"/>
      <c r="AO547" s="1083"/>
      <c r="AP547" s="1083"/>
      <c r="AQ547" s="1083"/>
      <c r="AR547" s="1083"/>
      <c r="AS547" s="1084"/>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085"/>
      <c r="C548" s="1086"/>
      <c r="D548" s="1086"/>
      <c r="E548" s="1086"/>
      <c r="F548" s="1086"/>
      <c r="G548" s="1086"/>
      <c r="H548" s="1086"/>
      <c r="I548" s="1086"/>
      <c r="J548" s="1086"/>
      <c r="K548" s="1086"/>
      <c r="L548" s="1086"/>
      <c r="M548" s="1093"/>
      <c r="N548" s="1093"/>
      <c r="O548" s="1093"/>
      <c r="P548" s="1093"/>
      <c r="Q548" s="1085"/>
      <c r="R548" s="1086"/>
      <c r="S548" s="1087"/>
      <c r="T548" s="1085"/>
      <c r="U548" s="1086"/>
      <c r="V548" s="1087"/>
      <c r="W548" s="1085"/>
      <c r="X548" s="1086"/>
      <c r="Y548" s="1087"/>
      <c r="Z548" s="1085"/>
      <c r="AA548" s="1086"/>
      <c r="AB548" s="1086"/>
      <c r="AC548" s="1086"/>
      <c r="AD548" s="1087"/>
      <c r="AE548" s="1085"/>
      <c r="AF548" s="1086"/>
      <c r="AG548" s="1086"/>
      <c r="AH548" s="1087"/>
      <c r="AI548" s="1085"/>
      <c r="AJ548" s="1086"/>
      <c r="AK548" s="1086"/>
      <c r="AL548" s="1087"/>
      <c r="AM548" s="1085"/>
      <c r="AN548" s="1086"/>
      <c r="AO548" s="1086"/>
      <c r="AP548" s="1086"/>
      <c r="AQ548" s="1086"/>
      <c r="AR548" s="1086"/>
      <c r="AS548" s="108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046" t="s">
        <v>1305</v>
      </c>
      <c r="D549" s="1046"/>
      <c r="E549" s="1046"/>
      <c r="F549" s="1046"/>
      <c r="G549" s="1046"/>
      <c r="H549" s="1046"/>
      <c r="I549" s="1046"/>
      <c r="J549" s="1046"/>
      <c r="K549" s="1046"/>
      <c r="L549" s="1046"/>
      <c r="M549" s="1045" t="s">
        <v>1273</v>
      </c>
      <c r="N549" s="1045"/>
      <c r="O549" s="1045"/>
      <c r="P549" s="1045"/>
      <c r="Q549" s="1048">
        <v>18</v>
      </c>
      <c r="R549" s="1048"/>
      <c r="S549" s="1049"/>
      <c r="T549" s="1047">
        <v>18</v>
      </c>
      <c r="U549" s="1048"/>
      <c r="V549" s="1049"/>
      <c r="W549" s="1364">
        <v>7.8700000000000006E-2</v>
      </c>
      <c r="X549" s="1365"/>
      <c r="Y549" s="1366"/>
      <c r="Z549" s="1367" t="s">
        <v>1306</v>
      </c>
      <c r="AA549" s="1367"/>
      <c r="AB549" s="1367"/>
      <c r="AC549" s="1367"/>
      <c r="AD549" s="1367"/>
      <c r="AE549" s="1368">
        <v>1</v>
      </c>
      <c r="AF549" s="1369"/>
      <c r="AG549" s="1369"/>
      <c r="AH549" s="1370"/>
      <c r="AI549" s="1361"/>
      <c r="AJ549" s="1362"/>
      <c r="AK549" s="1362"/>
      <c r="AL549" s="1363"/>
      <c r="AM549" s="1162">
        <v>3646199</v>
      </c>
      <c r="AN549" s="1163"/>
      <c r="AO549" s="1163"/>
      <c r="AP549" s="1163"/>
      <c r="AQ549" s="1163"/>
      <c r="AR549" s="1163"/>
      <c r="AS549" s="1164"/>
      <c r="AT549" s="829"/>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046" t="s">
        <v>1307</v>
      </c>
      <c r="D550" s="1046"/>
      <c r="E550" s="1046"/>
      <c r="F550" s="1046"/>
      <c r="G550" s="1046"/>
      <c r="H550" s="1046"/>
      <c r="I550" s="1046"/>
      <c r="J550" s="1046"/>
      <c r="K550" s="1046"/>
      <c r="L550" s="1046"/>
      <c r="M550" s="1045" t="s">
        <v>1278</v>
      </c>
      <c r="N550" s="1045"/>
      <c r="O550" s="1045"/>
      <c r="P550" s="1045"/>
      <c r="Q550" s="1047">
        <v>18</v>
      </c>
      <c r="R550" s="1048"/>
      <c r="S550" s="1049"/>
      <c r="T550" s="1047">
        <v>18</v>
      </c>
      <c r="U550" s="1048"/>
      <c r="V550" s="1049"/>
      <c r="W550" s="1364">
        <v>0.01</v>
      </c>
      <c r="X550" s="1365"/>
      <c r="Y550" s="1366"/>
      <c r="Z550" s="1367" t="s">
        <v>1308</v>
      </c>
      <c r="AA550" s="1367"/>
      <c r="AB550" s="1367"/>
      <c r="AC550" s="1367"/>
      <c r="AD550" s="1367"/>
      <c r="AE550" s="1368">
        <v>2</v>
      </c>
      <c r="AF550" s="1369"/>
      <c r="AG550" s="1369"/>
      <c r="AH550" s="1370"/>
      <c r="AI550" s="1361">
        <v>49357</v>
      </c>
      <c r="AJ550" s="1362"/>
      <c r="AK550" s="1362"/>
      <c r="AL550" s="1363"/>
      <c r="AM550" s="1162">
        <v>1941442</v>
      </c>
      <c r="AN550" s="1163"/>
      <c r="AO550" s="1163"/>
      <c r="AP550" s="1163"/>
      <c r="AQ550" s="1163"/>
      <c r="AR550" s="1163"/>
      <c r="AS550" s="1164"/>
      <c r="AT550" s="830"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046" t="s">
        <v>1309</v>
      </c>
      <c r="D551" s="1046"/>
      <c r="E551" s="1046"/>
      <c r="F551" s="1046"/>
      <c r="G551" s="1046"/>
      <c r="H551" s="1046"/>
      <c r="I551" s="1046"/>
      <c r="J551" s="1046"/>
      <c r="K551" s="1046"/>
      <c r="L551" s="1046"/>
      <c r="M551" s="1045" t="s">
        <v>1278</v>
      </c>
      <c r="N551" s="1045"/>
      <c r="O551" s="1045"/>
      <c r="P551" s="1045"/>
      <c r="Q551" s="1047">
        <v>18</v>
      </c>
      <c r="R551" s="1048"/>
      <c r="S551" s="1049"/>
      <c r="T551" s="1047">
        <v>18</v>
      </c>
      <c r="U551" s="1048"/>
      <c r="V551" s="1049"/>
      <c r="W551" s="1364">
        <v>0.01</v>
      </c>
      <c r="X551" s="1365"/>
      <c r="Y551" s="1366"/>
      <c r="Z551" s="1367" t="s">
        <v>1308</v>
      </c>
      <c r="AA551" s="1367"/>
      <c r="AB551" s="1367"/>
      <c r="AC551" s="1367"/>
      <c r="AD551" s="1367"/>
      <c r="AE551" s="1368">
        <v>3</v>
      </c>
      <c r="AF551" s="1369"/>
      <c r="AG551" s="1369"/>
      <c r="AH551" s="1370"/>
      <c r="AI551" s="1361">
        <v>3682</v>
      </c>
      <c r="AJ551" s="1362"/>
      <c r="AK551" s="1362"/>
      <c r="AL551" s="1363"/>
      <c r="AM551" s="1162">
        <v>144836</v>
      </c>
      <c r="AN551" s="1163"/>
      <c r="AO551" s="1163"/>
      <c r="AP551" s="1163"/>
      <c r="AQ551" s="1163"/>
      <c r="AR551" s="1163"/>
      <c r="AS551" s="1164"/>
      <c r="AT551" s="830"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046" t="s">
        <v>1310</v>
      </c>
      <c r="D552" s="1046"/>
      <c r="E552" s="1046"/>
      <c r="F552" s="1046"/>
      <c r="G552" s="1046"/>
      <c r="H552" s="1046"/>
      <c r="I552" s="1046"/>
      <c r="J552" s="1046"/>
      <c r="K552" s="1046"/>
      <c r="L552" s="1046"/>
      <c r="M552" s="1045" t="s">
        <v>1269</v>
      </c>
      <c r="N552" s="1045"/>
      <c r="O552" s="1045"/>
      <c r="P552" s="1045"/>
      <c r="Q552" s="1047"/>
      <c r="R552" s="1048"/>
      <c r="S552" s="1049"/>
      <c r="T552" s="1047"/>
      <c r="U552" s="1048"/>
      <c r="V552" s="1049"/>
      <c r="W552" s="1364"/>
      <c r="X552" s="1365"/>
      <c r="Y552" s="1366"/>
      <c r="Z552" s="1367" t="s">
        <v>325</v>
      </c>
      <c r="AA552" s="1367"/>
      <c r="AB552" s="1367"/>
      <c r="AC552" s="1367"/>
      <c r="AD552" s="1367"/>
      <c r="AE552" s="1368"/>
      <c r="AF552" s="1369"/>
      <c r="AG552" s="1369"/>
      <c r="AH552" s="1370"/>
      <c r="AI552" s="1361"/>
      <c r="AJ552" s="1362"/>
      <c r="AK552" s="1362"/>
      <c r="AL552" s="1363"/>
      <c r="AM552" s="1162">
        <v>341992</v>
      </c>
      <c r="AN552" s="1163"/>
      <c r="AO552" s="1163"/>
      <c r="AP552" s="1163"/>
      <c r="AQ552" s="1163"/>
      <c r="AR552" s="1163"/>
      <c r="AS552" s="1164"/>
      <c r="AT552" s="830"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046" t="s">
        <v>1311</v>
      </c>
      <c r="D553" s="1046"/>
      <c r="E553" s="1046"/>
      <c r="F553" s="1046"/>
      <c r="G553" s="1046"/>
      <c r="H553" s="1046"/>
      <c r="I553" s="1046"/>
      <c r="J553" s="1046"/>
      <c r="K553" s="1046"/>
      <c r="L553" s="1046"/>
      <c r="M553" s="1045" t="s">
        <v>1277</v>
      </c>
      <c r="N553" s="1045"/>
      <c r="O553" s="1045"/>
      <c r="P553" s="1045"/>
      <c r="Q553" s="1047">
        <v>18</v>
      </c>
      <c r="R553" s="1048"/>
      <c r="S553" s="1049"/>
      <c r="T553" s="1047">
        <v>18</v>
      </c>
      <c r="U553" s="1048"/>
      <c r="V553" s="1049"/>
      <c r="W553" s="1364">
        <v>0.03</v>
      </c>
      <c r="X553" s="1365"/>
      <c r="Y553" s="1366"/>
      <c r="Z553" s="1367" t="s">
        <v>1308</v>
      </c>
      <c r="AA553" s="1367"/>
      <c r="AB553" s="1367"/>
      <c r="AC553" s="1367"/>
      <c r="AD553" s="1367"/>
      <c r="AE553" s="1368">
        <v>4</v>
      </c>
      <c r="AF553" s="1369"/>
      <c r="AG553" s="1369"/>
      <c r="AH553" s="1370"/>
      <c r="AI553" s="1361"/>
      <c r="AJ553" s="1362"/>
      <c r="AK553" s="1362"/>
      <c r="AL553" s="1363"/>
      <c r="AM553" s="1162">
        <v>100000</v>
      </c>
      <c r="AN553" s="1163"/>
      <c r="AO553" s="1163"/>
      <c r="AP553" s="1163"/>
      <c r="AQ553" s="1163"/>
      <c r="AR553" s="1163"/>
      <c r="AS553" s="1164"/>
      <c r="AT553" s="830"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1312</v>
      </c>
      <c r="C554" s="1046" t="s">
        <v>1313</v>
      </c>
      <c r="D554" s="1046"/>
      <c r="E554" s="1046"/>
      <c r="F554" s="1046"/>
      <c r="G554" s="1046"/>
      <c r="H554" s="1046"/>
      <c r="I554" s="1046"/>
      <c r="J554" s="1046"/>
      <c r="K554" s="1046"/>
      <c r="L554" s="1046"/>
      <c r="M554" s="1045" t="s">
        <v>1270</v>
      </c>
      <c r="N554" s="1045"/>
      <c r="O554" s="1045"/>
      <c r="P554" s="1045"/>
      <c r="Q554" s="1047"/>
      <c r="R554" s="1048"/>
      <c r="S554" s="1049"/>
      <c r="T554" s="1047"/>
      <c r="U554" s="1048"/>
      <c r="V554" s="1049"/>
      <c r="W554" s="1364"/>
      <c r="X554" s="1365"/>
      <c r="Y554" s="1366"/>
      <c r="Z554" s="1367" t="s">
        <v>325</v>
      </c>
      <c r="AA554" s="1367"/>
      <c r="AB554" s="1367"/>
      <c r="AC554" s="1367"/>
      <c r="AD554" s="1367"/>
      <c r="AE554" s="1368"/>
      <c r="AF554" s="1369"/>
      <c r="AG554" s="1369"/>
      <c r="AH554" s="1370"/>
      <c r="AI554" s="1361"/>
      <c r="AJ554" s="1362"/>
      <c r="AK554" s="1362"/>
      <c r="AL554" s="1363"/>
      <c r="AM554" s="1162">
        <v>598608</v>
      </c>
      <c r="AN554" s="1163"/>
      <c r="AO554" s="1163"/>
      <c r="AP554" s="1163"/>
      <c r="AQ554" s="1163"/>
      <c r="AR554" s="1163"/>
      <c r="AS554" s="1164"/>
      <c r="AT554" s="830"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1314</v>
      </c>
      <c r="C555" s="1046" t="s">
        <v>1315</v>
      </c>
      <c r="D555" s="1046"/>
      <c r="E555" s="1046"/>
      <c r="F555" s="1046"/>
      <c r="G555" s="1046"/>
      <c r="H555" s="1046"/>
      <c r="I555" s="1046"/>
      <c r="J555" s="1046"/>
      <c r="K555" s="1046"/>
      <c r="L555" s="1046"/>
      <c r="M555" s="1045" t="s">
        <v>1265</v>
      </c>
      <c r="N555" s="1045"/>
      <c r="O555" s="1045"/>
      <c r="P555" s="1045"/>
      <c r="Q555" s="1047"/>
      <c r="R555" s="1048"/>
      <c r="S555" s="1049"/>
      <c r="T555" s="1047"/>
      <c r="U555" s="1048"/>
      <c r="V555" s="1049"/>
      <c r="W555" s="1364"/>
      <c r="X555" s="1365"/>
      <c r="Y555" s="1366"/>
      <c r="Z555" s="1367" t="s">
        <v>325</v>
      </c>
      <c r="AA555" s="1367"/>
      <c r="AB555" s="1367"/>
      <c r="AC555" s="1367"/>
      <c r="AD555" s="1367"/>
      <c r="AE555" s="1368"/>
      <c r="AF555" s="1369"/>
      <c r="AG555" s="1369"/>
      <c r="AH555" s="1370"/>
      <c r="AI555" s="1361"/>
      <c r="AJ555" s="1362"/>
      <c r="AK555" s="1362"/>
      <c r="AL555" s="1363"/>
      <c r="AM555" s="1162">
        <v>652578</v>
      </c>
      <c r="AN555" s="1163"/>
      <c r="AO555" s="1163"/>
      <c r="AP555" s="1163"/>
      <c r="AQ555" s="1163"/>
      <c r="AR555" s="1163"/>
      <c r="AS555" s="1164"/>
      <c r="AT555" s="830"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1316</v>
      </c>
      <c r="C556" s="1046"/>
      <c r="D556" s="1046"/>
      <c r="E556" s="1046"/>
      <c r="F556" s="1046"/>
      <c r="G556" s="1046"/>
      <c r="H556" s="1046"/>
      <c r="I556" s="1046"/>
      <c r="J556" s="1046"/>
      <c r="K556" s="1046"/>
      <c r="L556" s="1046"/>
      <c r="M556" s="1045" t="s">
        <v>1261</v>
      </c>
      <c r="N556" s="1045"/>
      <c r="O556" s="1045"/>
      <c r="P556" s="1045"/>
      <c r="Q556" s="1047"/>
      <c r="R556" s="1048"/>
      <c r="S556" s="1049"/>
      <c r="T556" s="1047"/>
      <c r="U556" s="1048"/>
      <c r="V556" s="1049"/>
      <c r="W556" s="1364"/>
      <c r="X556" s="1365"/>
      <c r="Y556" s="1366"/>
      <c r="Z556" s="1367" t="s">
        <v>1261</v>
      </c>
      <c r="AA556" s="1367"/>
      <c r="AB556" s="1367"/>
      <c r="AC556" s="1367"/>
      <c r="AD556" s="1367"/>
      <c r="AE556" s="1368"/>
      <c r="AF556" s="1369"/>
      <c r="AG556" s="1369"/>
      <c r="AH556" s="1370"/>
      <c r="AI556" s="1361"/>
      <c r="AJ556" s="1362"/>
      <c r="AK556" s="1362"/>
      <c r="AL556" s="1363"/>
      <c r="AM556" s="1162"/>
      <c r="AN556" s="1163"/>
      <c r="AO556" s="1163"/>
      <c r="AP556" s="1163"/>
      <c r="AQ556" s="1163"/>
      <c r="AR556" s="1163"/>
      <c r="AS556" s="1164"/>
      <c r="AT556" s="830"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1317</v>
      </c>
      <c r="C557" s="1046"/>
      <c r="D557" s="1046"/>
      <c r="E557" s="1046"/>
      <c r="F557" s="1046"/>
      <c r="G557" s="1046"/>
      <c r="H557" s="1046"/>
      <c r="I557" s="1046"/>
      <c r="J557" s="1046"/>
      <c r="K557" s="1046"/>
      <c r="L557" s="1046"/>
      <c r="M557" s="1045" t="s">
        <v>1261</v>
      </c>
      <c r="N557" s="1045"/>
      <c r="O557" s="1045"/>
      <c r="P557" s="1045"/>
      <c r="Q557" s="1047"/>
      <c r="R557" s="1048"/>
      <c r="S557" s="1049"/>
      <c r="T557" s="1047"/>
      <c r="U557" s="1048"/>
      <c r="V557" s="1049"/>
      <c r="W557" s="1364"/>
      <c r="X557" s="1365"/>
      <c r="Y557" s="1366"/>
      <c r="Z557" s="1367" t="s">
        <v>1261</v>
      </c>
      <c r="AA557" s="1367"/>
      <c r="AB557" s="1367"/>
      <c r="AC557" s="1367"/>
      <c r="AD557" s="1367"/>
      <c r="AE557" s="1368"/>
      <c r="AF557" s="1369"/>
      <c r="AG557" s="1369"/>
      <c r="AH557" s="1370"/>
      <c r="AI557" s="1361"/>
      <c r="AJ557" s="1362"/>
      <c r="AK557" s="1362"/>
      <c r="AL557" s="1363"/>
      <c r="AM557" s="1162"/>
      <c r="AN557" s="1163"/>
      <c r="AO557" s="1163"/>
      <c r="AP557" s="1163"/>
      <c r="AQ557" s="1163"/>
      <c r="AR557" s="1163"/>
      <c r="AS557" s="1164"/>
      <c r="AT557" s="830"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1318</v>
      </c>
      <c r="C558" s="1046"/>
      <c r="D558" s="1046"/>
      <c r="E558" s="1046"/>
      <c r="F558" s="1046"/>
      <c r="G558" s="1046"/>
      <c r="H558" s="1046"/>
      <c r="I558" s="1046"/>
      <c r="J558" s="1046"/>
      <c r="K558" s="1046"/>
      <c r="L558" s="1046"/>
      <c r="M558" s="1045" t="s">
        <v>1261</v>
      </c>
      <c r="N558" s="1045"/>
      <c r="O558" s="1045"/>
      <c r="P558" s="1045"/>
      <c r="Q558" s="1047"/>
      <c r="R558" s="1048"/>
      <c r="S558" s="1049"/>
      <c r="T558" s="1047"/>
      <c r="U558" s="1048"/>
      <c r="V558" s="1049"/>
      <c r="W558" s="1364"/>
      <c r="X558" s="1365"/>
      <c r="Y558" s="1366"/>
      <c r="Z558" s="1367" t="s">
        <v>1261</v>
      </c>
      <c r="AA558" s="1367"/>
      <c r="AB558" s="1367"/>
      <c r="AC558" s="1367"/>
      <c r="AD558" s="1367"/>
      <c r="AE558" s="1368"/>
      <c r="AF558" s="1369"/>
      <c r="AG558" s="1369"/>
      <c r="AH558" s="1370"/>
      <c r="AI558" s="1361"/>
      <c r="AJ558" s="1362"/>
      <c r="AK558" s="1362"/>
      <c r="AL558" s="1363"/>
      <c r="AM558" s="1162"/>
      <c r="AN558" s="1163"/>
      <c r="AO558" s="1163"/>
      <c r="AP558" s="1163"/>
      <c r="AQ558" s="1163"/>
      <c r="AR558" s="1163"/>
      <c r="AS558" s="1164"/>
      <c r="AT558" s="830"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1319</v>
      </c>
      <c r="C559" s="1046"/>
      <c r="D559" s="1046"/>
      <c r="E559" s="1046"/>
      <c r="F559" s="1046"/>
      <c r="G559" s="1046"/>
      <c r="H559" s="1046"/>
      <c r="I559" s="1046"/>
      <c r="J559" s="1046"/>
      <c r="K559" s="1046"/>
      <c r="L559" s="1046"/>
      <c r="M559" s="1045" t="s">
        <v>1261</v>
      </c>
      <c r="N559" s="1045"/>
      <c r="O559" s="1045"/>
      <c r="P559" s="1045"/>
      <c r="Q559" s="1047"/>
      <c r="R559" s="1048"/>
      <c r="S559" s="1049"/>
      <c r="T559" s="1047"/>
      <c r="U559" s="1048"/>
      <c r="V559" s="1049"/>
      <c r="W559" s="1364"/>
      <c r="X559" s="1365"/>
      <c r="Y559" s="1366"/>
      <c r="Z559" s="1367" t="s">
        <v>1261</v>
      </c>
      <c r="AA559" s="1367"/>
      <c r="AB559" s="1367"/>
      <c r="AC559" s="1367"/>
      <c r="AD559" s="1367"/>
      <c r="AE559" s="1368"/>
      <c r="AF559" s="1369"/>
      <c r="AG559" s="1369"/>
      <c r="AH559" s="1370"/>
      <c r="AI559" s="1361"/>
      <c r="AJ559" s="1362"/>
      <c r="AK559" s="1362"/>
      <c r="AL559" s="1363"/>
      <c r="AM559" s="1162"/>
      <c r="AN559" s="1163"/>
      <c r="AO559" s="1163"/>
      <c r="AP559" s="1163"/>
      <c r="AQ559" s="1163"/>
      <c r="AR559" s="1163"/>
      <c r="AS559" s="1164"/>
      <c r="AT559" s="830"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1320</v>
      </c>
      <c r="C560" s="1046"/>
      <c r="D560" s="1046"/>
      <c r="E560" s="1046"/>
      <c r="F560" s="1046"/>
      <c r="G560" s="1046"/>
      <c r="H560" s="1046"/>
      <c r="I560" s="1046"/>
      <c r="J560" s="1046"/>
      <c r="K560" s="1046"/>
      <c r="L560" s="1046"/>
      <c r="M560" s="1045" t="s">
        <v>1261</v>
      </c>
      <c r="N560" s="1045"/>
      <c r="O560" s="1045"/>
      <c r="P560" s="1045"/>
      <c r="Q560" s="1047"/>
      <c r="R560" s="1048"/>
      <c r="S560" s="1049"/>
      <c r="T560" s="1047"/>
      <c r="U560" s="1048"/>
      <c r="V560" s="1049"/>
      <c r="W560" s="1364"/>
      <c r="X560" s="1365"/>
      <c r="Y560" s="1366"/>
      <c r="Z560" s="1367" t="s">
        <v>1261</v>
      </c>
      <c r="AA560" s="1367"/>
      <c r="AB560" s="1367"/>
      <c r="AC560" s="1367"/>
      <c r="AD560" s="1367"/>
      <c r="AE560" s="1368"/>
      <c r="AF560" s="1369"/>
      <c r="AG560" s="1369"/>
      <c r="AH560" s="1370"/>
      <c r="AI560" s="1361"/>
      <c r="AJ560" s="1362"/>
      <c r="AK560" s="1362"/>
      <c r="AL560" s="1363"/>
      <c r="AM560" s="1162"/>
      <c r="AN560" s="1163"/>
      <c r="AO560" s="1163"/>
      <c r="AP560" s="1163"/>
      <c r="AQ560" s="1163"/>
      <c r="AR560" s="1163"/>
      <c r="AS560" s="1164"/>
      <c r="AT560" s="830"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050" t="s">
        <v>1321</v>
      </c>
      <c r="C561" s="1051"/>
      <c r="D561" s="1051"/>
      <c r="E561" s="1051"/>
      <c r="F561" s="1051"/>
      <c r="G561" s="1051"/>
      <c r="H561" s="1051"/>
      <c r="I561" s="1051"/>
      <c r="J561" s="1051"/>
      <c r="K561" s="1051"/>
      <c r="L561" s="1051"/>
      <c r="M561" s="1051"/>
      <c r="N561" s="1051"/>
      <c r="O561" s="1051"/>
      <c r="P561" s="1051"/>
      <c r="Q561" s="1051"/>
      <c r="R561" s="1051"/>
      <c r="S561" s="1051"/>
      <c r="T561" s="1051"/>
      <c r="U561" s="1052"/>
      <c r="V561" s="1051"/>
      <c r="W561" s="1051"/>
      <c r="X561" s="1051"/>
      <c r="Y561" s="1051"/>
      <c r="Z561" s="1051"/>
      <c r="AA561" s="1051"/>
      <c r="AB561" s="1051"/>
      <c r="AC561" s="1051"/>
      <c r="AD561" s="1051"/>
      <c r="AE561" s="1051"/>
      <c r="AF561" s="1051"/>
      <c r="AG561" s="1051"/>
      <c r="AH561" s="1051"/>
      <c r="AI561" s="1051"/>
      <c r="AJ561" s="1051"/>
      <c r="AK561" s="1051"/>
      <c r="AL561" s="1053"/>
      <c r="AM561" s="1173">
        <f>SUM(AM549:AS560)</f>
        <v>7425655</v>
      </c>
      <c r="AN561" s="1174"/>
      <c r="AO561" s="1174"/>
      <c r="AP561" s="1174"/>
      <c r="AQ561" s="1174"/>
      <c r="AR561" s="1174"/>
      <c r="AS561" s="1175"/>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1322</v>
      </c>
      <c r="G563" s="1131" t="str">
        <f>C549</f>
        <v>US Bank Construction Loan</v>
      </c>
      <c r="H563" s="1131"/>
      <c r="I563" s="1131"/>
      <c r="J563" s="1131"/>
      <c r="K563" s="1131"/>
      <c r="L563" s="1131"/>
      <c r="M563" s="1131"/>
      <c r="N563" s="1131"/>
      <c r="O563" s="1131"/>
      <c r="P563" s="1131"/>
      <c r="Q563" s="1131"/>
      <c r="R563" s="1131"/>
      <c r="S563" s="12"/>
      <c r="T563" s="54" t="s">
        <v>27</v>
      </c>
      <c r="U563" t="s">
        <v>1322</v>
      </c>
      <c r="Z563" s="1131" t="str">
        <f>C550</f>
        <v>USDA 515 (New)</v>
      </c>
      <c r="AA563" s="1131"/>
      <c r="AB563" s="1131"/>
      <c r="AC563" s="1131"/>
      <c r="AD563" s="1131"/>
      <c r="AE563" s="1131"/>
      <c r="AF563" s="1131"/>
      <c r="AG563" s="1131"/>
      <c r="AH563" s="1131"/>
      <c r="AI563" s="1131"/>
      <c r="AJ563" s="1131"/>
      <c r="AK563" s="1131"/>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981</v>
      </c>
      <c r="G564" s="1002" t="s">
        <v>1323</v>
      </c>
      <c r="H564" s="1005"/>
      <c r="I564" s="1005"/>
      <c r="J564" s="1005"/>
      <c r="K564" s="1005"/>
      <c r="L564" s="1005"/>
      <c r="M564" s="1005"/>
      <c r="N564" s="1005"/>
      <c r="O564" s="1005"/>
      <c r="P564" s="1005"/>
      <c r="Q564" s="1005"/>
      <c r="R564" s="1005"/>
      <c r="S564" s="12"/>
      <c r="T564" s="4"/>
      <c r="U564" t="s">
        <v>981</v>
      </c>
      <c r="Z564" s="1005" t="s">
        <v>1324</v>
      </c>
      <c r="AA564" s="1005"/>
      <c r="AB564" s="1005"/>
      <c r="AC564" s="1005"/>
      <c r="AD564" s="1005"/>
      <c r="AE564" s="1005"/>
      <c r="AF564" s="1005"/>
      <c r="AG564" s="1005"/>
      <c r="AH564" s="1005"/>
      <c r="AI564" s="1005"/>
      <c r="AJ564" s="1005"/>
      <c r="AK564" s="1005"/>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845</v>
      </c>
      <c r="G565" s="1002" t="s">
        <v>1325</v>
      </c>
      <c r="H565" s="1005"/>
      <c r="I565" s="1005"/>
      <c r="J565" s="1005"/>
      <c r="K565" s="1005"/>
      <c r="L565" s="1005"/>
      <c r="M565" s="1005"/>
      <c r="N565" s="1005"/>
      <c r="O565" s="1005"/>
      <c r="P565" s="1005"/>
      <c r="Q565" s="1005"/>
      <c r="R565" s="1005"/>
      <c r="T565" s="4"/>
      <c r="U565" t="s">
        <v>845</v>
      </c>
      <c r="Z565" s="1004" t="s">
        <v>1326</v>
      </c>
      <c r="AA565" s="1004"/>
      <c r="AB565" s="1004"/>
      <c r="AC565" s="1004"/>
      <c r="AD565" s="1004"/>
      <c r="AE565" s="1004"/>
      <c r="AF565" s="1004"/>
      <c r="AG565" s="1004"/>
      <c r="AH565" s="1004"/>
      <c r="AI565" s="1004"/>
      <c r="AJ565" s="1004"/>
      <c r="AK565" s="100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1327</v>
      </c>
      <c r="G566" s="1002" t="s">
        <v>1328</v>
      </c>
      <c r="H566" s="1005"/>
      <c r="I566" s="1005"/>
      <c r="J566" s="1005"/>
      <c r="K566" s="1005"/>
      <c r="L566" s="1005"/>
      <c r="M566" s="1005"/>
      <c r="N566" s="1005"/>
      <c r="O566" s="1005"/>
      <c r="P566" s="1005"/>
      <c r="Q566" s="1005"/>
      <c r="R566" s="1005"/>
      <c r="S566" s="12"/>
      <c r="T566" s="4"/>
      <c r="U566" t="s">
        <v>1327</v>
      </c>
      <c r="Z566" s="1004" t="s">
        <v>1329</v>
      </c>
      <c r="AA566" s="1004"/>
      <c r="AB566" s="1004"/>
      <c r="AC566" s="1004"/>
      <c r="AD566" s="1004"/>
      <c r="AE566" s="1004"/>
      <c r="AF566" s="1004"/>
      <c r="AG566" s="1004"/>
      <c r="AH566" s="1004"/>
      <c r="AI566" s="1004"/>
      <c r="AJ566" s="1004"/>
      <c r="AK566" s="1004"/>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762</v>
      </c>
      <c r="G567" s="1008" t="s">
        <v>1330</v>
      </c>
      <c r="H567" s="1008"/>
      <c r="I567" s="1008"/>
      <c r="J567" s="1008"/>
      <c r="K567" s="1008"/>
      <c r="L567" s="1008"/>
      <c r="O567" s="806" t="s">
        <v>991</v>
      </c>
      <c r="P567" s="1003"/>
      <c r="Q567" s="1003"/>
      <c r="R567" s="1003"/>
      <c r="S567" s="14"/>
      <c r="T567" s="4"/>
      <c r="U567" t="s">
        <v>762</v>
      </c>
      <c r="Z567" s="1008" t="s">
        <v>1331</v>
      </c>
      <c r="AA567" s="1008"/>
      <c r="AB567" s="1008"/>
      <c r="AC567" s="1008"/>
      <c r="AD567" s="1008"/>
      <c r="AE567" s="1008"/>
      <c r="AH567" s="806" t="s">
        <v>991</v>
      </c>
      <c r="AI567" s="1003"/>
      <c r="AJ567" s="1003"/>
      <c r="AK567" s="1003"/>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1332</v>
      </c>
      <c r="H568" s="1005" t="s">
        <v>1333</v>
      </c>
      <c r="I568" s="1005"/>
      <c r="J568" s="1005"/>
      <c r="K568" s="1005"/>
      <c r="L568" s="1005"/>
      <c r="M568" s="1005"/>
      <c r="N568" s="1005"/>
      <c r="O568" s="1005"/>
      <c r="P568" s="1005"/>
      <c r="Q568" s="1005"/>
      <c r="R568" s="1005"/>
      <c r="S568" s="12"/>
      <c r="T568" s="4"/>
      <c r="U568" t="s">
        <v>1332</v>
      </c>
      <c r="AA568" s="1005" t="s">
        <v>1334</v>
      </c>
      <c r="AB568" s="1005"/>
      <c r="AC568" s="1005"/>
      <c r="AD568" s="1005"/>
      <c r="AE568" s="1005"/>
      <c r="AF568" s="1005"/>
      <c r="AG568" s="1005"/>
      <c r="AH568" s="1005"/>
      <c r="AI568" s="1005"/>
      <c r="AJ568" s="1005"/>
      <c r="AK568" s="1005"/>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1335</v>
      </c>
      <c r="N569" s="1063" t="s">
        <v>708</v>
      </c>
      <c r="O569" s="1063"/>
      <c r="T569" s="4"/>
      <c r="U569" t="s">
        <v>1335</v>
      </c>
      <c r="AG569" s="1063" t="s">
        <v>759</v>
      </c>
      <c r="AH569" s="1063"/>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1322</v>
      </c>
      <c r="G571" s="1131" t="str">
        <f>C551</f>
        <v>USDA 515 (Existing)</v>
      </c>
      <c r="H571" s="1131"/>
      <c r="I571" s="1131"/>
      <c r="J571" s="1131"/>
      <c r="K571" s="1131"/>
      <c r="L571" s="1131"/>
      <c r="M571" s="1131"/>
      <c r="N571" s="1131"/>
      <c r="O571" s="1131"/>
      <c r="P571" s="1131"/>
      <c r="Q571" s="1131"/>
      <c r="R571" s="1131"/>
      <c r="T571" s="54" t="s">
        <v>91</v>
      </c>
      <c r="U571" t="s">
        <v>1322</v>
      </c>
      <c r="Z571" s="1131" t="str">
        <f>C552</f>
        <v>GP Capital - existing reserves</v>
      </c>
      <c r="AA571" s="1131"/>
      <c r="AB571" s="1131"/>
      <c r="AC571" s="1131"/>
      <c r="AD571" s="1131"/>
      <c r="AE571" s="1131"/>
      <c r="AF571" s="1131"/>
      <c r="AG571" s="1131"/>
      <c r="AH571" s="1131"/>
      <c r="AI571" s="1131"/>
      <c r="AJ571" s="1131"/>
      <c r="AK571" s="1131"/>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981</v>
      </c>
      <c r="G572" s="1002" t="s">
        <v>1324</v>
      </c>
      <c r="H572" s="1005"/>
      <c r="I572" s="1005"/>
      <c r="J572" s="1005"/>
      <c r="K572" s="1005"/>
      <c r="L572" s="1005"/>
      <c r="M572" s="1005"/>
      <c r="N572" s="1005"/>
      <c r="O572" s="1005"/>
      <c r="P572" s="1005"/>
      <c r="Q572" s="1005"/>
      <c r="R572" s="1005"/>
      <c r="T572" s="4"/>
      <c r="U572" t="s">
        <v>981</v>
      </c>
      <c r="Z572" s="1002" t="s">
        <v>982</v>
      </c>
      <c r="AA572" s="1005"/>
      <c r="AB572" s="1005"/>
      <c r="AC572" s="1005"/>
      <c r="AD572" s="1005"/>
      <c r="AE572" s="1005"/>
      <c r="AF572" s="1005"/>
      <c r="AG572" s="1005"/>
      <c r="AH572" s="1005"/>
      <c r="AI572" s="1005"/>
      <c r="AJ572" s="1005"/>
      <c r="AK572" s="1005"/>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845</v>
      </c>
      <c r="G573" s="1003" t="s">
        <v>1326</v>
      </c>
      <c r="H573" s="1004"/>
      <c r="I573" s="1004"/>
      <c r="J573" s="1004"/>
      <c r="K573" s="1004"/>
      <c r="L573" s="1004"/>
      <c r="M573" s="1004"/>
      <c r="N573" s="1004"/>
      <c r="O573" s="1004"/>
      <c r="P573" s="1004"/>
      <c r="Q573" s="1004"/>
      <c r="R573" s="1004"/>
      <c r="T573" s="4"/>
      <c r="U573" t="s">
        <v>845</v>
      </c>
      <c r="Z573" s="1003" t="s">
        <v>1336</v>
      </c>
      <c r="AA573" s="1004"/>
      <c r="AB573" s="1004"/>
      <c r="AC573" s="1004"/>
      <c r="AD573" s="1004"/>
      <c r="AE573" s="1004"/>
      <c r="AF573" s="1004"/>
      <c r="AG573" s="1004"/>
      <c r="AH573" s="1004"/>
      <c r="AI573" s="1004"/>
      <c r="AJ573" s="1004"/>
      <c r="AK573" s="100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1327</v>
      </c>
      <c r="G574" s="1003" t="s">
        <v>1329</v>
      </c>
      <c r="H574" s="1004"/>
      <c r="I574" s="1004"/>
      <c r="J574" s="1004"/>
      <c r="K574" s="1004"/>
      <c r="L574" s="1004"/>
      <c r="M574" s="1004"/>
      <c r="N574" s="1004"/>
      <c r="O574" s="1004"/>
      <c r="P574" s="1004"/>
      <c r="Q574" s="1004"/>
      <c r="R574" s="1004"/>
      <c r="T574" s="4"/>
      <c r="U574" t="s">
        <v>1327</v>
      </c>
      <c r="Z574" s="1003" t="s">
        <v>988</v>
      </c>
      <c r="AA574" s="1004"/>
      <c r="AB574" s="1004"/>
      <c r="AC574" s="1004"/>
      <c r="AD574" s="1004"/>
      <c r="AE574" s="1004"/>
      <c r="AF574" s="1004"/>
      <c r="AG574" s="1004"/>
      <c r="AH574" s="1004"/>
      <c r="AI574" s="1004"/>
      <c r="AJ574" s="1004"/>
      <c r="AK574" s="1004"/>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762</v>
      </c>
      <c r="G575" s="1008" t="s">
        <v>1331</v>
      </c>
      <c r="H575" s="1008"/>
      <c r="I575" s="1008"/>
      <c r="J575" s="1008"/>
      <c r="K575" s="1008"/>
      <c r="L575" s="1008"/>
      <c r="O575" s="806" t="s">
        <v>991</v>
      </c>
      <c r="P575" s="1003"/>
      <c r="Q575" s="1003"/>
      <c r="R575" s="1003"/>
      <c r="T575" s="4"/>
      <c r="U575" t="s">
        <v>762</v>
      </c>
      <c r="Z575" s="1008" t="s">
        <v>990</v>
      </c>
      <c r="AA575" s="1008"/>
      <c r="AB575" s="1008"/>
      <c r="AC575" s="1008"/>
      <c r="AD575" s="1008"/>
      <c r="AE575" s="1008"/>
      <c r="AH575" s="806" t="s">
        <v>991</v>
      </c>
      <c r="AI575" s="1003"/>
      <c r="AJ575" s="1003"/>
      <c r="AK575" s="1003"/>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1332</v>
      </c>
      <c r="H576" s="1005" t="s">
        <v>1334</v>
      </c>
      <c r="I576" s="1005"/>
      <c r="J576" s="1005"/>
      <c r="K576" s="1005"/>
      <c r="L576" s="1005"/>
      <c r="M576" s="1005"/>
      <c r="N576" s="1005"/>
      <c r="O576" s="1005"/>
      <c r="P576" s="1005"/>
      <c r="Q576" s="1005"/>
      <c r="R576" s="1005"/>
      <c r="T576" s="4"/>
      <c r="U576" t="s">
        <v>1332</v>
      </c>
      <c r="AA576" s="1005" t="s">
        <v>1337</v>
      </c>
      <c r="AB576" s="1005"/>
      <c r="AC576" s="1005"/>
      <c r="AD576" s="1005"/>
      <c r="AE576" s="1005"/>
      <c r="AF576" s="1005"/>
      <c r="AG576" s="1005"/>
      <c r="AH576" s="1005"/>
      <c r="AI576" s="1005"/>
      <c r="AJ576" s="1005"/>
      <c r="AK576" s="100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1335</v>
      </c>
      <c r="N577" s="1090" t="s">
        <v>708</v>
      </c>
      <c r="O577" s="1090"/>
      <c r="T577" s="4"/>
      <c r="U577" t="s">
        <v>1335</v>
      </c>
      <c r="AG577" s="1090" t="s">
        <v>708</v>
      </c>
      <c r="AH577" s="1090"/>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1322</v>
      </c>
      <c r="G579" s="1131" t="str">
        <f>C553</f>
        <v>Sponsor Loan - CMF funds</v>
      </c>
      <c r="H579" s="1131"/>
      <c r="I579" s="1131"/>
      <c r="J579" s="1131"/>
      <c r="K579" s="1131"/>
      <c r="L579" s="1131"/>
      <c r="M579" s="1131"/>
      <c r="N579" s="1131"/>
      <c r="O579" s="1131"/>
      <c r="P579" s="1131"/>
      <c r="Q579" s="1131"/>
      <c r="R579" s="1131"/>
      <c r="T579" s="54" t="s">
        <v>1312</v>
      </c>
      <c r="U579" t="s">
        <v>1322</v>
      </c>
      <c r="Z579" s="1131" t="str">
        <f>C554</f>
        <v>Limited Partner Capital Contribution</v>
      </c>
      <c r="AA579" s="1131"/>
      <c r="AB579" s="1131"/>
      <c r="AC579" s="1131"/>
      <c r="AD579" s="1131"/>
      <c r="AE579" s="1131"/>
      <c r="AF579" s="1131"/>
      <c r="AG579" s="1131"/>
      <c r="AH579" s="1131"/>
      <c r="AI579" s="1131"/>
      <c r="AJ579" s="1131"/>
      <c r="AK579" s="1131"/>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981</v>
      </c>
      <c r="G580" s="1002" t="s">
        <v>982</v>
      </c>
      <c r="H580" s="1005"/>
      <c r="I580" s="1005"/>
      <c r="J580" s="1005"/>
      <c r="K580" s="1005"/>
      <c r="L580" s="1005"/>
      <c r="M580" s="1005"/>
      <c r="N580" s="1005"/>
      <c r="O580" s="1005"/>
      <c r="P580" s="1005"/>
      <c r="Q580" s="1005"/>
      <c r="R580" s="1005"/>
      <c r="T580" s="4"/>
      <c r="U580" t="s">
        <v>981</v>
      </c>
      <c r="Z580" s="1002" t="s">
        <v>982</v>
      </c>
      <c r="AA580" s="1005"/>
      <c r="AB580" s="1005"/>
      <c r="AC580" s="1005"/>
      <c r="AD580" s="1005"/>
      <c r="AE580" s="1005"/>
      <c r="AF580" s="1005"/>
      <c r="AG580" s="1005"/>
      <c r="AH580" s="1005"/>
      <c r="AI580" s="1005"/>
      <c r="AJ580" s="1005"/>
      <c r="AK580" s="1005"/>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845</v>
      </c>
      <c r="G581" s="1003" t="s">
        <v>1336</v>
      </c>
      <c r="H581" s="1004"/>
      <c r="I581" s="1004"/>
      <c r="J581" s="1004"/>
      <c r="K581" s="1004"/>
      <c r="L581" s="1004"/>
      <c r="M581" s="1004"/>
      <c r="N581" s="1004"/>
      <c r="O581" s="1004"/>
      <c r="P581" s="1004"/>
      <c r="Q581" s="1004"/>
      <c r="R581" s="1004"/>
      <c r="T581" s="4"/>
      <c r="U581" t="s">
        <v>845</v>
      </c>
      <c r="Z581" s="1003" t="s">
        <v>1336</v>
      </c>
      <c r="AA581" s="1004"/>
      <c r="AB581" s="1004"/>
      <c r="AC581" s="1004"/>
      <c r="AD581" s="1004"/>
      <c r="AE581" s="1004"/>
      <c r="AF581" s="1004"/>
      <c r="AG581" s="1004"/>
      <c r="AH581" s="1004"/>
      <c r="AI581" s="1004"/>
      <c r="AJ581" s="1004"/>
      <c r="AK581" s="100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1327</v>
      </c>
      <c r="G582" s="1003" t="s">
        <v>988</v>
      </c>
      <c r="H582" s="1004"/>
      <c r="I582" s="1004"/>
      <c r="J582" s="1004"/>
      <c r="K582" s="1004"/>
      <c r="L582" s="1004"/>
      <c r="M582" s="1004"/>
      <c r="N582" s="1004"/>
      <c r="O582" s="1004"/>
      <c r="P582" s="1004"/>
      <c r="Q582" s="1004"/>
      <c r="R582" s="1004"/>
      <c r="T582" s="4"/>
      <c r="U582" t="s">
        <v>1327</v>
      </c>
      <c r="Z582" s="1003" t="s">
        <v>988</v>
      </c>
      <c r="AA582" s="1004"/>
      <c r="AB582" s="1004"/>
      <c r="AC582" s="1004"/>
      <c r="AD582" s="1004"/>
      <c r="AE582" s="1004"/>
      <c r="AF582" s="1004"/>
      <c r="AG582" s="1004"/>
      <c r="AH582" s="1004"/>
      <c r="AI582" s="1004"/>
      <c r="AJ582" s="1004"/>
      <c r="AK582" s="100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762</v>
      </c>
      <c r="G583" s="1008" t="s">
        <v>990</v>
      </c>
      <c r="H583" s="1008"/>
      <c r="I583" s="1008"/>
      <c r="J583" s="1008"/>
      <c r="K583" s="1008"/>
      <c r="L583" s="1008"/>
      <c r="O583" s="806" t="s">
        <v>991</v>
      </c>
      <c r="P583" s="1003"/>
      <c r="Q583" s="1003"/>
      <c r="R583" s="1003"/>
      <c r="T583" s="4"/>
      <c r="U583" t="s">
        <v>762</v>
      </c>
      <c r="Z583" s="1008" t="s">
        <v>990</v>
      </c>
      <c r="AA583" s="1008"/>
      <c r="AB583" s="1008"/>
      <c r="AC583" s="1008"/>
      <c r="AD583" s="1008"/>
      <c r="AE583" s="1008"/>
      <c r="AH583" s="806" t="s">
        <v>991</v>
      </c>
      <c r="AI583" s="1003"/>
      <c r="AJ583" s="1003"/>
      <c r="AK583" s="100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1332</v>
      </c>
      <c r="H584" s="1005" t="s">
        <v>1338</v>
      </c>
      <c r="I584" s="1005"/>
      <c r="J584" s="1005"/>
      <c r="K584" s="1005"/>
      <c r="L584" s="1005"/>
      <c r="M584" s="1005"/>
      <c r="N584" s="1005"/>
      <c r="O584" s="1005"/>
      <c r="P584" s="1005"/>
      <c r="Q584" s="1005"/>
      <c r="R584" s="1005"/>
      <c r="T584" s="4"/>
      <c r="U584" t="s">
        <v>1332</v>
      </c>
      <c r="AA584" s="1005" t="s">
        <v>1339</v>
      </c>
      <c r="AB584" s="1005"/>
      <c r="AC584" s="1005"/>
      <c r="AD584" s="1005"/>
      <c r="AE584" s="1005"/>
      <c r="AF584" s="1005"/>
      <c r="AG584" s="1005"/>
      <c r="AH584" s="1005"/>
      <c r="AI584" s="1005"/>
      <c r="AJ584" s="1005"/>
      <c r="AK584" s="100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1335</v>
      </c>
      <c r="N585" s="1090" t="s">
        <v>708</v>
      </c>
      <c r="O585" s="1090"/>
      <c r="T585" s="4"/>
      <c r="U585" t="s">
        <v>1335</v>
      </c>
      <c r="AG585" s="1090" t="s">
        <v>708</v>
      </c>
      <c r="AH585" s="1090"/>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1314</v>
      </c>
      <c r="B587" t="s">
        <v>1322</v>
      </c>
      <c r="G587" s="1131" t="str">
        <f>C555</f>
        <v>Costs deferred Until Conversion</v>
      </c>
      <c r="H587" s="1131"/>
      <c r="I587" s="1131"/>
      <c r="J587" s="1131"/>
      <c r="K587" s="1131"/>
      <c r="L587" s="1131"/>
      <c r="M587" s="1131"/>
      <c r="N587" s="1131"/>
      <c r="O587" s="1131"/>
      <c r="P587" s="1131"/>
      <c r="Q587" s="1131"/>
      <c r="R587" s="1131"/>
      <c r="T587" s="54" t="s">
        <v>1316</v>
      </c>
      <c r="U587" t="s">
        <v>1322</v>
      </c>
      <c r="Z587" s="1131">
        <f>C556</f>
        <v>0</v>
      </c>
      <c r="AA587" s="1131"/>
      <c r="AB587" s="1131"/>
      <c r="AC587" s="1131"/>
      <c r="AD587" s="1131"/>
      <c r="AE587" s="1131"/>
      <c r="AF587" s="1131"/>
      <c r="AG587" s="1131"/>
      <c r="AH587" s="1131"/>
      <c r="AI587" s="1131"/>
      <c r="AJ587" s="1131"/>
      <c r="AK587" s="1131"/>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981</v>
      </c>
      <c r="G588" s="1002" t="s">
        <v>982</v>
      </c>
      <c r="H588" s="1005"/>
      <c r="I588" s="1005"/>
      <c r="J588" s="1005"/>
      <c r="K588" s="1005"/>
      <c r="L588" s="1005"/>
      <c r="M588" s="1005"/>
      <c r="N588" s="1005"/>
      <c r="O588" s="1005"/>
      <c r="P588" s="1005"/>
      <c r="Q588" s="1005"/>
      <c r="R588" s="1005"/>
      <c r="T588" s="4"/>
      <c r="U588" t="s">
        <v>981</v>
      </c>
      <c r="Z588" s="1005"/>
      <c r="AA588" s="1005"/>
      <c r="AB588" s="1005"/>
      <c r="AC588" s="1005"/>
      <c r="AD588" s="1005"/>
      <c r="AE588" s="1005"/>
      <c r="AF588" s="1005"/>
      <c r="AG588" s="1005"/>
      <c r="AH588" s="1005"/>
      <c r="AI588" s="1005"/>
      <c r="AJ588" s="1005"/>
      <c r="AK588" s="1005"/>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845</v>
      </c>
      <c r="C589"/>
      <c r="D589"/>
      <c r="E589"/>
      <c r="F589"/>
      <c r="G589" s="1003" t="s">
        <v>1336</v>
      </c>
      <c r="H589" s="1004"/>
      <c r="I589" s="1004"/>
      <c r="J589" s="1004"/>
      <c r="K589" s="1004"/>
      <c r="L589" s="1004"/>
      <c r="M589" s="1004"/>
      <c r="N589" s="1004"/>
      <c r="O589" s="1004"/>
      <c r="P589" s="1004"/>
      <c r="Q589" s="1004"/>
      <c r="R589" s="1004"/>
      <c r="S589"/>
      <c r="T589" s="4"/>
      <c r="U589" t="s">
        <v>845</v>
      </c>
      <c r="V589"/>
      <c r="W589"/>
      <c r="X589"/>
      <c r="Y589"/>
      <c r="Z589" s="1004"/>
      <c r="AA589" s="1004"/>
      <c r="AB589" s="1004"/>
      <c r="AC589" s="1004"/>
      <c r="AD589" s="1004"/>
      <c r="AE589" s="1004"/>
      <c r="AF589" s="1004"/>
      <c r="AG589" s="1004"/>
      <c r="AH589" s="1004"/>
      <c r="AI589" s="1004"/>
      <c r="AJ589" s="1004"/>
      <c r="AK589" s="1004"/>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1340</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1327</v>
      </c>
      <c r="C590"/>
      <c r="D590"/>
      <c r="E590"/>
      <c r="F590"/>
      <c r="G590" s="1003" t="s">
        <v>988</v>
      </c>
      <c r="H590" s="1004"/>
      <c r="I590" s="1004"/>
      <c r="J590" s="1004"/>
      <c r="K590" s="1004"/>
      <c r="L590" s="1004"/>
      <c r="M590" s="1004"/>
      <c r="N590" s="1004"/>
      <c r="O590" s="1004"/>
      <c r="P590" s="1004"/>
      <c r="Q590" s="1004"/>
      <c r="R590" s="1004"/>
      <c r="S590"/>
      <c r="T590" s="4"/>
      <c r="U590" t="s">
        <v>1327</v>
      </c>
      <c r="V590"/>
      <c r="W590"/>
      <c r="X590"/>
      <c r="Y590"/>
      <c r="Z590" s="1004"/>
      <c r="AA590" s="1004"/>
      <c r="AB590" s="1004"/>
      <c r="AC590" s="1004"/>
      <c r="AD590" s="1004"/>
      <c r="AE590" s="1004"/>
      <c r="AF590" s="1004"/>
      <c r="AG590" s="1004"/>
      <c r="AH590" s="1004"/>
      <c r="AI590" s="1004"/>
      <c r="AJ590" s="1004"/>
      <c r="AK590" s="1004"/>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27" t="s">
        <v>1341</v>
      </c>
      <c r="BO590" s="727"/>
      <c r="BP590" s="727"/>
      <c r="BQ590" s="155"/>
      <c r="BR590" s="728"/>
      <c r="BS590" s="727" t="s">
        <v>1342</v>
      </c>
      <c r="BT590" s="727"/>
      <c r="BU590" s="727"/>
      <c r="BV590" s="155"/>
      <c r="BW590" s="728"/>
      <c r="BX590" s="728" t="s">
        <v>1343</v>
      </c>
      <c r="BY590" s="727"/>
      <c r="BZ590" s="727"/>
      <c r="CA590" s="727"/>
      <c r="CB590" s="727"/>
      <c r="CC590" s="727" t="s">
        <v>1344</v>
      </c>
      <c r="CD590" s="727"/>
      <c r="CE590" s="727"/>
      <c r="CF590" s="727"/>
      <c r="CG590" s="727"/>
      <c r="CH590" s="727" t="s">
        <v>1345</v>
      </c>
      <c r="CI590" s="727"/>
      <c r="CJ590" s="727"/>
      <c r="CK590" s="727"/>
      <c r="CL590" s="727"/>
      <c r="CM590" s="727" t="s">
        <v>1346</v>
      </c>
      <c r="CN590" s="727"/>
      <c r="CO590" s="727"/>
      <c r="CP590" s="155"/>
      <c r="CQ590" s="728"/>
      <c r="CR590" s="37"/>
      <c r="CS590" s="37" t="s">
        <v>1347</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762</v>
      </c>
      <c r="C591"/>
      <c r="D591"/>
      <c r="E591"/>
      <c r="F591"/>
      <c r="G591" s="1008" t="s">
        <v>990</v>
      </c>
      <c r="H591" s="1008"/>
      <c r="I591" s="1008"/>
      <c r="J591" s="1008"/>
      <c r="K591" s="1008"/>
      <c r="L591" s="1008"/>
      <c r="M591"/>
      <c r="N591"/>
      <c r="O591" s="806" t="s">
        <v>991</v>
      </c>
      <c r="P591" s="1003"/>
      <c r="Q591" s="1003"/>
      <c r="R591" s="1003"/>
      <c r="S591"/>
      <c r="T591" s="4"/>
      <c r="U591" t="s">
        <v>762</v>
      </c>
      <c r="V591"/>
      <c r="W591"/>
      <c r="X591"/>
      <c r="Y591"/>
      <c r="Z591" s="1008"/>
      <c r="AA591" s="1008"/>
      <c r="AB591" s="1008"/>
      <c r="AC591" s="1008"/>
      <c r="AD591" s="1008"/>
      <c r="AE591" s="1008"/>
      <c r="AF591"/>
      <c r="AG591"/>
      <c r="AH591" s="806" t="s">
        <v>991</v>
      </c>
      <c r="AI591" s="1003"/>
      <c r="AJ591" s="1003"/>
      <c r="AK591" s="1003"/>
      <c r="AL591"/>
      <c r="AM591" s="37"/>
      <c r="AN591" s="37"/>
      <c r="AO591" s="37"/>
      <c r="AP591" s="37"/>
      <c r="AQ591" s="37"/>
      <c r="AR591" s="37"/>
      <c r="AS591" s="37"/>
      <c r="AT591" s="37"/>
      <c r="AU591" s="37"/>
      <c r="AV591" s="37"/>
      <c r="AW591" s="37"/>
      <c r="AX591" s="37"/>
      <c r="AY591" s="37"/>
      <c r="AZ591" s="37" t="s">
        <v>1348</v>
      </c>
      <c r="BA591" s="37"/>
      <c r="BB591" s="37"/>
      <c r="BC591" s="37"/>
      <c r="BD591" s="37"/>
      <c r="BE591" s="180" t="s">
        <v>1349</v>
      </c>
      <c r="BF591" s="181"/>
      <c r="BG591" s="1018"/>
      <c r="BH591" s="1021"/>
      <c r="BI591" s="180" t="s">
        <v>1350</v>
      </c>
      <c r="BJ591" s="181"/>
      <c r="BK591" s="1018"/>
      <c r="BL591" s="1021"/>
      <c r="BM591" s="37"/>
      <c r="BN591" s="1018">
        <f t="shared" ref="BN591" si="1">IF(B695="SRO/Studio",G695,0)</f>
        <v>0</v>
      </c>
      <c r="BO591" s="1019"/>
      <c r="BP591" s="1019"/>
      <c r="BQ591" s="1019"/>
      <c r="BR591" s="1020"/>
      <c r="BS591" s="1018">
        <f t="shared" ref="BS591" si="2">IF(B695="1 Bedroom",G695,0)</f>
        <v>3</v>
      </c>
      <c r="BT591" s="1019"/>
      <c r="BU591" s="1019"/>
      <c r="BV591" s="1019"/>
      <c r="BW591" s="1021"/>
      <c r="BX591" s="1018">
        <f t="shared" ref="BX591" si="3">IF(B695="2 Bedrooms",G695,0)</f>
        <v>0</v>
      </c>
      <c r="BY591" s="1019"/>
      <c r="BZ591" s="1019"/>
      <c r="CA591" s="1019"/>
      <c r="CB591" s="1021"/>
      <c r="CC591" s="1018">
        <f t="shared" ref="CC591" si="4">IF(B695="3 Bedrooms",G695,0)</f>
        <v>0</v>
      </c>
      <c r="CD591" s="1019"/>
      <c r="CE591" s="1019"/>
      <c r="CF591" s="1019"/>
      <c r="CG591" s="1021"/>
      <c r="CH591" s="1018">
        <f t="shared" ref="CH591" si="5">IF(B695="4 Bedrooms",G695,0)</f>
        <v>0</v>
      </c>
      <c r="CI591" s="1019"/>
      <c r="CJ591" s="1019"/>
      <c r="CK591" s="1019"/>
      <c r="CL591" s="1021"/>
      <c r="CM591" s="1022">
        <f t="shared" ref="CM591" si="6">IF(B695="5 Bedrooms",G695,0)</f>
        <v>0</v>
      </c>
      <c r="CN591" s="1023"/>
      <c r="CO591" s="1023"/>
      <c r="CP591" s="1023"/>
      <c r="CQ591" s="1020"/>
      <c r="CR591" s="37"/>
      <c r="CS591" s="727" t="s">
        <v>1341</v>
      </c>
      <c r="CT591" s="727"/>
      <c r="CU591" s="727"/>
      <c r="CV591" s="727"/>
      <c r="CW591" s="727"/>
      <c r="CX591" s="727" t="s">
        <v>1342</v>
      </c>
      <c r="CY591" s="727"/>
      <c r="CZ591" s="155"/>
      <c r="DA591" s="156"/>
      <c r="DB591" s="728"/>
      <c r="DC591" s="727" t="s">
        <v>1343</v>
      </c>
      <c r="DD591" s="727"/>
      <c r="DE591" s="727"/>
      <c r="DF591" s="727"/>
      <c r="DG591" s="727"/>
      <c r="DH591" s="727" t="s">
        <v>1344</v>
      </c>
      <c r="DI591" s="727"/>
      <c r="DJ591" s="727"/>
      <c r="DK591" s="727"/>
      <c r="DL591" s="727"/>
      <c r="DM591" s="727" t="s">
        <v>1351</v>
      </c>
      <c r="DN591" s="727"/>
      <c r="DO591" s="727"/>
      <c r="DP591" s="727"/>
      <c r="DQ591" s="727"/>
      <c r="DR591" s="727" t="s">
        <v>1352</v>
      </c>
      <c r="DS591" s="727"/>
      <c r="DT591" s="727"/>
      <c r="DU591" s="727"/>
      <c r="DV591" s="727"/>
    </row>
    <row r="592" spans="1:126" s="5" customFormat="1" ht="12.9" customHeight="1">
      <c r="A592" s="4"/>
      <c r="B592" t="s">
        <v>1332</v>
      </c>
      <c r="C592"/>
      <c r="D592"/>
      <c r="E592"/>
      <c r="F592"/>
      <c r="G592"/>
      <c r="H592" s="1005"/>
      <c r="I592" s="1005"/>
      <c r="J592" s="1005"/>
      <c r="K592" s="1005"/>
      <c r="L592" s="1005"/>
      <c r="M592" s="1005"/>
      <c r="N592" s="1005"/>
      <c r="O592" s="1005"/>
      <c r="P592" s="1005"/>
      <c r="Q592" s="1005"/>
      <c r="R592" s="1005"/>
      <c r="S592"/>
      <c r="T592" s="4"/>
      <c r="U592" t="s">
        <v>1332</v>
      </c>
      <c r="V592"/>
      <c r="W592"/>
      <c r="X592"/>
      <c r="Y592"/>
      <c r="Z592"/>
      <c r="AA592" s="1005"/>
      <c r="AB592" s="1005"/>
      <c r="AC592" s="1005"/>
      <c r="AD592" s="1005"/>
      <c r="AE592" s="1005"/>
      <c r="AF592" s="1005"/>
      <c r="AG592" s="1005"/>
      <c r="AH592" s="1005"/>
      <c r="AI592" s="1005"/>
      <c r="AJ592" s="1005"/>
      <c r="AK592" s="1005"/>
      <c r="AL592"/>
      <c r="AM592" s="37"/>
      <c r="AN592" s="37"/>
      <c r="AO592" s="37"/>
      <c r="AP592" s="37"/>
      <c r="AQ592" s="37"/>
      <c r="AR592" s="37"/>
      <c r="AS592" s="37"/>
      <c r="AT592" s="37"/>
      <c r="AU592" s="37"/>
      <c r="AV592" s="37"/>
      <c r="AW592" s="37"/>
      <c r="AX592" s="37"/>
      <c r="AY592" s="37"/>
      <c r="AZ592" s="37" t="s">
        <v>1342</v>
      </c>
      <c r="BA592" s="37"/>
      <c r="BB592" s="37"/>
      <c r="BC592" s="37"/>
      <c r="BD592" s="37"/>
      <c r="BE592" s="1018">
        <f>IF(AND(AH695&lt;=0.5,AH695&gt;=0.36),1,0)</f>
        <v>0</v>
      </c>
      <c r="BF592" s="1021"/>
      <c r="BG592" s="1018">
        <f t="shared" ref="BG592:BG615" si="7">IF(BE592=1,G695,0)</f>
        <v>0</v>
      </c>
      <c r="BH592" s="1021"/>
      <c r="BI592" s="1018">
        <f>IF(AND(AH695&lt;=0.35,AH695&gt;0),1,0)</f>
        <v>1</v>
      </c>
      <c r="BJ592" s="1021"/>
      <c r="BK592" s="1018">
        <f t="shared" ref="BK592:BK615" si="8">IF(BI592=1,G695,0)</f>
        <v>3</v>
      </c>
      <c r="BL592" s="1021"/>
      <c r="BM592" s="37"/>
      <c r="BN592" s="1018">
        <f t="shared" ref="BN592:BN625" si="9">IF(B696="SRO/Studio",G696,0)</f>
        <v>0</v>
      </c>
      <c r="BO592" s="1019"/>
      <c r="BP592" s="1019"/>
      <c r="BQ592" s="1019"/>
      <c r="BR592" s="1020"/>
      <c r="BS592" s="1018">
        <f t="shared" ref="BS592:BS625" si="10">IF(B696="1 Bedroom",G696,0)</f>
        <v>4</v>
      </c>
      <c r="BT592" s="1019"/>
      <c r="BU592" s="1019"/>
      <c r="BV592" s="1019"/>
      <c r="BW592" s="1021"/>
      <c r="BX592" s="1018">
        <f t="shared" ref="BX592:BX625" si="11">IF(B696="2 Bedrooms",G696,0)</f>
        <v>0</v>
      </c>
      <c r="BY592" s="1019"/>
      <c r="BZ592" s="1019"/>
      <c r="CA592" s="1019"/>
      <c r="CB592" s="1021"/>
      <c r="CC592" s="1018">
        <f t="shared" ref="CC592:CC625" si="12">IF(B696="3 Bedrooms",G696,0)</f>
        <v>0</v>
      </c>
      <c r="CD592" s="1019"/>
      <c r="CE592" s="1019"/>
      <c r="CF592" s="1019"/>
      <c r="CG592" s="1021"/>
      <c r="CH592" s="1018">
        <f t="shared" ref="CH592:CH625" si="13">IF(B696="4 Bedrooms",G696,0)</f>
        <v>0</v>
      </c>
      <c r="CI592" s="1019"/>
      <c r="CJ592" s="1019"/>
      <c r="CK592" s="1019"/>
      <c r="CL592" s="1021"/>
      <c r="CM592" s="1022">
        <f t="shared" ref="CM592:CM625" si="14">IF(B696="5 Bedrooms",G696,0)</f>
        <v>0</v>
      </c>
      <c r="CN592" s="1023"/>
      <c r="CO592" s="1023"/>
      <c r="CP592" s="1023"/>
      <c r="CQ592" s="1020"/>
      <c r="CR592" s="37"/>
      <c r="CS592" s="1015">
        <f>IF(AND(B695="SRO/Studio",AH695&lt;=0.3),G695,0)</f>
        <v>0</v>
      </c>
      <c r="CT592" s="1016"/>
      <c r="CU592" s="1016"/>
      <c r="CV592" s="1016"/>
      <c r="CW592" s="1017"/>
      <c r="CX592" s="1015">
        <f>IF(AND(B695="1 Bedroom",AH695&lt;=0.3),G695,0)</f>
        <v>3</v>
      </c>
      <c r="CY592" s="1016"/>
      <c r="CZ592" s="1016"/>
      <c r="DA592" s="1016"/>
      <c r="DB592" s="1017"/>
      <c r="DC592" s="1015">
        <f>IF(AND(B695="2 Bedrooms",AH695&lt;=0.3),G695,0)</f>
        <v>0</v>
      </c>
      <c r="DD592" s="1016"/>
      <c r="DE592" s="1016"/>
      <c r="DF592" s="1016"/>
      <c r="DG592" s="1017"/>
      <c r="DH592" s="1015">
        <f>IF(AND(B695="3 Bedrooms",AH695&lt;=0.3),G695,0)</f>
        <v>0</v>
      </c>
      <c r="DI592" s="1016"/>
      <c r="DJ592" s="1016"/>
      <c r="DK592" s="1016"/>
      <c r="DL592" s="1017"/>
      <c r="DM592" s="1015">
        <f>IF(AND(B695="4 Bedrooms",AH695&lt;=0.3),G695,0)</f>
        <v>0</v>
      </c>
      <c r="DN592" s="1016"/>
      <c r="DO592" s="1016"/>
      <c r="DP592" s="1016"/>
      <c r="DQ592" s="1017"/>
      <c r="DR592" s="1015">
        <f>IF(AND(B695="5 Bedrooms",AH695&lt;=0.3),G695,0)</f>
        <v>0</v>
      </c>
      <c r="DS592" s="1016"/>
      <c r="DT592" s="1016"/>
      <c r="DU592" s="1016"/>
      <c r="DV592" s="1017"/>
    </row>
    <row r="593" spans="1:126" s="5" customFormat="1" ht="12.9" customHeight="1">
      <c r="A593" s="4"/>
      <c r="B593" t="s">
        <v>1335</v>
      </c>
      <c r="C593"/>
      <c r="D593"/>
      <c r="E593"/>
      <c r="F593"/>
      <c r="G593"/>
      <c r="H593"/>
      <c r="I593"/>
      <c r="J593"/>
      <c r="K593"/>
      <c r="L593"/>
      <c r="M593"/>
      <c r="N593" s="1090" t="s">
        <v>708</v>
      </c>
      <c r="O593" s="1090"/>
      <c r="P593"/>
      <c r="Q593"/>
      <c r="R593"/>
      <c r="S593"/>
      <c r="T593" s="4"/>
      <c r="U593" t="s">
        <v>1335</v>
      </c>
      <c r="V593"/>
      <c r="W593"/>
      <c r="X593"/>
      <c r="Y593"/>
      <c r="Z593"/>
      <c r="AA593"/>
      <c r="AB593"/>
      <c r="AC593"/>
      <c r="AD593"/>
      <c r="AE593"/>
      <c r="AF593"/>
      <c r="AG593" s="1090" t="s">
        <v>759</v>
      </c>
      <c r="AH593" s="1090"/>
      <c r="AI593"/>
      <c r="AJ593"/>
      <c r="AK593"/>
      <c r="AL593"/>
      <c r="AM593" s="37"/>
      <c r="AN593" s="37"/>
      <c r="AO593" s="37"/>
      <c r="AP593" s="37"/>
      <c r="AQ593" s="37"/>
      <c r="AR593" s="37"/>
      <c r="AS593" s="37"/>
      <c r="AT593" s="37"/>
      <c r="AU593" s="37"/>
      <c r="AV593" s="37"/>
      <c r="AW593" s="37"/>
      <c r="AX593" s="37"/>
      <c r="AY593" s="37"/>
      <c r="AZ593" s="37" t="s">
        <v>1343</v>
      </c>
      <c r="BA593" s="37"/>
      <c r="BB593" s="37"/>
      <c r="BC593" s="37"/>
      <c r="BD593" s="37"/>
      <c r="BE593" s="1018">
        <f t="shared" ref="BE593:BE615" si="15">IF(AND(AH696&lt;=0.5,AH696&gt;=0.36),1,0)</f>
        <v>1</v>
      </c>
      <c r="BF593" s="1021"/>
      <c r="BG593" s="1018">
        <f t="shared" si="7"/>
        <v>4</v>
      </c>
      <c r="BH593" s="1021"/>
      <c r="BI593" s="1018">
        <f t="shared" ref="BI593:BI615" si="16">IF(AND(AH696&lt;=0.35,AH696&gt;0),1,0)</f>
        <v>0</v>
      </c>
      <c r="BJ593" s="1021"/>
      <c r="BK593" s="1018">
        <f t="shared" si="8"/>
        <v>0</v>
      </c>
      <c r="BL593" s="1021"/>
      <c r="BM593" s="37"/>
      <c r="BN593" s="1018">
        <f t="shared" si="9"/>
        <v>0</v>
      </c>
      <c r="BO593" s="1019"/>
      <c r="BP593" s="1019"/>
      <c r="BQ593" s="1019"/>
      <c r="BR593" s="1020"/>
      <c r="BS593" s="1018">
        <f t="shared" si="10"/>
        <v>15</v>
      </c>
      <c r="BT593" s="1019"/>
      <c r="BU593" s="1019"/>
      <c r="BV593" s="1019"/>
      <c r="BW593" s="1021"/>
      <c r="BX593" s="1018">
        <f t="shared" si="11"/>
        <v>0</v>
      </c>
      <c r="BY593" s="1019"/>
      <c r="BZ593" s="1019"/>
      <c r="CA593" s="1019"/>
      <c r="CB593" s="1021"/>
      <c r="CC593" s="1018">
        <f t="shared" si="12"/>
        <v>0</v>
      </c>
      <c r="CD593" s="1019"/>
      <c r="CE593" s="1019"/>
      <c r="CF593" s="1019"/>
      <c r="CG593" s="1021"/>
      <c r="CH593" s="1018">
        <f t="shared" si="13"/>
        <v>0</v>
      </c>
      <c r="CI593" s="1019"/>
      <c r="CJ593" s="1019"/>
      <c r="CK593" s="1019"/>
      <c r="CL593" s="1021"/>
      <c r="CM593" s="1022">
        <f t="shared" si="14"/>
        <v>0</v>
      </c>
      <c r="CN593" s="1023"/>
      <c r="CO593" s="1023"/>
      <c r="CP593" s="1023"/>
      <c r="CQ593" s="1020"/>
      <c r="CR593" s="37"/>
      <c r="CS593" s="1015">
        <f t="shared" ref="CS593:CS615" si="17">IF(AND(B696="SRO/Studio",AH696&lt;=0.3),G696,0)</f>
        <v>0</v>
      </c>
      <c r="CT593" s="1016"/>
      <c r="CU593" s="1016"/>
      <c r="CV593" s="1016"/>
      <c r="CW593" s="1017"/>
      <c r="CX593" s="1015">
        <f t="shared" ref="CX593:CX615" si="18">IF(AND(B696="1 Bedroom",AH696&lt;=0.3),G696,0)</f>
        <v>0</v>
      </c>
      <c r="CY593" s="1016"/>
      <c r="CZ593" s="1016"/>
      <c r="DA593" s="1016"/>
      <c r="DB593" s="1017"/>
      <c r="DC593" s="1015">
        <f t="shared" ref="DC593:DC615" si="19">IF(AND(B696="2 Bedrooms",AH696&lt;=0.3),G696,0)</f>
        <v>0</v>
      </c>
      <c r="DD593" s="1016"/>
      <c r="DE593" s="1016"/>
      <c r="DF593" s="1016"/>
      <c r="DG593" s="1017"/>
      <c r="DH593" s="1015">
        <f t="shared" ref="DH593:DH615" si="20">IF(AND(B696="3 Bedrooms",AH696&lt;=0.3),G696,0)</f>
        <v>0</v>
      </c>
      <c r="DI593" s="1016"/>
      <c r="DJ593" s="1016"/>
      <c r="DK593" s="1016"/>
      <c r="DL593" s="1017"/>
      <c r="DM593" s="1015">
        <f t="shared" ref="DM593:DM615" si="21">IF(AND(B696="4 Bedrooms",AH696&lt;=0.3),G696,0)</f>
        <v>0</v>
      </c>
      <c r="DN593" s="1016"/>
      <c r="DO593" s="1016"/>
      <c r="DP593" s="1016"/>
      <c r="DQ593" s="1017"/>
      <c r="DR593" s="1015">
        <f t="shared" ref="DR593:DR615" si="22">IF(AND(B696="5 Bedrooms",AH696&lt;=0.3),G696,0)</f>
        <v>0</v>
      </c>
      <c r="DS593" s="1016"/>
      <c r="DT593" s="1016"/>
      <c r="DU593" s="1016"/>
      <c r="DV593" s="1017"/>
    </row>
    <row r="594" spans="1:126" ht="12.9" customHeight="1">
      <c r="AZ594" s="37" t="s">
        <v>1344</v>
      </c>
      <c r="BA594" s="37"/>
      <c r="BB594" s="37"/>
      <c r="BC594" s="37"/>
      <c r="BD594" s="37"/>
      <c r="BE594" s="1018">
        <f t="shared" si="15"/>
        <v>1</v>
      </c>
      <c r="BF594" s="1021"/>
      <c r="BG594" s="1018">
        <f t="shared" si="7"/>
        <v>15</v>
      </c>
      <c r="BH594" s="1021"/>
      <c r="BI594" s="1018">
        <f t="shared" si="16"/>
        <v>0</v>
      </c>
      <c r="BJ594" s="1021"/>
      <c r="BK594" s="1018">
        <f t="shared" si="8"/>
        <v>0</v>
      </c>
      <c r="BL594" s="1021"/>
      <c r="BN594" s="1018">
        <f t="shared" si="9"/>
        <v>0</v>
      </c>
      <c r="BO594" s="1019"/>
      <c r="BP594" s="1019"/>
      <c r="BQ594" s="1019"/>
      <c r="BR594" s="1020"/>
      <c r="BS594" s="1018">
        <f t="shared" si="10"/>
        <v>0</v>
      </c>
      <c r="BT594" s="1019"/>
      <c r="BU594" s="1019"/>
      <c r="BV594" s="1019"/>
      <c r="BW594" s="1021"/>
      <c r="BX594" s="1018">
        <f t="shared" si="11"/>
        <v>0</v>
      </c>
      <c r="BY594" s="1019"/>
      <c r="BZ594" s="1019"/>
      <c r="CA594" s="1019"/>
      <c r="CB594" s="1021"/>
      <c r="CC594" s="1018">
        <f t="shared" si="12"/>
        <v>0</v>
      </c>
      <c r="CD594" s="1019"/>
      <c r="CE594" s="1019"/>
      <c r="CF594" s="1019"/>
      <c r="CG594" s="1021"/>
      <c r="CH594" s="1018">
        <f t="shared" si="13"/>
        <v>0</v>
      </c>
      <c r="CI594" s="1019"/>
      <c r="CJ594" s="1019"/>
      <c r="CK594" s="1019"/>
      <c r="CL594" s="1021"/>
      <c r="CM594" s="1022">
        <f t="shared" si="14"/>
        <v>0</v>
      </c>
      <c r="CN594" s="1023"/>
      <c r="CO594" s="1023"/>
      <c r="CP594" s="1023"/>
      <c r="CQ594" s="1020"/>
      <c r="CS594" s="1015">
        <f t="shared" si="17"/>
        <v>0</v>
      </c>
      <c r="CT594" s="1016"/>
      <c r="CU594" s="1016"/>
      <c r="CV594" s="1016"/>
      <c r="CW594" s="1017"/>
      <c r="CX594" s="1015">
        <f t="shared" si="18"/>
        <v>0</v>
      </c>
      <c r="CY594" s="1016"/>
      <c r="CZ594" s="1016"/>
      <c r="DA594" s="1016"/>
      <c r="DB594" s="1017"/>
      <c r="DC594" s="1015">
        <f t="shared" si="19"/>
        <v>0</v>
      </c>
      <c r="DD594" s="1016"/>
      <c r="DE594" s="1016"/>
      <c r="DF594" s="1016"/>
      <c r="DG594" s="1017"/>
      <c r="DH594" s="1015">
        <f t="shared" si="20"/>
        <v>0</v>
      </c>
      <c r="DI594" s="1016"/>
      <c r="DJ594" s="1016"/>
      <c r="DK594" s="1016"/>
      <c r="DL594" s="1017"/>
      <c r="DM594" s="1015">
        <f t="shared" si="21"/>
        <v>0</v>
      </c>
      <c r="DN594" s="1016"/>
      <c r="DO594" s="1016"/>
      <c r="DP594" s="1016"/>
      <c r="DQ594" s="1017"/>
      <c r="DR594" s="1015">
        <f t="shared" si="22"/>
        <v>0</v>
      </c>
      <c r="DS594" s="1016"/>
      <c r="DT594" s="1016"/>
      <c r="DU594" s="1016"/>
      <c r="DV594" s="1017"/>
    </row>
    <row r="595" spans="1:126" ht="12.9" customHeight="1">
      <c r="A595" s="54" t="s">
        <v>1317</v>
      </c>
      <c r="B595" t="s">
        <v>1322</v>
      </c>
      <c r="G595" s="1131">
        <f>C557</f>
        <v>0</v>
      </c>
      <c r="H595" s="1131"/>
      <c r="I595" s="1131"/>
      <c r="J595" s="1131"/>
      <c r="K595" s="1131"/>
      <c r="L595" s="1131"/>
      <c r="M595" s="1131"/>
      <c r="N595" s="1131"/>
      <c r="O595" s="1131"/>
      <c r="P595" s="1131"/>
      <c r="Q595" s="1131"/>
      <c r="R595" s="1131"/>
      <c r="T595" s="54" t="s">
        <v>1318</v>
      </c>
      <c r="U595" t="s">
        <v>1322</v>
      </c>
      <c r="Z595" s="1131">
        <f>C558</f>
        <v>0</v>
      </c>
      <c r="AA595" s="1131"/>
      <c r="AB595" s="1131"/>
      <c r="AC595" s="1131"/>
      <c r="AD595" s="1131"/>
      <c r="AE595" s="1131"/>
      <c r="AF595" s="1131"/>
      <c r="AG595" s="1131"/>
      <c r="AH595" s="1131"/>
      <c r="AI595" s="1131"/>
      <c r="AJ595" s="1131"/>
      <c r="AK595" s="1131"/>
      <c r="AZ595" s="37" t="s">
        <v>1345</v>
      </c>
      <c r="BA595" s="37"/>
      <c r="BB595" s="37"/>
      <c r="BC595" s="37"/>
      <c r="BD595" s="37"/>
      <c r="BE595" s="1018">
        <f t="shared" si="15"/>
        <v>0</v>
      </c>
      <c r="BF595" s="1021"/>
      <c r="BG595" s="1018">
        <f t="shared" si="7"/>
        <v>0</v>
      </c>
      <c r="BH595" s="1021"/>
      <c r="BI595" s="1018">
        <f t="shared" si="16"/>
        <v>0</v>
      </c>
      <c r="BJ595" s="1021"/>
      <c r="BK595" s="1018">
        <f t="shared" si="8"/>
        <v>0</v>
      </c>
      <c r="BL595" s="1021"/>
      <c r="BN595" s="1018">
        <f t="shared" si="9"/>
        <v>0</v>
      </c>
      <c r="BO595" s="1019"/>
      <c r="BP595" s="1019"/>
      <c r="BQ595" s="1019"/>
      <c r="BR595" s="1020"/>
      <c r="BS595" s="1018">
        <f t="shared" si="10"/>
        <v>0</v>
      </c>
      <c r="BT595" s="1019"/>
      <c r="BU595" s="1019"/>
      <c r="BV595" s="1019"/>
      <c r="BW595" s="1021"/>
      <c r="BX595" s="1018">
        <f t="shared" si="11"/>
        <v>0</v>
      </c>
      <c r="BY595" s="1019"/>
      <c r="BZ595" s="1019"/>
      <c r="CA595" s="1019"/>
      <c r="CB595" s="1021"/>
      <c r="CC595" s="1018">
        <f t="shared" si="12"/>
        <v>0</v>
      </c>
      <c r="CD595" s="1019"/>
      <c r="CE595" s="1019"/>
      <c r="CF595" s="1019"/>
      <c r="CG595" s="1021"/>
      <c r="CH595" s="1018">
        <f t="shared" si="13"/>
        <v>0</v>
      </c>
      <c r="CI595" s="1019"/>
      <c r="CJ595" s="1019"/>
      <c r="CK595" s="1019"/>
      <c r="CL595" s="1021"/>
      <c r="CM595" s="1022">
        <f t="shared" si="14"/>
        <v>0</v>
      </c>
      <c r="CN595" s="1023"/>
      <c r="CO595" s="1023"/>
      <c r="CP595" s="1023"/>
      <c r="CQ595" s="1020"/>
      <c r="CS595" s="1015">
        <f t="shared" si="17"/>
        <v>0</v>
      </c>
      <c r="CT595" s="1016"/>
      <c r="CU595" s="1016"/>
      <c r="CV595" s="1016"/>
      <c r="CW595" s="1017"/>
      <c r="CX595" s="1015">
        <f t="shared" si="18"/>
        <v>0</v>
      </c>
      <c r="CY595" s="1016"/>
      <c r="CZ595" s="1016"/>
      <c r="DA595" s="1016"/>
      <c r="DB595" s="1017"/>
      <c r="DC595" s="1015">
        <f t="shared" si="19"/>
        <v>0</v>
      </c>
      <c r="DD595" s="1016"/>
      <c r="DE595" s="1016"/>
      <c r="DF595" s="1016"/>
      <c r="DG595" s="1017"/>
      <c r="DH595" s="1015">
        <f t="shared" si="20"/>
        <v>0</v>
      </c>
      <c r="DI595" s="1016"/>
      <c r="DJ595" s="1016"/>
      <c r="DK595" s="1016"/>
      <c r="DL595" s="1017"/>
      <c r="DM595" s="1015">
        <f t="shared" si="21"/>
        <v>0</v>
      </c>
      <c r="DN595" s="1016"/>
      <c r="DO595" s="1016"/>
      <c r="DP595" s="1016"/>
      <c r="DQ595" s="1017"/>
      <c r="DR595" s="1015">
        <f t="shared" si="22"/>
        <v>0</v>
      </c>
      <c r="DS595" s="1016"/>
      <c r="DT595" s="1016"/>
      <c r="DU595" s="1016"/>
      <c r="DV595" s="1017"/>
    </row>
    <row r="596" spans="1:126" ht="12.9" customHeight="1">
      <c r="A596" s="4"/>
      <c r="B596" t="s">
        <v>981</v>
      </c>
      <c r="G596" s="1005"/>
      <c r="H596" s="1005"/>
      <c r="I596" s="1005"/>
      <c r="J596" s="1005"/>
      <c r="K596" s="1005"/>
      <c r="L596" s="1005"/>
      <c r="M596" s="1005"/>
      <c r="N596" s="1005"/>
      <c r="O596" s="1005"/>
      <c r="P596" s="1005"/>
      <c r="Q596" s="1005"/>
      <c r="R596" s="1005"/>
      <c r="T596" s="4"/>
      <c r="U596" t="s">
        <v>981</v>
      </c>
      <c r="Z596" s="1005"/>
      <c r="AA596" s="1005"/>
      <c r="AB596" s="1005"/>
      <c r="AC596" s="1005"/>
      <c r="AD596" s="1005"/>
      <c r="AE596" s="1005"/>
      <c r="AF596" s="1005"/>
      <c r="AG596" s="1005"/>
      <c r="AH596" s="1005"/>
      <c r="AI596" s="1005"/>
      <c r="AJ596" s="1005"/>
      <c r="AK596" s="1005"/>
      <c r="AZ596" s="37" t="s">
        <v>1352</v>
      </c>
      <c r="BA596" s="37"/>
      <c r="BB596" s="37"/>
      <c r="BC596" s="37"/>
      <c r="BD596" s="37"/>
      <c r="BE596" s="1018">
        <f t="shared" si="15"/>
        <v>0</v>
      </c>
      <c r="BF596" s="1021"/>
      <c r="BG596" s="1018">
        <f t="shared" si="7"/>
        <v>0</v>
      </c>
      <c r="BH596" s="1021"/>
      <c r="BI596" s="1018">
        <f t="shared" si="16"/>
        <v>0</v>
      </c>
      <c r="BJ596" s="1021"/>
      <c r="BK596" s="1018">
        <f t="shared" si="8"/>
        <v>0</v>
      </c>
      <c r="BL596" s="1021"/>
      <c r="BN596" s="1018">
        <f t="shared" si="9"/>
        <v>0</v>
      </c>
      <c r="BO596" s="1019"/>
      <c r="BP596" s="1019"/>
      <c r="BQ596" s="1019"/>
      <c r="BR596" s="1020"/>
      <c r="BS596" s="1018">
        <f t="shared" si="10"/>
        <v>0</v>
      </c>
      <c r="BT596" s="1019"/>
      <c r="BU596" s="1019"/>
      <c r="BV596" s="1019"/>
      <c r="BW596" s="1021"/>
      <c r="BX596" s="1018">
        <f t="shared" si="11"/>
        <v>0</v>
      </c>
      <c r="BY596" s="1019"/>
      <c r="BZ596" s="1019"/>
      <c r="CA596" s="1019"/>
      <c r="CB596" s="1021"/>
      <c r="CC596" s="1018">
        <f t="shared" si="12"/>
        <v>0</v>
      </c>
      <c r="CD596" s="1019"/>
      <c r="CE596" s="1019"/>
      <c r="CF596" s="1019"/>
      <c r="CG596" s="1021"/>
      <c r="CH596" s="1018">
        <f t="shared" si="13"/>
        <v>0</v>
      </c>
      <c r="CI596" s="1019"/>
      <c r="CJ596" s="1019"/>
      <c r="CK596" s="1019"/>
      <c r="CL596" s="1021"/>
      <c r="CM596" s="1022">
        <f t="shared" si="14"/>
        <v>0</v>
      </c>
      <c r="CN596" s="1023"/>
      <c r="CO596" s="1023"/>
      <c r="CP596" s="1023"/>
      <c r="CQ596" s="1020"/>
      <c r="CS596" s="1015">
        <f t="shared" si="17"/>
        <v>0</v>
      </c>
      <c r="CT596" s="1016"/>
      <c r="CU596" s="1016"/>
      <c r="CV596" s="1016"/>
      <c r="CW596" s="1017"/>
      <c r="CX596" s="1015">
        <f t="shared" si="18"/>
        <v>0</v>
      </c>
      <c r="CY596" s="1016"/>
      <c r="CZ596" s="1016"/>
      <c r="DA596" s="1016"/>
      <c r="DB596" s="1017"/>
      <c r="DC596" s="1015">
        <f t="shared" si="19"/>
        <v>0</v>
      </c>
      <c r="DD596" s="1016"/>
      <c r="DE596" s="1016"/>
      <c r="DF596" s="1016"/>
      <c r="DG596" s="1017"/>
      <c r="DH596" s="1015">
        <f t="shared" si="20"/>
        <v>0</v>
      </c>
      <c r="DI596" s="1016"/>
      <c r="DJ596" s="1016"/>
      <c r="DK596" s="1016"/>
      <c r="DL596" s="1017"/>
      <c r="DM596" s="1015">
        <f t="shared" si="21"/>
        <v>0</v>
      </c>
      <c r="DN596" s="1016"/>
      <c r="DO596" s="1016"/>
      <c r="DP596" s="1016"/>
      <c r="DQ596" s="1017"/>
      <c r="DR596" s="1015">
        <f t="shared" si="22"/>
        <v>0</v>
      </c>
      <c r="DS596" s="1016"/>
      <c r="DT596" s="1016"/>
      <c r="DU596" s="1016"/>
      <c r="DV596" s="1017"/>
    </row>
    <row r="597" spans="1:126" ht="12.9" customHeight="1">
      <c r="A597" s="4"/>
      <c r="B597" t="s">
        <v>845</v>
      </c>
      <c r="G597" s="1005"/>
      <c r="H597" s="1005"/>
      <c r="I597" s="1005"/>
      <c r="J597" s="1005"/>
      <c r="K597" s="1005"/>
      <c r="L597" s="1005"/>
      <c r="M597" s="1005"/>
      <c r="N597" s="1005"/>
      <c r="O597" s="1005"/>
      <c r="P597" s="1005"/>
      <c r="Q597" s="1005"/>
      <c r="R597" s="1005"/>
      <c r="T597" s="4"/>
      <c r="U597" t="s">
        <v>845</v>
      </c>
      <c r="Z597" s="1004"/>
      <c r="AA597" s="1004"/>
      <c r="AB597" s="1004"/>
      <c r="AC597" s="1004"/>
      <c r="AD597" s="1004"/>
      <c r="AE597" s="1004"/>
      <c r="AF597" s="1004"/>
      <c r="AG597" s="1004"/>
      <c r="AH597" s="1004"/>
      <c r="AI597" s="1004"/>
      <c r="AJ597" s="1004"/>
      <c r="AK597" s="1004"/>
      <c r="AZ597" s="37"/>
      <c r="BA597" s="37"/>
      <c r="BB597" s="37"/>
      <c r="BC597" s="37"/>
      <c r="BD597" s="37"/>
      <c r="BE597" s="1018">
        <f t="shared" si="15"/>
        <v>0</v>
      </c>
      <c r="BF597" s="1021"/>
      <c r="BG597" s="1018">
        <f t="shared" si="7"/>
        <v>0</v>
      </c>
      <c r="BH597" s="1021"/>
      <c r="BI597" s="1018">
        <f t="shared" si="16"/>
        <v>0</v>
      </c>
      <c r="BJ597" s="1021"/>
      <c r="BK597" s="1018">
        <f t="shared" si="8"/>
        <v>0</v>
      </c>
      <c r="BL597" s="1021"/>
      <c r="BN597" s="1018">
        <f t="shared" si="9"/>
        <v>0</v>
      </c>
      <c r="BO597" s="1019"/>
      <c r="BP597" s="1019"/>
      <c r="BQ597" s="1019"/>
      <c r="BR597" s="1020"/>
      <c r="BS597" s="1018">
        <f t="shared" si="10"/>
        <v>0</v>
      </c>
      <c r="BT597" s="1019"/>
      <c r="BU597" s="1019"/>
      <c r="BV597" s="1019"/>
      <c r="BW597" s="1021"/>
      <c r="BX597" s="1018">
        <f t="shared" si="11"/>
        <v>0</v>
      </c>
      <c r="BY597" s="1019"/>
      <c r="BZ597" s="1019"/>
      <c r="CA597" s="1019"/>
      <c r="CB597" s="1021"/>
      <c r="CC597" s="1018">
        <f t="shared" si="12"/>
        <v>0</v>
      </c>
      <c r="CD597" s="1019"/>
      <c r="CE597" s="1019"/>
      <c r="CF597" s="1019"/>
      <c r="CG597" s="1021"/>
      <c r="CH597" s="1018">
        <f t="shared" si="13"/>
        <v>0</v>
      </c>
      <c r="CI597" s="1019"/>
      <c r="CJ597" s="1019"/>
      <c r="CK597" s="1019"/>
      <c r="CL597" s="1021"/>
      <c r="CM597" s="1022">
        <f t="shared" si="14"/>
        <v>0</v>
      </c>
      <c r="CN597" s="1023"/>
      <c r="CO597" s="1023"/>
      <c r="CP597" s="1023"/>
      <c r="CQ597" s="1020"/>
      <c r="CS597" s="1015">
        <f t="shared" si="17"/>
        <v>0</v>
      </c>
      <c r="CT597" s="1016"/>
      <c r="CU597" s="1016"/>
      <c r="CV597" s="1016"/>
      <c r="CW597" s="1017"/>
      <c r="CX597" s="1015">
        <f t="shared" si="18"/>
        <v>0</v>
      </c>
      <c r="CY597" s="1016"/>
      <c r="CZ597" s="1016"/>
      <c r="DA597" s="1016"/>
      <c r="DB597" s="1017"/>
      <c r="DC597" s="1015">
        <f t="shared" si="19"/>
        <v>0</v>
      </c>
      <c r="DD597" s="1016"/>
      <c r="DE597" s="1016"/>
      <c r="DF597" s="1016"/>
      <c r="DG597" s="1017"/>
      <c r="DH597" s="1015">
        <f t="shared" si="20"/>
        <v>0</v>
      </c>
      <c r="DI597" s="1016"/>
      <c r="DJ597" s="1016"/>
      <c r="DK597" s="1016"/>
      <c r="DL597" s="1017"/>
      <c r="DM597" s="1015">
        <f t="shared" si="21"/>
        <v>0</v>
      </c>
      <c r="DN597" s="1016"/>
      <c r="DO597" s="1016"/>
      <c r="DP597" s="1016"/>
      <c r="DQ597" s="1017"/>
      <c r="DR597" s="1015">
        <f t="shared" si="22"/>
        <v>0</v>
      </c>
      <c r="DS597" s="1016"/>
      <c r="DT597" s="1016"/>
      <c r="DU597" s="1016"/>
      <c r="DV597" s="1017"/>
    </row>
    <row r="598" spans="1:126" ht="12.9" customHeight="1">
      <c r="A598" s="4"/>
      <c r="B598" t="s">
        <v>1327</v>
      </c>
      <c r="G598" s="1005"/>
      <c r="H598" s="1005"/>
      <c r="I598" s="1005"/>
      <c r="J598" s="1005"/>
      <c r="K598" s="1005"/>
      <c r="L598" s="1005"/>
      <c r="M598" s="1005"/>
      <c r="N598" s="1005"/>
      <c r="O598" s="1005"/>
      <c r="P598" s="1005"/>
      <c r="Q598" s="1005"/>
      <c r="R598" s="1005"/>
      <c r="T598" s="4"/>
      <c r="U598" t="s">
        <v>1327</v>
      </c>
      <c r="Z598" s="1004"/>
      <c r="AA598" s="1004"/>
      <c r="AB598" s="1004"/>
      <c r="AC598" s="1004"/>
      <c r="AD598" s="1004"/>
      <c r="AE598" s="1004"/>
      <c r="AF598" s="1004"/>
      <c r="AG598" s="1004"/>
      <c r="AH598" s="1004"/>
      <c r="AI598" s="1004"/>
      <c r="AJ598" s="1004"/>
      <c r="AK598" s="1004"/>
      <c r="AZ598" s="37"/>
      <c r="BA598" s="37"/>
      <c r="BB598" s="37"/>
      <c r="BC598" s="37"/>
      <c r="BD598" s="37"/>
      <c r="BE598" s="1018">
        <f t="shared" si="15"/>
        <v>0</v>
      </c>
      <c r="BF598" s="1021"/>
      <c r="BG598" s="1018">
        <f t="shared" si="7"/>
        <v>0</v>
      </c>
      <c r="BH598" s="1021"/>
      <c r="BI598" s="1018">
        <f t="shared" si="16"/>
        <v>0</v>
      </c>
      <c r="BJ598" s="1021"/>
      <c r="BK598" s="1018">
        <f t="shared" si="8"/>
        <v>0</v>
      </c>
      <c r="BL598" s="1021"/>
      <c r="BN598" s="1018">
        <f t="shared" si="9"/>
        <v>0</v>
      </c>
      <c r="BO598" s="1019"/>
      <c r="BP598" s="1019"/>
      <c r="BQ598" s="1019"/>
      <c r="BR598" s="1020"/>
      <c r="BS598" s="1018">
        <f t="shared" si="10"/>
        <v>0</v>
      </c>
      <c r="BT598" s="1019"/>
      <c r="BU598" s="1019"/>
      <c r="BV598" s="1019"/>
      <c r="BW598" s="1021"/>
      <c r="BX598" s="1018">
        <f t="shared" si="11"/>
        <v>0</v>
      </c>
      <c r="BY598" s="1019"/>
      <c r="BZ598" s="1019"/>
      <c r="CA598" s="1019"/>
      <c r="CB598" s="1021"/>
      <c r="CC598" s="1018">
        <f t="shared" si="12"/>
        <v>0</v>
      </c>
      <c r="CD598" s="1019"/>
      <c r="CE598" s="1019"/>
      <c r="CF598" s="1019"/>
      <c r="CG598" s="1021"/>
      <c r="CH598" s="1018">
        <f t="shared" si="13"/>
        <v>0</v>
      </c>
      <c r="CI598" s="1019"/>
      <c r="CJ598" s="1019"/>
      <c r="CK598" s="1019"/>
      <c r="CL598" s="1021"/>
      <c r="CM598" s="1022">
        <f t="shared" si="14"/>
        <v>0</v>
      </c>
      <c r="CN598" s="1023"/>
      <c r="CO598" s="1023"/>
      <c r="CP598" s="1023"/>
      <c r="CQ598" s="1020"/>
      <c r="CS598" s="1015">
        <f t="shared" si="17"/>
        <v>0</v>
      </c>
      <c r="CT598" s="1016"/>
      <c r="CU598" s="1016"/>
      <c r="CV598" s="1016"/>
      <c r="CW598" s="1017"/>
      <c r="CX598" s="1015">
        <f t="shared" si="18"/>
        <v>0</v>
      </c>
      <c r="CY598" s="1016"/>
      <c r="CZ598" s="1016"/>
      <c r="DA598" s="1016"/>
      <c r="DB598" s="1017"/>
      <c r="DC598" s="1015">
        <f t="shared" si="19"/>
        <v>0</v>
      </c>
      <c r="DD598" s="1016"/>
      <c r="DE598" s="1016"/>
      <c r="DF598" s="1016"/>
      <c r="DG598" s="1017"/>
      <c r="DH598" s="1015">
        <f t="shared" si="20"/>
        <v>0</v>
      </c>
      <c r="DI598" s="1016"/>
      <c r="DJ598" s="1016"/>
      <c r="DK598" s="1016"/>
      <c r="DL598" s="1017"/>
      <c r="DM598" s="1015">
        <f t="shared" si="21"/>
        <v>0</v>
      </c>
      <c r="DN598" s="1016"/>
      <c r="DO598" s="1016"/>
      <c r="DP598" s="1016"/>
      <c r="DQ598" s="1017"/>
      <c r="DR598" s="1015">
        <f t="shared" si="22"/>
        <v>0</v>
      </c>
      <c r="DS598" s="1016"/>
      <c r="DT598" s="1016"/>
      <c r="DU598" s="1016"/>
      <c r="DV598" s="1017"/>
    </row>
    <row r="599" spans="1:126" ht="12.9" customHeight="1">
      <c r="A599" s="4"/>
      <c r="B599" t="s">
        <v>762</v>
      </c>
      <c r="G599" s="1008"/>
      <c r="H599" s="1008"/>
      <c r="I599" s="1008"/>
      <c r="J599" s="1008"/>
      <c r="K599" s="1008"/>
      <c r="L599" s="1008"/>
      <c r="O599" s="806" t="s">
        <v>991</v>
      </c>
      <c r="P599" s="1003"/>
      <c r="Q599" s="1003"/>
      <c r="R599" s="1003"/>
      <c r="T599" s="4"/>
      <c r="U599" t="s">
        <v>762</v>
      </c>
      <c r="Z599" s="1008"/>
      <c r="AA599" s="1008"/>
      <c r="AB599" s="1008"/>
      <c r="AC599" s="1008"/>
      <c r="AD599" s="1008"/>
      <c r="AE599" s="1008"/>
      <c r="AH599" s="806" t="s">
        <v>991</v>
      </c>
      <c r="AI599" s="1003"/>
      <c r="AJ599" s="1003"/>
      <c r="AK599" s="1003"/>
      <c r="AZ599" s="37"/>
      <c r="BA599" s="37"/>
      <c r="BB599" s="37"/>
      <c r="BC599" s="37"/>
      <c r="BD599" s="37"/>
      <c r="BE599" s="1018">
        <f t="shared" si="15"/>
        <v>0</v>
      </c>
      <c r="BF599" s="1021"/>
      <c r="BG599" s="1018">
        <f t="shared" si="7"/>
        <v>0</v>
      </c>
      <c r="BH599" s="1021"/>
      <c r="BI599" s="1018">
        <f t="shared" si="16"/>
        <v>0</v>
      </c>
      <c r="BJ599" s="1021"/>
      <c r="BK599" s="1018">
        <f t="shared" si="8"/>
        <v>0</v>
      </c>
      <c r="BL599" s="1021"/>
      <c r="BN599" s="1018">
        <f t="shared" si="9"/>
        <v>0</v>
      </c>
      <c r="BO599" s="1019"/>
      <c r="BP599" s="1019"/>
      <c r="BQ599" s="1019"/>
      <c r="BR599" s="1020"/>
      <c r="BS599" s="1018">
        <f t="shared" si="10"/>
        <v>0</v>
      </c>
      <c r="BT599" s="1019"/>
      <c r="BU599" s="1019"/>
      <c r="BV599" s="1019"/>
      <c r="BW599" s="1021"/>
      <c r="BX599" s="1018">
        <f t="shared" si="11"/>
        <v>0</v>
      </c>
      <c r="BY599" s="1019"/>
      <c r="BZ599" s="1019"/>
      <c r="CA599" s="1019"/>
      <c r="CB599" s="1021"/>
      <c r="CC599" s="1018">
        <f t="shared" si="12"/>
        <v>0</v>
      </c>
      <c r="CD599" s="1019"/>
      <c r="CE599" s="1019"/>
      <c r="CF599" s="1019"/>
      <c r="CG599" s="1021"/>
      <c r="CH599" s="1018">
        <f t="shared" si="13"/>
        <v>0</v>
      </c>
      <c r="CI599" s="1019"/>
      <c r="CJ599" s="1019"/>
      <c r="CK599" s="1019"/>
      <c r="CL599" s="1021"/>
      <c r="CM599" s="1022">
        <f t="shared" si="14"/>
        <v>0</v>
      </c>
      <c r="CN599" s="1023"/>
      <c r="CO599" s="1023"/>
      <c r="CP599" s="1023"/>
      <c r="CQ599" s="1020"/>
      <c r="CS599" s="1015">
        <f t="shared" si="17"/>
        <v>0</v>
      </c>
      <c r="CT599" s="1016"/>
      <c r="CU599" s="1016"/>
      <c r="CV599" s="1016"/>
      <c r="CW599" s="1017"/>
      <c r="CX599" s="1015">
        <f t="shared" si="18"/>
        <v>0</v>
      </c>
      <c r="CY599" s="1016"/>
      <c r="CZ599" s="1016"/>
      <c r="DA599" s="1016"/>
      <c r="DB599" s="1017"/>
      <c r="DC599" s="1015">
        <f t="shared" si="19"/>
        <v>0</v>
      </c>
      <c r="DD599" s="1016"/>
      <c r="DE599" s="1016"/>
      <c r="DF599" s="1016"/>
      <c r="DG599" s="1017"/>
      <c r="DH599" s="1015">
        <f t="shared" si="20"/>
        <v>0</v>
      </c>
      <c r="DI599" s="1016"/>
      <c r="DJ599" s="1016"/>
      <c r="DK599" s="1016"/>
      <c r="DL599" s="1017"/>
      <c r="DM599" s="1015">
        <f t="shared" si="21"/>
        <v>0</v>
      </c>
      <c r="DN599" s="1016"/>
      <c r="DO599" s="1016"/>
      <c r="DP599" s="1016"/>
      <c r="DQ599" s="1017"/>
      <c r="DR599" s="1015">
        <f t="shared" si="22"/>
        <v>0</v>
      </c>
      <c r="DS599" s="1016"/>
      <c r="DT599" s="1016"/>
      <c r="DU599" s="1016"/>
      <c r="DV599" s="1017"/>
    </row>
    <row r="600" spans="1:126" s="5" customFormat="1" ht="12.9" customHeight="1">
      <c r="A600" s="4"/>
      <c r="B600" t="s">
        <v>1332</v>
      </c>
      <c r="C600"/>
      <c r="D600"/>
      <c r="E600"/>
      <c r="F600"/>
      <c r="G600"/>
      <c r="H600" s="1005"/>
      <c r="I600" s="1005"/>
      <c r="J600" s="1005"/>
      <c r="K600" s="1005"/>
      <c r="L600" s="1005"/>
      <c r="M600" s="1005"/>
      <c r="N600" s="1005"/>
      <c r="O600" s="1005"/>
      <c r="P600" s="1005"/>
      <c r="Q600" s="1005"/>
      <c r="R600" s="1005"/>
      <c r="S600"/>
      <c r="T600" s="4"/>
      <c r="U600" t="s">
        <v>1332</v>
      </c>
      <c r="V600"/>
      <c r="W600"/>
      <c r="X600"/>
      <c r="Y600"/>
      <c r="Z600"/>
      <c r="AA600" s="1005"/>
      <c r="AB600" s="1005"/>
      <c r="AC600" s="1005"/>
      <c r="AD600" s="1005"/>
      <c r="AE600" s="1005"/>
      <c r="AF600" s="1005"/>
      <c r="AG600" s="1005"/>
      <c r="AH600" s="1005"/>
      <c r="AI600" s="1005"/>
      <c r="AJ600" s="1005"/>
      <c r="AK600" s="1005"/>
      <c r="AL600"/>
      <c r="AM600" s="37"/>
      <c r="AN600" s="37"/>
      <c r="AO600" s="37"/>
      <c r="AP600" s="37"/>
      <c r="AQ600" s="37"/>
      <c r="AR600" s="37"/>
      <c r="AS600" s="37"/>
      <c r="AT600" s="37"/>
      <c r="AU600" s="37"/>
      <c r="AV600" s="37"/>
      <c r="AW600" s="37"/>
      <c r="AX600" s="37"/>
      <c r="AY600" s="37"/>
      <c r="AZ600" s="37"/>
      <c r="BA600" s="37"/>
      <c r="BB600" s="37"/>
      <c r="BC600" s="37"/>
      <c r="BD600" s="37"/>
      <c r="BE600" s="1018">
        <f t="shared" si="15"/>
        <v>0</v>
      </c>
      <c r="BF600" s="1021"/>
      <c r="BG600" s="1018">
        <f t="shared" si="7"/>
        <v>0</v>
      </c>
      <c r="BH600" s="1021"/>
      <c r="BI600" s="1018">
        <f t="shared" si="16"/>
        <v>0</v>
      </c>
      <c r="BJ600" s="1021"/>
      <c r="BK600" s="1018">
        <f t="shared" si="8"/>
        <v>0</v>
      </c>
      <c r="BL600" s="1021"/>
      <c r="BM600" s="37"/>
      <c r="BN600" s="1018">
        <f t="shared" si="9"/>
        <v>0</v>
      </c>
      <c r="BO600" s="1019"/>
      <c r="BP600" s="1019"/>
      <c r="BQ600" s="1019"/>
      <c r="BR600" s="1020"/>
      <c r="BS600" s="1018">
        <f t="shared" si="10"/>
        <v>0</v>
      </c>
      <c r="BT600" s="1019"/>
      <c r="BU600" s="1019"/>
      <c r="BV600" s="1019"/>
      <c r="BW600" s="1021"/>
      <c r="BX600" s="1018">
        <f t="shared" si="11"/>
        <v>0</v>
      </c>
      <c r="BY600" s="1019"/>
      <c r="BZ600" s="1019"/>
      <c r="CA600" s="1019"/>
      <c r="CB600" s="1021"/>
      <c r="CC600" s="1018">
        <f t="shared" si="12"/>
        <v>0</v>
      </c>
      <c r="CD600" s="1019"/>
      <c r="CE600" s="1019"/>
      <c r="CF600" s="1019"/>
      <c r="CG600" s="1021"/>
      <c r="CH600" s="1018">
        <f t="shared" si="13"/>
        <v>0</v>
      </c>
      <c r="CI600" s="1019"/>
      <c r="CJ600" s="1019"/>
      <c r="CK600" s="1019"/>
      <c r="CL600" s="1021"/>
      <c r="CM600" s="1022">
        <f t="shared" si="14"/>
        <v>0</v>
      </c>
      <c r="CN600" s="1023"/>
      <c r="CO600" s="1023"/>
      <c r="CP600" s="1023"/>
      <c r="CQ600" s="1020"/>
      <c r="CR600" s="37"/>
      <c r="CS600" s="1015">
        <f t="shared" si="17"/>
        <v>0</v>
      </c>
      <c r="CT600" s="1016"/>
      <c r="CU600" s="1016"/>
      <c r="CV600" s="1016"/>
      <c r="CW600" s="1017"/>
      <c r="CX600" s="1015">
        <f t="shared" si="18"/>
        <v>0</v>
      </c>
      <c r="CY600" s="1016"/>
      <c r="CZ600" s="1016"/>
      <c r="DA600" s="1016"/>
      <c r="DB600" s="1017"/>
      <c r="DC600" s="1015">
        <f t="shared" si="19"/>
        <v>0</v>
      </c>
      <c r="DD600" s="1016"/>
      <c r="DE600" s="1016"/>
      <c r="DF600" s="1016"/>
      <c r="DG600" s="1017"/>
      <c r="DH600" s="1015">
        <f t="shared" si="20"/>
        <v>0</v>
      </c>
      <c r="DI600" s="1016"/>
      <c r="DJ600" s="1016"/>
      <c r="DK600" s="1016"/>
      <c r="DL600" s="1017"/>
      <c r="DM600" s="1015">
        <f t="shared" si="21"/>
        <v>0</v>
      </c>
      <c r="DN600" s="1016"/>
      <c r="DO600" s="1016"/>
      <c r="DP600" s="1016"/>
      <c r="DQ600" s="1017"/>
      <c r="DR600" s="1015">
        <f t="shared" si="22"/>
        <v>0</v>
      </c>
      <c r="DS600" s="1016"/>
      <c r="DT600" s="1016"/>
      <c r="DU600" s="1016"/>
      <c r="DV600" s="1017"/>
    </row>
    <row r="601" spans="1:126" s="5" customFormat="1" ht="12.9" customHeight="1">
      <c r="A601" s="4"/>
      <c r="B601" t="s">
        <v>1335</v>
      </c>
      <c r="C601"/>
      <c r="D601"/>
      <c r="E601"/>
      <c r="F601"/>
      <c r="G601"/>
      <c r="H601"/>
      <c r="I601"/>
      <c r="J601"/>
      <c r="K601"/>
      <c r="L601"/>
      <c r="M601"/>
      <c r="N601" s="1090" t="s">
        <v>759</v>
      </c>
      <c r="O601" s="1090"/>
      <c r="P601"/>
      <c r="Q601"/>
      <c r="R601"/>
      <c r="S601"/>
      <c r="T601" s="4"/>
      <c r="U601" t="s">
        <v>1335</v>
      </c>
      <c r="V601"/>
      <c r="W601"/>
      <c r="X601"/>
      <c r="Y601"/>
      <c r="Z601"/>
      <c r="AA601"/>
      <c r="AB601"/>
      <c r="AC601"/>
      <c r="AD601"/>
      <c r="AE601"/>
      <c r="AF601"/>
      <c r="AG601" s="1090" t="s">
        <v>759</v>
      </c>
      <c r="AH601" s="1090"/>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18">
        <f t="shared" si="15"/>
        <v>0</v>
      </c>
      <c r="BF601" s="1021"/>
      <c r="BG601" s="1018">
        <f t="shared" si="7"/>
        <v>0</v>
      </c>
      <c r="BH601" s="1021"/>
      <c r="BI601" s="1018">
        <f t="shared" si="16"/>
        <v>0</v>
      </c>
      <c r="BJ601" s="1021"/>
      <c r="BK601" s="1018">
        <f t="shared" si="8"/>
        <v>0</v>
      </c>
      <c r="BL601" s="1021"/>
      <c r="BM601" s="37"/>
      <c r="BN601" s="1018">
        <f t="shared" si="9"/>
        <v>0</v>
      </c>
      <c r="BO601" s="1019"/>
      <c r="BP601" s="1019"/>
      <c r="BQ601" s="1019"/>
      <c r="BR601" s="1020"/>
      <c r="BS601" s="1018">
        <f t="shared" si="10"/>
        <v>0</v>
      </c>
      <c r="BT601" s="1019"/>
      <c r="BU601" s="1019"/>
      <c r="BV601" s="1019"/>
      <c r="BW601" s="1021"/>
      <c r="BX601" s="1018">
        <f t="shared" si="11"/>
        <v>0</v>
      </c>
      <c r="BY601" s="1019"/>
      <c r="BZ601" s="1019"/>
      <c r="CA601" s="1019"/>
      <c r="CB601" s="1021"/>
      <c r="CC601" s="1018">
        <f t="shared" si="12"/>
        <v>0</v>
      </c>
      <c r="CD601" s="1019"/>
      <c r="CE601" s="1019"/>
      <c r="CF601" s="1019"/>
      <c r="CG601" s="1021"/>
      <c r="CH601" s="1018">
        <f t="shared" si="13"/>
        <v>0</v>
      </c>
      <c r="CI601" s="1019"/>
      <c r="CJ601" s="1019"/>
      <c r="CK601" s="1019"/>
      <c r="CL601" s="1021"/>
      <c r="CM601" s="1022">
        <f t="shared" si="14"/>
        <v>0</v>
      </c>
      <c r="CN601" s="1023"/>
      <c r="CO601" s="1023"/>
      <c r="CP601" s="1023"/>
      <c r="CQ601" s="1020"/>
      <c r="CR601" s="37"/>
      <c r="CS601" s="1015">
        <f t="shared" si="17"/>
        <v>0</v>
      </c>
      <c r="CT601" s="1016"/>
      <c r="CU601" s="1016"/>
      <c r="CV601" s="1016"/>
      <c r="CW601" s="1017"/>
      <c r="CX601" s="1015">
        <f t="shared" si="18"/>
        <v>0</v>
      </c>
      <c r="CY601" s="1016"/>
      <c r="CZ601" s="1016"/>
      <c r="DA601" s="1016"/>
      <c r="DB601" s="1017"/>
      <c r="DC601" s="1015">
        <f t="shared" si="19"/>
        <v>0</v>
      </c>
      <c r="DD601" s="1016"/>
      <c r="DE601" s="1016"/>
      <c r="DF601" s="1016"/>
      <c r="DG601" s="1017"/>
      <c r="DH601" s="1015">
        <f t="shared" si="20"/>
        <v>0</v>
      </c>
      <c r="DI601" s="1016"/>
      <c r="DJ601" s="1016"/>
      <c r="DK601" s="1016"/>
      <c r="DL601" s="1017"/>
      <c r="DM601" s="1015">
        <f t="shared" si="21"/>
        <v>0</v>
      </c>
      <c r="DN601" s="1016"/>
      <c r="DO601" s="1016"/>
      <c r="DP601" s="1016"/>
      <c r="DQ601" s="1017"/>
      <c r="DR601" s="1015">
        <f t="shared" si="22"/>
        <v>0</v>
      </c>
      <c r="DS601" s="1016"/>
      <c r="DT601" s="1016"/>
      <c r="DU601" s="1016"/>
      <c r="DV601" s="101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18">
        <f t="shared" si="15"/>
        <v>0</v>
      </c>
      <c r="BF602" s="1021"/>
      <c r="BG602" s="1018">
        <f t="shared" si="7"/>
        <v>0</v>
      </c>
      <c r="BH602" s="1021"/>
      <c r="BI602" s="1018">
        <f t="shared" si="16"/>
        <v>0</v>
      </c>
      <c r="BJ602" s="1021"/>
      <c r="BK602" s="1018">
        <f t="shared" si="8"/>
        <v>0</v>
      </c>
      <c r="BL602" s="1021"/>
      <c r="BM602" s="37"/>
      <c r="BN602" s="1018">
        <f t="shared" si="9"/>
        <v>0</v>
      </c>
      <c r="BO602" s="1019"/>
      <c r="BP602" s="1019"/>
      <c r="BQ602" s="1019"/>
      <c r="BR602" s="1020"/>
      <c r="BS602" s="1018">
        <f t="shared" si="10"/>
        <v>0</v>
      </c>
      <c r="BT602" s="1019"/>
      <c r="BU602" s="1019"/>
      <c r="BV602" s="1019"/>
      <c r="BW602" s="1021"/>
      <c r="BX602" s="1018">
        <f t="shared" si="11"/>
        <v>0</v>
      </c>
      <c r="BY602" s="1019"/>
      <c r="BZ602" s="1019"/>
      <c r="CA602" s="1019"/>
      <c r="CB602" s="1021"/>
      <c r="CC602" s="1018">
        <f t="shared" si="12"/>
        <v>0</v>
      </c>
      <c r="CD602" s="1019"/>
      <c r="CE602" s="1019"/>
      <c r="CF602" s="1019"/>
      <c r="CG602" s="1021"/>
      <c r="CH602" s="1018">
        <f t="shared" si="13"/>
        <v>0</v>
      </c>
      <c r="CI602" s="1019"/>
      <c r="CJ602" s="1019"/>
      <c r="CK602" s="1019"/>
      <c r="CL602" s="1021"/>
      <c r="CM602" s="1022">
        <f t="shared" si="14"/>
        <v>0</v>
      </c>
      <c r="CN602" s="1023"/>
      <c r="CO602" s="1023"/>
      <c r="CP602" s="1023"/>
      <c r="CQ602" s="1020"/>
      <c r="CR602" s="37"/>
      <c r="CS602" s="1015">
        <f t="shared" si="17"/>
        <v>0</v>
      </c>
      <c r="CT602" s="1016"/>
      <c r="CU602" s="1016"/>
      <c r="CV602" s="1016"/>
      <c r="CW602" s="1017"/>
      <c r="CX602" s="1015">
        <f t="shared" si="18"/>
        <v>0</v>
      </c>
      <c r="CY602" s="1016"/>
      <c r="CZ602" s="1016"/>
      <c r="DA602" s="1016"/>
      <c r="DB602" s="1017"/>
      <c r="DC602" s="1015">
        <f t="shared" si="19"/>
        <v>0</v>
      </c>
      <c r="DD602" s="1016"/>
      <c r="DE602" s="1016"/>
      <c r="DF602" s="1016"/>
      <c r="DG602" s="1017"/>
      <c r="DH602" s="1015">
        <f t="shared" si="20"/>
        <v>0</v>
      </c>
      <c r="DI602" s="1016"/>
      <c r="DJ602" s="1016"/>
      <c r="DK602" s="1016"/>
      <c r="DL602" s="1017"/>
      <c r="DM602" s="1015">
        <f t="shared" si="21"/>
        <v>0</v>
      </c>
      <c r="DN602" s="1016"/>
      <c r="DO602" s="1016"/>
      <c r="DP602" s="1016"/>
      <c r="DQ602" s="1017"/>
      <c r="DR602" s="1015">
        <f t="shared" si="22"/>
        <v>0</v>
      </c>
      <c r="DS602" s="1016"/>
      <c r="DT602" s="1016"/>
      <c r="DU602" s="1016"/>
      <c r="DV602" s="1017"/>
    </row>
    <row r="603" spans="1:126" ht="12.9" customHeight="1">
      <c r="A603" s="54" t="s">
        <v>1319</v>
      </c>
      <c r="B603" t="s">
        <v>1322</v>
      </c>
      <c r="G603" s="1131">
        <f>C559</f>
        <v>0</v>
      </c>
      <c r="H603" s="1131"/>
      <c r="I603" s="1131"/>
      <c r="J603" s="1131"/>
      <c r="K603" s="1131"/>
      <c r="L603" s="1131"/>
      <c r="M603" s="1131"/>
      <c r="N603" s="1131"/>
      <c r="O603" s="1131"/>
      <c r="P603" s="1131"/>
      <c r="Q603" s="1131"/>
      <c r="R603" s="1131"/>
      <c r="T603" s="54" t="s">
        <v>1320</v>
      </c>
      <c r="U603" t="s">
        <v>1322</v>
      </c>
      <c r="Z603" s="1131">
        <f>C560</f>
        <v>0</v>
      </c>
      <c r="AA603" s="1131"/>
      <c r="AB603" s="1131"/>
      <c r="AC603" s="1131"/>
      <c r="AD603" s="1131"/>
      <c r="AE603" s="1131"/>
      <c r="AF603" s="1131"/>
      <c r="AG603" s="1131"/>
      <c r="AH603" s="1131"/>
      <c r="AI603" s="1131"/>
      <c r="AJ603" s="1131"/>
      <c r="AK603" s="1131"/>
      <c r="AZ603" s="37"/>
      <c r="BA603" s="37"/>
      <c r="BB603" s="37"/>
      <c r="BC603" s="37"/>
      <c r="BD603" s="37"/>
      <c r="BE603" s="1018">
        <f t="shared" si="15"/>
        <v>0</v>
      </c>
      <c r="BF603" s="1021"/>
      <c r="BG603" s="1018">
        <f t="shared" si="7"/>
        <v>0</v>
      </c>
      <c r="BH603" s="1021"/>
      <c r="BI603" s="1018">
        <f t="shared" si="16"/>
        <v>0</v>
      </c>
      <c r="BJ603" s="1021"/>
      <c r="BK603" s="1018">
        <f t="shared" si="8"/>
        <v>0</v>
      </c>
      <c r="BL603" s="1021"/>
      <c r="BN603" s="1018">
        <f t="shared" si="9"/>
        <v>0</v>
      </c>
      <c r="BO603" s="1019"/>
      <c r="BP603" s="1019"/>
      <c r="BQ603" s="1019"/>
      <c r="BR603" s="1020"/>
      <c r="BS603" s="1018">
        <f t="shared" si="10"/>
        <v>0</v>
      </c>
      <c r="BT603" s="1019"/>
      <c r="BU603" s="1019"/>
      <c r="BV603" s="1019"/>
      <c r="BW603" s="1021"/>
      <c r="BX603" s="1018">
        <f t="shared" si="11"/>
        <v>0</v>
      </c>
      <c r="BY603" s="1019"/>
      <c r="BZ603" s="1019"/>
      <c r="CA603" s="1019"/>
      <c r="CB603" s="1021"/>
      <c r="CC603" s="1018">
        <f t="shared" si="12"/>
        <v>0</v>
      </c>
      <c r="CD603" s="1019"/>
      <c r="CE603" s="1019"/>
      <c r="CF603" s="1019"/>
      <c r="CG603" s="1021"/>
      <c r="CH603" s="1018">
        <f t="shared" si="13"/>
        <v>0</v>
      </c>
      <c r="CI603" s="1019"/>
      <c r="CJ603" s="1019"/>
      <c r="CK603" s="1019"/>
      <c r="CL603" s="1021"/>
      <c r="CM603" s="1022">
        <f t="shared" si="14"/>
        <v>0</v>
      </c>
      <c r="CN603" s="1023"/>
      <c r="CO603" s="1023"/>
      <c r="CP603" s="1023"/>
      <c r="CQ603" s="1020"/>
      <c r="CS603" s="1015">
        <f t="shared" si="17"/>
        <v>0</v>
      </c>
      <c r="CT603" s="1016"/>
      <c r="CU603" s="1016"/>
      <c r="CV603" s="1016"/>
      <c r="CW603" s="1017"/>
      <c r="CX603" s="1015">
        <f t="shared" si="18"/>
        <v>0</v>
      </c>
      <c r="CY603" s="1016"/>
      <c r="CZ603" s="1016"/>
      <c r="DA603" s="1016"/>
      <c r="DB603" s="1017"/>
      <c r="DC603" s="1015">
        <f t="shared" si="19"/>
        <v>0</v>
      </c>
      <c r="DD603" s="1016"/>
      <c r="DE603" s="1016"/>
      <c r="DF603" s="1016"/>
      <c r="DG603" s="1017"/>
      <c r="DH603" s="1015">
        <f t="shared" si="20"/>
        <v>0</v>
      </c>
      <c r="DI603" s="1016"/>
      <c r="DJ603" s="1016"/>
      <c r="DK603" s="1016"/>
      <c r="DL603" s="1017"/>
      <c r="DM603" s="1015">
        <f t="shared" si="21"/>
        <v>0</v>
      </c>
      <c r="DN603" s="1016"/>
      <c r="DO603" s="1016"/>
      <c r="DP603" s="1016"/>
      <c r="DQ603" s="1017"/>
      <c r="DR603" s="1015">
        <f t="shared" si="22"/>
        <v>0</v>
      </c>
      <c r="DS603" s="1016"/>
      <c r="DT603" s="1016"/>
      <c r="DU603" s="1016"/>
      <c r="DV603" s="1017"/>
    </row>
    <row r="604" spans="1:126" ht="12.9" customHeight="1">
      <c r="B604" t="s">
        <v>981</v>
      </c>
      <c r="G604" s="1005"/>
      <c r="H604" s="1005"/>
      <c r="I604" s="1005"/>
      <c r="J604" s="1005"/>
      <c r="K604" s="1005"/>
      <c r="L604" s="1005"/>
      <c r="M604" s="1005"/>
      <c r="N604" s="1005"/>
      <c r="O604" s="1005"/>
      <c r="P604" s="1005"/>
      <c r="Q604" s="1005"/>
      <c r="R604" s="1005"/>
      <c r="U604" t="s">
        <v>981</v>
      </c>
      <c r="Z604" s="1005"/>
      <c r="AA604" s="1005"/>
      <c r="AB604" s="1005"/>
      <c r="AC604" s="1005"/>
      <c r="AD604" s="1005"/>
      <c r="AE604" s="1005"/>
      <c r="AF604" s="1005"/>
      <c r="AG604" s="1005"/>
      <c r="AH604" s="1005"/>
      <c r="AI604" s="1005"/>
      <c r="AJ604" s="1005"/>
      <c r="AK604" s="1005"/>
      <c r="AZ604" s="37"/>
      <c r="BA604" s="37"/>
      <c r="BB604" s="37"/>
      <c r="BC604" s="37"/>
      <c r="BD604" s="37"/>
      <c r="BE604" s="1018">
        <f t="shared" si="15"/>
        <v>0</v>
      </c>
      <c r="BF604" s="1021"/>
      <c r="BG604" s="1018">
        <f t="shared" si="7"/>
        <v>0</v>
      </c>
      <c r="BH604" s="1021"/>
      <c r="BI604" s="1018">
        <f t="shared" si="16"/>
        <v>0</v>
      </c>
      <c r="BJ604" s="1021"/>
      <c r="BK604" s="1018">
        <f t="shared" si="8"/>
        <v>0</v>
      </c>
      <c r="BL604" s="1021"/>
      <c r="BN604" s="1018">
        <f t="shared" si="9"/>
        <v>0</v>
      </c>
      <c r="BO604" s="1019"/>
      <c r="BP604" s="1019"/>
      <c r="BQ604" s="1019"/>
      <c r="BR604" s="1020"/>
      <c r="BS604" s="1018">
        <f t="shared" si="10"/>
        <v>0</v>
      </c>
      <c r="BT604" s="1019"/>
      <c r="BU604" s="1019"/>
      <c r="BV604" s="1019"/>
      <c r="BW604" s="1021"/>
      <c r="BX604" s="1018">
        <f t="shared" si="11"/>
        <v>0</v>
      </c>
      <c r="BY604" s="1019"/>
      <c r="BZ604" s="1019"/>
      <c r="CA604" s="1019"/>
      <c r="CB604" s="1021"/>
      <c r="CC604" s="1018">
        <f t="shared" si="12"/>
        <v>0</v>
      </c>
      <c r="CD604" s="1019"/>
      <c r="CE604" s="1019"/>
      <c r="CF604" s="1019"/>
      <c r="CG604" s="1021"/>
      <c r="CH604" s="1018">
        <f t="shared" si="13"/>
        <v>0</v>
      </c>
      <c r="CI604" s="1019"/>
      <c r="CJ604" s="1019"/>
      <c r="CK604" s="1019"/>
      <c r="CL604" s="1021"/>
      <c r="CM604" s="1022">
        <f t="shared" si="14"/>
        <v>0</v>
      </c>
      <c r="CN604" s="1023"/>
      <c r="CO604" s="1023"/>
      <c r="CP604" s="1023"/>
      <c r="CQ604" s="1020"/>
      <c r="CS604" s="1015">
        <f t="shared" si="17"/>
        <v>0</v>
      </c>
      <c r="CT604" s="1016"/>
      <c r="CU604" s="1016"/>
      <c r="CV604" s="1016"/>
      <c r="CW604" s="1017"/>
      <c r="CX604" s="1015">
        <f t="shared" si="18"/>
        <v>0</v>
      </c>
      <c r="CY604" s="1016"/>
      <c r="CZ604" s="1016"/>
      <c r="DA604" s="1016"/>
      <c r="DB604" s="1017"/>
      <c r="DC604" s="1015">
        <f t="shared" si="19"/>
        <v>0</v>
      </c>
      <c r="DD604" s="1016"/>
      <c r="DE604" s="1016"/>
      <c r="DF604" s="1016"/>
      <c r="DG604" s="1017"/>
      <c r="DH604" s="1015">
        <f t="shared" si="20"/>
        <v>0</v>
      </c>
      <c r="DI604" s="1016"/>
      <c r="DJ604" s="1016"/>
      <c r="DK604" s="1016"/>
      <c r="DL604" s="1017"/>
      <c r="DM604" s="1015">
        <f t="shared" si="21"/>
        <v>0</v>
      </c>
      <c r="DN604" s="1016"/>
      <c r="DO604" s="1016"/>
      <c r="DP604" s="1016"/>
      <c r="DQ604" s="1017"/>
      <c r="DR604" s="1015">
        <f t="shared" si="22"/>
        <v>0</v>
      </c>
      <c r="DS604" s="1016"/>
      <c r="DT604" s="1016"/>
      <c r="DU604" s="1016"/>
      <c r="DV604" s="1017"/>
    </row>
    <row r="605" spans="1:126" ht="12.9" customHeight="1">
      <c r="B605" t="s">
        <v>845</v>
      </c>
      <c r="G605" s="1005"/>
      <c r="H605" s="1005"/>
      <c r="I605" s="1005"/>
      <c r="J605" s="1005"/>
      <c r="K605" s="1005"/>
      <c r="L605" s="1005"/>
      <c r="M605" s="1005"/>
      <c r="N605" s="1005"/>
      <c r="O605" s="1005"/>
      <c r="P605" s="1005"/>
      <c r="Q605" s="1005"/>
      <c r="R605" s="1005"/>
      <c r="U605" t="s">
        <v>845</v>
      </c>
      <c r="Z605" s="1004"/>
      <c r="AA605" s="1004"/>
      <c r="AB605" s="1004"/>
      <c r="AC605" s="1004"/>
      <c r="AD605" s="1004"/>
      <c r="AE605" s="1004"/>
      <c r="AF605" s="1004"/>
      <c r="AG605" s="1004"/>
      <c r="AH605" s="1004"/>
      <c r="AI605" s="1004"/>
      <c r="AJ605" s="1004"/>
      <c r="AK605" s="1004"/>
      <c r="AL605" s="260"/>
      <c r="BA605" s="37"/>
      <c r="BB605" s="37"/>
      <c r="BC605" s="37"/>
      <c r="BD605" s="37"/>
      <c r="BE605" s="1018">
        <f t="shared" si="15"/>
        <v>0</v>
      </c>
      <c r="BF605" s="1021"/>
      <c r="BG605" s="1018">
        <f t="shared" si="7"/>
        <v>0</v>
      </c>
      <c r="BH605" s="1021"/>
      <c r="BI605" s="1018">
        <f t="shared" si="16"/>
        <v>0</v>
      </c>
      <c r="BJ605" s="1021"/>
      <c r="BK605" s="1018">
        <f t="shared" si="8"/>
        <v>0</v>
      </c>
      <c r="BL605" s="1021"/>
      <c r="BN605" s="1018">
        <f t="shared" si="9"/>
        <v>0</v>
      </c>
      <c r="BO605" s="1019"/>
      <c r="BP605" s="1019"/>
      <c r="BQ605" s="1019"/>
      <c r="BR605" s="1020"/>
      <c r="BS605" s="1018">
        <f t="shared" si="10"/>
        <v>0</v>
      </c>
      <c r="BT605" s="1019"/>
      <c r="BU605" s="1019"/>
      <c r="BV605" s="1019"/>
      <c r="BW605" s="1021"/>
      <c r="BX605" s="1018">
        <f t="shared" si="11"/>
        <v>0</v>
      </c>
      <c r="BY605" s="1019"/>
      <c r="BZ605" s="1019"/>
      <c r="CA605" s="1019"/>
      <c r="CB605" s="1021"/>
      <c r="CC605" s="1018">
        <f t="shared" si="12"/>
        <v>0</v>
      </c>
      <c r="CD605" s="1019"/>
      <c r="CE605" s="1019"/>
      <c r="CF605" s="1019"/>
      <c r="CG605" s="1021"/>
      <c r="CH605" s="1018">
        <f t="shared" si="13"/>
        <v>0</v>
      </c>
      <c r="CI605" s="1019"/>
      <c r="CJ605" s="1019"/>
      <c r="CK605" s="1019"/>
      <c r="CL605" s="1021"/>
      <c r="CM605" s="1022">
        <f t="shared" si="14"/>
        <v>0</v>
      </c>
      <c r="CN605" s="1023"/>
      <c r="CO605" s="1023"/>
      <c r="CP605" s="1023"/>
      <c r="CQ605" s="1020"/>
      <c r="CS605" s="1015">
        <f t="shared" si="17"/>
        <v>0</v>
      </c>
      <c r="CT605" s="1016"/>
      <c r="CU605" s="1016"/>
      <c r="CV605" s="1016"/>
      <c r="CW605" s="1017"/>
      <c r="CX605" s="1015">
        <f t="shared" si="18"/>
        <v>0</v>
      </c>
      <c r="CY605" s="1016"/>
      <c r="CZ605" s="1016"/>
      <c r="DA605" s="1016"/>
      <c r="DB605" s="1017"/>
      <c r="DC605" s="1015">
        <f t="shared" si="19"/>
        <v>0</v>
      </c>
      <c r="DD605" s="1016"/>
      <c r="DE605" s="1016"/>
      <c r="DF605" s="1016"/>
      <c r="DG605" s="1017"/>
      <c r="DH605" s="1015">
        <f t="shared" si="20"/>
        <v>0</v>
      </c>
      <c r="DI605" s="1016"/>
      <c r="DJ605" s="1016"/>
      <c r="DK605" s="1016"/>
      <c r="DL605" s="1017"/>
      <c r="DM605" s="1015">
        <f t="shared" si="21"/>
        <v>0</v>
      </c>
      <c r="DN605" s="1016"/>
      <c r="DO605" s="1016"/>
      <c r="DP605" s="1016"/>
      <c r="DQ605" s="1017"/>
      <c r="DR605" s="1015">
        <f t="shared" si="22"/>
        <v>0</v>
      </c>
      <c r="DS605" s="1016"/>
      <c r="DT605" s="1016"/>
      <c r="DU605" s="1016"/>
      <c r="DV605" s="1017"/>
    </row>
    <row r="606" spans="1:126" ht="12.9" customHeight="1">
      <c r="B606" t="s">
        <v>1327</v>
      </c>
      <c r="G606" s="1005"/>
      <c r="H606" s="1005"/>
      <c r="I606" s="1005"/>
      <c r="J606" s="1005"/>
      <c r="K606" s="1005"/>
      <c r="L606" s="1005"/>
      <c r="M606" s="1005"/>
      <c r="N606" s="1005"/>
      <c r="O606" s="1005"/>
      <c r="P606" s="1005"/>
      <c r="Q606" s="1005"/>
      <c r="R606" s="1005"/>
      <c r="U606" t="s">
        <v>1327</v>
      </c>
      <c r="Z606" s="1004"/>
      <c r="AA606" s="1004"/>
      <c r="AB606" s="1004"/>
      <c r="AC606" s="1004"/>
      <c r="AD606" s="1004"/>
      <c r="AE606" s="1004"/>
      <c r="AF606" s="1004"/>
      <c r="AG606" s="1004"/>
      <c r="AH606" s="1004"/>
      <c r="AI606" s="1004"/>
      <c r="AJ606" s="1004"/>
      <c r="AK606" s="1004"/>
      <c r="AL606" s="260"/>
      <c r="BA606" s="37"/>
      <c r="BB606" s="37"/>
      <c r="BC606" s="37"/>
      <c r="BD606" s="37"/>
      <c r="BE606" s="1018">
        <f t="shared" si="15"/>
        <v>0</v>
      </c>
      <c r="BF606" s="1021"/>
      <c r="BG606" s="1018">
        <f t="shared" si="7"/>
        <v>0</v>
      </c>
      <c r="BH606" s="1021"/>
      <c r="BI606" s="1018">
        <f t="shared" si="16"/>
        <v>0</v>
      </c>
      <c r="BJ606" s="1021"/>
      <c r="BK606" s="1018">
        <f t="shared" si="8"/>
        <v>0</v>
      </c>
      <c r="BL606" s="1021"/>
      <c r="BN606" s="1018">
        <f t="shared" si="9"/>
        <v>0</v>
      </c>
      <c r="BO606" s="1019"/>
      <c r="BP606" s="1019"/>
      <c r="BQ606" s="1019"/>
      <c r="BR606" s="1020"/>
      <c r="BS606" s="1018">
        <f t="shared" si="10"/>
        <v>0</v>
      </c>
      <c r="BT606" s="1019"/>
      <c r="BU606" s="1019"/>
      <c r="BV606" s="1019"/>
      <c r="BW606" s="1021"/>
      <c r="BX606" s="1018">
        <f t="shared" si="11"/>
        <v>0</v>
      </c>
      <c r="BY606" s="1019"/>
      <c r="BZ606" s="1019"/>
      <c r="CA606" s="1019"/>
      <c r="CB606" s="1021"/>
      <c r="CC606" s="1018">
        <f t="shared" si="12"/>
        <v>0</v>
      </c>
      <c r="CD606" s="1019"/>
      <c r="CE606" s="1019"/>
      <c r="CF606" s="1019"/>
      <c r="CG606" s="1021"/>
      <c r="CH606" s="1018">
        <f t="shared" si="13"/>
        <v>0</v>
      </c>
      <c r="CI606" s="1019"/>
      <c r="CJ606" s="1019"/>
      <c r="CK606" s="1019"/>
      <c r="CL606" s="1021"/>
      <c r="CM606" s="1022">
        <f t="shared" si="14"/>
        <v>0</v>
      </c>
      <c r="CN606" s="1023"/>
      <c r="CO606" s="1023"/>
      <c r="CP606" s="1023"/>
      <c r="CQ606" s="1020"/>
      <c r="CS606" s="1015">
        <f t="shared" si="17"/>
        <v>0</v>
      </c>
      <c r="CT606" s="1016"/>
      <c r="CU606" s="1016"/>
      <c r="CV606" s="1016"/>
      <c r="CW606" s="1017"/>
      <c r="CX606" s="1015">
        <f t="shared" si="18"/>
        <v>0</v>
      </c>
      <c r="CY606" s="1016"/>
      <c r="CZ606" s="1016"/>
      <c r="DA606" s="1016"/>
      <c r="DB606" s="1017"/>
      <c r="DC606" s="1015">
        <f t="shared" si="19"/>
        <v>0</v>
      </c>
      <c r="DD606" s="1016"/>
      <c r="DE606" s="1016"/>
      <c r="DF606" s="1016"/>
      <c r="DG606" s="1017"/>
      <c r="DH606" s="1015">
        <f t="shared" si="20"/>
        <v>0</v>
      </c>
      <c r="DI606" s="1016"/>
      <c r="DJ606" s="1016"/>
      <c r="DK606" s="1016"/>
      <c r="DL606" s="1017"/>
      <c r="DM606" s="1015">
        <f t="shared" si="21"/>
        <v>0</v>
      </c>
      <c r="DN606" s="1016"/>
      <c r="DO606" s="1016"/>
      <c r="DP606" s="1016"/>
      <c r="DQ606" s="1017"/>
      <c r="DR606" s="1015">
        <f t="shared" si="22"/>
        <v>0</v>
      </c>
      <c r="DS606" s="1016"/>
      <c r="DT606" s="1016"/>
      <c r="DU606" s="1016"/>
      <c r="DV606" s="1017"/>
    </row>
    <row r="607" spans="1:126" ht="12.9" customHeight="1">
      <c r="B607" t="s">
        <v>762</v>
      </c>
      <c r="G607" s="1008"/>
      <c r="H607" s="1008"/>
      <c r="I607" s="1008"/>
      <c r="J607" s="1008"/>
      <c r="K607" s="1008"/>
      <c r="L607" s="1008"/>
      <c r="O607" s="806" t="s">
        <v>991</v>
      </c>
      <c r="P607" s="1003"/>
      <c r="Q607" s="1003"/>
      <c r="R607" s="1003"/>
      <c r="U607" t="s">
        <v>762</v>
      </c>
      <c r="Z607" s="1008"/>
      <c r="AA607" s="1008"/>
      <c r="AB607" s="1008"/>
      <c r="AC607" s="1008"/>
      <c r="AD607" s="1008"/>
      <c r="AE607" s="1008"/>
      <c r="AH607" s="806" t="s">
        <v>991</v>
      </c>
      <c r="AI607" s="1003"/>
      <c r="AJ607" s="1003"/>
      <c r="AK607" s="1003"/>
      <c r="AZ607" s="37"/>
      <c r="BA607" s="37"/>
      <c r="BB607" s="37"/>
      <c r="BC607" s="37"/>
      <c r="BD607" s="37"/>
      <c r="BE607" s="1018">
        <f t="shared" si="15"/>
        <v>0</v>
      </c>
      <c r="BF607" s="1021"/>
      <c r="BG607" s="1018">
        <f t="shared" si="7"/>
        <v>0</v>
      </c>
      <c r="BH607" s="1021"/>
      <c r="BI607" s="1018">
        <f t="shared" si="16"/>
        <v>0</v>
      </c>
      <c r="BJ607" s="1021"/>
      <c r="BK607" s="1018">
        <f t="shared" si="8"/>
        <v>0</v>
      </c>
      <c r="BL607" s="1021"/>
      <c r="BN607" s="1018">
        <f t="shared" si="9"/>
        <v>0</v>
      </c>
      <c r="BO607" s="1019"/>
      <c r="BP607" s="1019"/>
      <c r="BQ607" s="1019"/>
      <c r="BR607" s="1020"/>
      <c r="BS607" s="1018">
        <f t="shared" si="10"/>
        <v>0</v>
      </c>
      <c r="BT607" s="1019"/>
      <c r="BU607" s="1019"/>
      <c r="BV607" s="1019"/>
      <c r="BW607" s="1021"/>
      <c r="BX607" s="1018">
        <f t="shared" si="11"/>
        <v>0</v>
      </c>
      <c r="BY607" s="1019"/>
      <c r="BZ607" s="1019"/>
      <c r="CA607" s="1019"/>
      <c r="CB607" s="1021"/>
      <c r="CC607" s="1018">
        <f t="shared" si="12"/>
        <v>0</v>
      </c>
      <c r="CD607" s="1019"/>
      <c r="CE607" s="1019"/>
      <c r="CF607" s="1019"/>
      <c r="CG607" s="1021"/>
      <c r="CH607" s="1018">
        <f t="shared" si="13"/>
        <v>0</v>
      </c>
      <c r="CI607" s="1019"/>
      <c r="CJ607" s="1019"/>
      <c r="CK607" s="1019"/>
      <c r="CL607" s="1021"/>
      <c r="CM607" s="1022">
        <f t="shared" si="14"/>
        <v>0</v>
      </c>
      <c r="CN607" s="1023"/>
      <c r="CO607" s="1023"/>
      <c r="CP607" s="1023"/>
      <c r="CQ607" s="1020"/>
      <c r="CS607" s="1015">
        <f t="shared" si="17"/>
        <v>0</v>
      </c>
      <c r="CT607" s="1016"/>
      <c r="CU607" s="1016"/>
      <c r="CV607" s="1016"/>
      <c r="CW607" s="1017"/>
      <c r="CX607" s="1015">
        <f t="shared" si="18"/>
        <v>0</v>
      </c>
      <c r="CY607" s="1016"/>
      <c r="CZ607" s="1016"/>
      <c r="DA607" s="1016"/>
      <c r="DB607" s="1017"/>
      <c r="DC607" s="1015">
        <f t="shared" si="19"/>
        <v>0</v>
      </c>
      <c r="DD607" s="1016"/>
      <c r="DE607" s="1016"/>
      <c r="DF607" s="1016"/>
      <c r="DG607" s="1017"/>
      <c r="DH607" s="1015">
        <f t="shared" si="20"/>
        <v>0</v>
      </c>
      <c r="DI607" s="1016"/>
      <c r="DJ607" s="1016"/>
      <c r="DK607" s="1016"/>
      <c r="DL607" s="1017"/>
      <c r="DM607" s="1015">
        <f t="shared" si="21"/>
        <v>0</v>
      </c>
      <c r="DN607" s="1016"/>
      <c r="DO607" s="1016"/>
      <c r="DP607" s="1016"/>
      <c r="DQ607" s="1017"/>
      <c r="DR607" s="1015">
        <f t="shared" si="22"/>
        <v>0</v>
      </c>
      <c r="DS607" s="1016"/>
      <c r="DT607" s="1016"/>
      <c r="DU607" s="1016"/>
      <c r="DV607" s="1017"/>
    </row>
    <row r="608" spans="1:126" ht="12.9" customHeight="1">
      <c r="B608" t="s">
        <v>1332</v>
      </c>
      <c r="H608" s="1005"/>
      <c r="I608" s="1005"/>
      <c r="J608" s="1005"/>
      <c r="K608" s="1005"/>
      <c r="L608" s="1005"/>
      <c r="M608" s="1005"/>
      <c r="N608" s="1005"/>
      <c r="O608" s="1005"/>
      <c r="P608" s="1005"/>
      <c r="Q608" s="1005"/>
      <c r="R608" s="1005"/>
      <c r="U608" t="s">
        <v>1332</v>
      </c>
      <c r="AA608" s="1005"/>
      <c r="AB608" s="1005"/>
      <c r="AC608" s="1005"/>
      <c r="AD608" s="1005"/>
      <c r="AE608" s="1005"/>
      <c r="AF608" s="1005"/>
      <c r="AG608" s="1005"/>
      <c r="AH608" s="1005"/>
      <c r="AI608" s="1005"/>
      <c r="AJ608" s="1005"/>
      <c r="AK608" s="1005"/>
      <c r="AZ608" s="37"/>
      <c r="BA608" s="37"/>
      <c r="BB608" s="37"/>
      <c r="BC608" s="37"/>
      <c r="BD608" s="37"/>
      <c r="BE608" s="1018">
        <f t="shared" si="15"/>
        <v>0</v>
      </c>
      <c r="BF608" s="1021"/>
      <c r="BG608" s="1018">
        <f t="shared" si="7"/>
        <v>0</v>
      </c>
      <c r="BH608" s="1021"/>
      <c r="BI608" s="1018">
        <f t="shared" si="16"/>
        <v>0</v>
      </c>
      <c r="BJ608" s="1021"/>
      <c r="BK608" s="1018">
        <f t="shared" si="8"/>
        <v>0</v>
      </c>
      <c r="BL608" s="1021"/>
      <c r="BN608" s="1018">
        <f t="shared" si="9"/>
        <v>0</v>
      </c>
      <c r="BO608" s="1019"/>
      <c r="BP608" s="1019"/>
      <c r="BQ608" s="1019"/>
      <c r="BR608" s="1020"/>
      <c r="BS608" s="1018">
        <f t="shared" si="10"/>
        <v>0</v>
      </c>
      <c r="BT608" s="1019"/>
      <c r="BU608" s="1019"/>
      <c r="BV608" s="1019"/>
      <c r="BW608" s="1021"/>
      <c r="BX608" s="1018">
        <f t="shared" si="11"/>
        <v>0</v>
      </c>
      <c r="BY608" s="1019"/>
      <c r="BZ608" s="1019"/>
      <c r="CA608" s="1019"/>
      <c r="CB608" s="1021"/>
      <c r="CC608" s="1018">
        <f t="shared" si="12"/>
        <v>0</v>
      </c>
      <c r="CD608" s="1019"/>
      <c r="CE608" s="1019"/>
      <c r="CF608" s="1019"/>
      <c r="CG608" s="1021"/>
      <c r="CH608" s="1018">
        <f t="shared" si="13"/>
        <v>0</v>
      </c>
      <c r="CI608" s="1019"/>
      <c r="CJ608" s="1019"/>
      <c r="CK608" s="1019"/>
      <c r="CL608" s="1021"/>
      <c r="CM608" s="1022">
        <f t="shared" si="14"/>
        <v>0</v>
      </c>
      <c r="CN608" s="1023"/>
      <c r="CO608" s="1023"/>
      <c r="CP608" s="1023"/>
      <c r="CQ608" s="1020"/>
      <c r="CS608" s="1015">
        <f t="shared" si="17"/>
        <v>0</v>
      </c>
      <c r="CT608" s="1016"/>
      <c r="CU608" s="1016"/>
      <c r="CV608" s="1016"/>
      <c r="CW608" s="1017"/>
      <c r="CX608" s="1015">
        <f t="shared" si="18"/>
        <v>0</v>
      </c>
      <c r="CY608" s="1016"/>
      <c r="CZ608" s="1016"/>
      <c r="DA608" s="1016"/>
      <c r="DB608" s="1017"/>
      <c r="DC608" s="1015">
        <f t="shared" si="19"/>
        <v>0</v>
      </c>
      <c r="DD608" s="1016"/>
      <c r="DE608" s="1016"/>
      <c r="DF608" s="1016"/>
      <c r="DG608" s="1017"/>
      <c r="DH608" s="1015">
        <f t="shared" si="20"/>
        <v>0</v>
      </c>
      <c r="DI608" s="1016"/>
      <c r="DJ608" s="1016"/>
      <c r="DK608" s="1016"/>
      <c r="DL608" s="1017"/>
      <c r="DM608" s="1015">
        <f t="shared" si="21"/>
        <v>0</v>
      </c>
      <c r="DN608" s="1016"/>
      <c r="DO608" s="1016"/>
      <c r="DP608" s="1016"/>
      <c r="DQ608" s="1017"/>
      <c r="DR608" s="1015">
        <f t="shared" si="22"/>
        <v>0</v>
      </c>
      <c r="DS608" s="1016"/>
      <c r="DT608" s="1016"/>
      <c r="DU608" s="1016"/>
      <c r="DV608" s="1017"/>
    </row>
    <row r="609" spans="1:126" ht="12.9" customHeight="1">
      <c r="B609" t="s">
        <v>1335</v>
      </c>
      <c r="N609" s="1063" t="s">
        <v>759</v>
      </c>
      <c r="O609" s="1063"/>
      <c r="U609" t="s">
        <v>1335</v>
      </c>
      <c r="AG609" s="1063" t="s">
        <v>759</v>
      </c>
      <c r="AH609" s="1063"/>
      <c r="AZ609" s="37"/>
      <c r="BA609" s="37"/>
      <c r="BB609" s="37"/>
      <c r="BC609" s="37"/>
      <c r="BD609" s="37"/>
      <c r="BE609" s="1018">
        <f t="shared" si="15"/>
        <v>0</v>
      </c>
      <c r="BF609" s="1021"/>
      <c r="BG609" s="1018">
        <f t="shared" si="7"/>
        <v>0</v>
      </c>
      <c r="BH609" s="1021"/>
      <c r="BI609" s="1018">
        <f t="shared" si="16"/>
        <v>0</v>
      </c>
      <c r="BJ609" s="1021"/>
      <c r="BK609" s="1018">
        <f t="shared" si="8"/>
        <v>0</v>
      </c>
      <c r="BL609" s="1021"/>
      <c r="BN609" s="1018">
        <f t="shared" si="9"/>
        <v>0</v>
      </c>
      <c r="BO609" s="1019"/>
      <c r="BP609" s="1019"/>
      <c r="BQ609" s="1019"/>
      <c r="BR609" s="1020"/>
      <c r="BS609" s="1018">
        <f t="shared" si="10"/>
        <v>0</v>
      </c>
      <c r="BT609" s="1019"/>
      <c r="BU609" s="1019"/>
      <c r="BV609" s="1019"/>
      <c r="BW609" s="1021"/>
      <c r="BX609" s="1018">
        <f t="shared" si="11"/>
        <v>0</v>
      </c>
      <c r="BY609" s="1019"/>
      <c r="BZ609" s="1019"/>
      <c r="CA609" s="1019"/>
      <c r="CB609" s="1021"/>
      <c r="CC609" s="1018">
        <f t="shared" si="12"/>
        <v>0</v>
      </c>
      <c r="CD609" s="1019"/>
      <c r="CE609" s="1019"/>
      <c r="CF609" s="1019"/>
      <c r="CG609" s="1021"/>
      <c r="CH609" s="1018">
        <f t="shared" si="13"/>
        <v>0</v>
      </c>
      <c r="CI609" s="1019"/>
      <c r="CJ609" s="1019"/>
      <c r="CK609" s="1019"/>
      <c r="CL609" s="1021"/>
      <c r="CM609" s="1022">
        <f t="shared" si="14"/>
        <v>0</v>
      </c>
      <c r="CN609" s="1023"/>
      <c r="CO609" s="1023"/>
      <c r="CP609" s="1023"/>
      <c r="CQ609" s="1020"/>
      <c r="CS609" s="1015">
        <f t="shared" si="17"/>
        <v>0</v>
      </c>
      <c r="CT609" s="1016"/>
      <c r="CU609" s="1016"/>
      <c r="CV609" s="1016"/>
      <c r="CW609" s="1017"/>
      <c r="CX609" s="1015">
        <f t="shared" si="18"/>
        <v>0</v>
      </c>
      <c r="CY609" s="1016"/>
      <c r="CZ609" s="1016"/>
      <c r="DA609" s="1016"/>
      <c r="DB609" s="1017"/>
      <c r="DC609" s="1015">
        <f t="shared" si="19"/>
        <v>0</v>
      </c>
      <c r="DD609" s="1016"/>
      <c r="DE609" s="1016"/>
      <c r="DF609" s="1016"/>
      <c r="DG609" s="1017"/>
      <c r="DH609" s="1015">
        <f t="shared" si="20"/>
        <v>0</v>
      </c>
      <c r="DI609" s="1016"/>
      <c r="DJ609" s="1016"/>
      <c r="DK609" s="1016"/>
      <c r="DL609" s="1017"/>
      <c r="DM609" s="1015">
        <f t="shared" si="21"/>
        <v>0</v>
      </c>
      <c r="DN609" s="1016"/>
      <c r="DO609" s="1016"/>
      <c r="DP609" s="1016"/>
      <c r="DQ609" s="1017"/>
      <c r="DR609" s="1015">
        <f t="shared" si="22"/>
        <v>0</v>
      </c>
      <c r="DS609" s="1016"/>
      <c r="DT609" s="1016"/>
      <c r="DU609" s="1016"/>
      <c r="DV609" s="1017"/>
    </row>
    <row r="610" spans="1:126" ht="12.9" customHeight="1">
      <c r="AZ610" s="37"/>
      <c r="BA610" s="37"/>
      <c r="BB610" s="37"/>
      <c r="BC610" s="37"/>
      <c r="BD610" s="37"/>
      <c r="BE610" s="1018">
        <f t="shared" si="15"/>
        <v>0</v>
      </c>
      <c r="BF610" s="1021"/>
      <c r="BG610" s="1018">
        <f t="shared" si="7"/>
        <v>0</v>
      </c>
      <c r="BH610" s="1021"/>
      <c r="BI610" s="1018">
        <f t="shared" si="16"/>
        <v>0</v>
      </c>
      <c r="BJ610" s="1021"/>
      <c r="BK610" s="1018">
        <f t="shared" si="8"/>
        <v>0</v>
      </c>
      <c r="BL610" s="1021"/>
      <c r="BN610" s="1018">
        <f t="shared" si="9"/>
        <v>0</v>
      </c>
      <c r="BO610" s="1019"/>
      <c r="BP610" s="1019"/>
      <c r="BQ610" s="1019"/>
      <c r="BR610" s="1020"/>
      <c r="BS610" s="1018">
        <f t="shared" si="10"/>
        <v>0</v>
      </c>
      <c r="BT610" s="1019"/>
      <c r="BU610" s="1019"/>
      <c r="BV610" s="1019"/>
      <c r="BW610" s="1021"/>
      <c r="BX610" s="1018">
        <f t="shared" si="11"/>
        <v>0</v>
      </c>
      <c r="BY610" s="1019"/>
      <c r="BZ610" s="1019"/>
      <c r="CA610" s="1019"/>
      <c r="CB610" s="1021"/>
      <c r="CC610" s="1018">
        <f t="shared" si="12"/>
        <v>0</v>
      </c>
      <c r="CD610" s="1019"/>
      <c r="CE610" s="1019"/>
      <c r="CF610" s="1019"/>
      <c r="CG610" s="1021"/>
      <c r="CH610" s="1018">
        <f t="shared" si="13"/>
        <v>0</v>
      </c>
      <c r="CI610" s="1019"/>
      <c r="CJ610" s="1019"/>
      <c r="CK610" s="1019"/>
      <c r="CL610" s="1021"/>
      <c r="CM610" s="1022">
        <f t="shared" si="14"/>
        <v>0</v>
      </c>
      <c r="CN610" s="1023"/>
      <c r="CO610" s="1023"/>
      <c r="CP610" s="1023"/>
      <c r="CQ610" s="1020"/>
      <c r="CS610" s="1015">
        <f t="shared" si="17"/>
        <v>0</v>
      </c>
      <c r="CT610" s="1016"/>
      <c r="CU610" s="1016"/>
      <c r="CV610" s="1016"/>
      <c r="CW610" s="1017"/>
      <c r="CX610" s="1015">
        <f t="shared" si="18"/>
        <v>0</v>
      </c>
      <c r="CY610" s="1016"/>
      <c r="CZ610" s="1016"/>
      <c r="DA610" s="1016"/>
      <c r="DB610" s="1017"/>
      <c r="DC610" s="1015">
        <f t="shared" si="19"/>
        <v>0</v>
      </c>
      <c r="DD610" s="1016"/>
      <c r="DE610" s="1016"/>
      <c r="DF610" s="1016"/>
      <c r="DG610" s="1017"/>
      <c r="DH610" s="1015">
        <f t="shared" si="20"/>
        <v>0</v>
      </c>
      <c r="DI610" s="1016"/>
      <c r="DJ610" s="1016"/>
      <c r="DK610" s="1016"/>
      <c r="DL610" s="1017"/>
      <c r="DM610" s="1015">
        <f t="shared" si="21"/>
        <v>0</v>
      </c>
      <c r="DN610" s="1016"/>
      <c r="DO610" s="1016"/>
      <c r="DP610" s="1016"/>
      <c r="DQ610" s="1017"/>
      <c r="DR610" s="1015">
        <f t="shared" si="22"/>
        <v>0</v>
      </c>
      <c r="DS610" s="1016"/>
      <c r="DT610" s="1016"/>
      <c r="DU610" s="1016"/>
      <c r="DV610" s="1017"/>
    </row>
    <row r="611" spans="1:126" ht="12.9" customHeight="1">
      <c r="A611" s="926" t="s">
        <v>1353</v>
      </c>
      <c r="B611" s="926"/>
      <c r="C611" s="926"/>
      <c r="D611" s="926"/>
      <c r="E611" s="926"/>
      <c r="F611" s="926"/>
      <c r="G611" s="926"/>
      <c r="H611" s="926"/>
      <c r="I611" s="926"/>
      <c r="J611" s="926"/>
      <c r="K611" s="926"/>
      <c r="L611" s="926"/>
      <c r="M611" s="926"/>
      <c r="N611" s="926"/>
      <c r="O611" s="926"/>
      <c r="P611" s="926"/>
      <c r="Q611" s="926"/>
      <c r="R611" s="926"/>
      <c r="S611" s="926"/>
      <c r="T611" s="926"/>
      <c r="U611" s="926"/>
      <c r="V611" s="926"/>
      <c r="W611" s="926"/>
      <c r="X611" s="926"/>
      <c r="Y611" s="926"/>
      <c r="Z611" s="926"/>
      <c r="AA611" s="926"/>
      <c r="AB611" s="926"/>
      <c r="AC611" s="926"/>
      <c r="AD611" s="926"/>
      <c r="AE611" s="926"/>
      <c r="AF611" s="926"/>
      <c r="AG611" s="926"/>
      <c r="AH611" s="926"/>
      <c r="AI611" s="926"/>
      <c r="AJ611" s="926"/>
      <c r="AK611" s="926"/>
      <c r="AL611" s="926"/>
      <c r="AM611" s="926"/>
      <c r="AN611" s="926"/>
      <c r="AO611" s="926"/>
      <c r="AP611" s="926"/>
      <c r="AQ611" s="926"/>
      <c r="AR611" s="926"/>
      <c r="AS611" s="926"/>
      <c r="AT611" s="926"/>
      <c r="AZ611" s="37"/>
      <c r="BA611" s="37"/>
      <c r="BB611" s="37"/>
      <c r="BC611" s="37"/>
      <c r="BD611" s="37"/>
      <c r="BE611" s="1018">
        <f t="shared" si="15"/>
        <v>0</v>
      </c>
      <c r="BF611" s="1021"/>
      <c r="BG611" s="1018">
        <f t="shared" si="7"/>
        <v>0</v>
      </c>
      <c r="BH611" s="1021"/>
      <c r="BI611" s="1018">
        <f t="shared" si="16"/>
        <v>0</v>
      </c>
      <c r="BJ611" s="1021"/>
      <c r="BK611" s="1018">
        <f t="shared" si="8"/>
        <v>0</v>
      </c>
      <c r="BL611" s="1021"/>
      <c r="BN611" s="1018">
        <f t="shared" si="9"/>
        <v>0</v>
      </c>
      <c r="BO611" s="1019"/>
      <c r="BP611" s="1019"/>
      <c r="BQ611" s="1019"/>
      <c r="BR611" s="1020"/>
      <c r="BS611" s="1018">
        <f t="shared" si="10"/>
        <v>0</v>
      </c>
      <c r="BT611" s="1019"/>
      <c r="BU611" s="1019"/>
      <c r="BV611" s="1019"/>
      <c r="BW611" s="1021"/>
      <c r="BX611" s="1018">
        <f t="shared" si="11"/>
        <v>0</v>
      </c>
      <c r="BY611" s="1019"/>
      <c r="BZ611" s="1019"/>
      <c r="CA611" s="1019"/>
      <c r="CB611" s="1021"/>
      <c r="CC611" s="1018">
        <f t="shared" si="12"/>
        <v>0</v>
      </c>
      <c r="CD611" s="1019"/>
      <c r="CE611" s="1019"/>
      <c r="CF611" s="1019"/>
      <c r="CG611" s="1021"/>
      <c r="CH611" s="1018">
        <f t="shared" si="13"/>
        <v>0</v>
      </c>
      <c r="CI611" s="1019"/>
      <c r="CJ611" s="1019"/>
      <c r="CK611" s="1019"/>
      <c r="CL611" s="1021"/>
      <c r="CM611" s="1022">
        <f t="shared" si="14"/>
        <v>0</v>
      </c>
      <c r="CN611" s="1023"/>
      <c r="CO611" s="1023"/>
      <c r="CP611" s="1023"/>
      <c r="CQ611" s="1020"/>
      <c r="CS611" s="1015">
        <f t="shared" si="17"/>
        <v>0</v>
      </c>
      <c r="CT611" s="1016"/>
      <c r="CU611" s="1016"/>
      <c r="CV611" s="1016"/>
      <c r="CW611" s="1017"/>
      <c r="CX611" s="1015">
        <f t="shared" si="18"/>
        <v>0</v>
      </c>
      <c r="CY611" s="1016"/>
      <c r="CZ611" s="1016"/>
      <c r="DA611" s="1016"/>
      <c r="DB611" s="1017"/>
      <c r="DC611" s="1015">
        <f t="shared" si="19"/>
        <v>0</v>
      </c>
      <c r="DD611" s="1016"/>
      <c r="DE611" s="1016"/>
      <c r="DF611" s="1016"/>
      <c r="DG611" s="1017"/>
      <c r="DH611" s="1015">
        <f t="shared" si="20"/>
        <v>0</v>
      </c>
      <c r="DI611" s="1016"/>
      <c r="DJ611" s="1016"/>
      <c r="DK611" s="1016"/>
      <c r="DL611" s="1017"/>
      <c r="DM611" s="1015">
        <f t="shared" si="21"/>
        <v>0</v>
      </c>
      <c r="DN611" s="1016"/>
      <c r="DO611" s="1016"/>
      <c r="DP611" s="1016"/>
      <c r="DQ611" s="1017"/>
      <c r="DR611" s="1015">
        <f t="shared" si="22"/>
        <v>0</v>
      </c>
      <c r="DS611" s="1016"/>
      <c r="DT611" s="1016"/>
      <c r="DU611" s="1016"/>
      <c r="DV611" s="1017"/>
    </row>
    <row r="612" spans="1:126" ht="12.9" customHeight="1">
      <c r="A612" s="926"/>
      <c r="B612" s="926"/>
      <c r="C612" s="926"/>
      <c r="D612" s="926"/>
      <c r="E612" s="926"/>
      <c r="F612" s="926"/>
      <c r="G612" s="926"/>
      <c r="H612" s="926"/>
      <c r="I612" s="926"/>
      <c r="J612" s="926"/>
      <c r="K612" s="926"/>
      <c r="L612" s="926"/>
      <c r="M612" s="926"/>
      <c r="N612" s="926"/>
      <c r="O612" s="926"/>
      <c r="P612" s="926"/>
      <c r="Q612" s="926"/>
      <c r="R612" s="926"/>
      <c r="S612" s="926"/>
      <c r="T612" s="926"/>
      <c r="U612" s="926"/>
      <c r="V612" s="926"/>
      <c r="W612" s="926"/>
      <c r="X612" s="926"/>
      <c r="Y612" s="926"/>
      <c r="Z612" s="926"/>
      <c r="AA612" s="926"/>
      <c r="AB612" s="926"/>
      <c r="AC612" s="926"/>
      <c r="AD612" s="926"/>
      <c r="AE612" s="926"/>
      <c r="AF612" s="926"/>
      <c r="AG612" s="926"/>
      <c r="AH612" s="926"/>
      <c r="AI612" s="926"/>
      <c r="AJ612" s="926"/>
      <c r="AK612" s="926"/>
      <c r="AL612" s="926"/>
      <c r="AM612" s="926"/>
      <c r="AN612" s="926"/>
      <c r="AO612" s="926"/>
      <c r="AP612" s="926"/>
      <c r="AQ612" s="926"/>
      <c r="AR612" s="926"/>
      <c r="AS612" s="926"/>
      <c r="AT612" s="926"/>
      <c r="AZ612" s="37"/>
      <c r="BA612" s="37"/>
      <c r="BB612" s="37"/>
      <c r="BC612" s="37"/>
      <c r="BD612" s="37"/>
      <c r="BE612" s="1018">
        <f t="shared" si="15"/>
        <v>0</v>
      </c>
      <c r="BF612" s="1021"/>
      <c r="BG612" s="1018">
        <f t="shared" si="7"/>
        <v>0</v>
      </c>
      <c r="BH612" s="1021"/>
      <c r="BI612" s="1018">
        <f t="shared" si="16"/>
        <v>0</v>
      </c>
      <c r="BJ612" s="1021"/>
      <c r="BK612" s="1018">
        <f t="shared" si="8"/>
        <v>0</v>
      </c>
      <c r="BL612" s="1021"/>
      <c r="BN612" s="1018">
        <f t="shared" si="9"/>
        <v>0</v>
      </c>
      <c r="BO612" s="1019"/>
      <c r="BP612" s="1019"/>
      <c r="BQ612" s="1019"/>
      <c r="BR612" s="1020"/>
      <c r="BS612" s="1018">
        <f t="shared" si="10"/>
        <v>0</v>
      </c>
      <c r="BT612" s="1019"/>
      <c r="BU612" s="1019"/>
      <c r="BV612" s="1019"/>
      <c r="BW612" s="1021"/>
      <c r="BX612" s="1018">
        <f t="shared" si="11"/>
        <v>0</v>
      </c>
      <c r="BY612" s="1019"/>
      <c r="BZ612" s="1019"/>
      <c r="CA612" s="1019"/>
      <c r="CB612" s="1021"/>
      <c r="CC612" s="1018">
        <f t="shared" si="12"/>
        <v>0</v>
      </c>
      <c r="CD612" s="1019"/>
      <c r="CE612" s="1019"/>
      <c r="CF612" s="1019"/>
      <c r="CG612" s="1021"/>
      <c r="CH612" s="1018">
        <f t="shared" si="13"/>
        <v>0</v>
      </c>
      <c r="CI612" s="1019"/>
      <c r="CJ612" s="1019"/>
      <c r="CK612" s="1019"/>
      <c r="CL612" s="1021"/>
      <c r="CM612" s="1022">
        <f t="shared" si="14"/>
        <v>0</v>
      </c>
      <c r="CN612" s="1023"/>
      <c r="CO612" s="1023"/>
      <c r="CP612" s="1023"/>
      <c r="CQ612" s="1020"/>
      <c r="CS612" s="1015">
        <f t="shared" si="17"/>
        <v>0</v>
      </c>
      <c r="CT612" s="1016"/>
      <c r="CU612" s="1016"/>
      <c r="CV612" s="1016"/>
      <c r="CW612" s="1017"/>
      <c r="CX612" s="1015">
        <f t="shared" si="18"/>
        <v>0</v>
      </c>
      <c r="CY612" s="1016"/>
      <c r="CZ612" s="1016"/>
      <c r="DA612" s="1016"/>
      <c r="DB612" s="1017"/>
      <c r="DC612" s="1015">
        <f t="shared" si="19"/>
        <v>0</v>
      </c>
      <c r="DD612" s="1016"/>
      <c r="DE612" s="1016"/>
      <c r="DF612" s="1016"/>
      <c r="DG612" s="1017"/>
      <c r="DH612" s="1015">
        <f t="shared" si="20"/>
        <v>0</v>
      </c>
      <c r="DI612" s="1016"/>
      <c r="DJ612" s="1016"/>
      <c r="DK612" s="1016"/>
      <c r="DL612" s="1017"/>
      <c r="DM612" s="1015">
        <f t="shared" si="21"/>
        <v>0</v>
      </c>
      <c r="DN612" s="1016"/>
      <c r="DO612" s="1016"/>
      <c r="DP612" s="1016"/>
      <c r="DQ612" s="1017"/>
      <c r="DR612" s="1015">
        <f t="shared" si="22"/>
        <v>0</v>
      </c>
      <c r="DS612" s="1016"/>
      <c r="DT612" s="1016"/>
      <c r="DU612" s="1016"/>
      <c r="DV612" s="1017"/>
    </row>
    <row r="613" spans="1:126" ht="12.9" customHeight="1">
      <c r="AZ613" s="37"/>
      <c r="BA613" s="37"/>
      <c r="BB613" s="37"/>
      <c r="BC613" s="37"/>
      <c r="BD613" s="37"/>
      <c r="BE613" s="1018">
        <f t="shared" si="15"/>
        <v>0</v>
      </c>
      <c r="BF613" s="1021"/>
      <c r="BG613" s="1018">
        <f t="shared" si="7"/>
        <v>0</v>
      </c>
      <c r="BH613" s="1021"/>
      <c r="BI613" s="1018">
        <f t="shared" si="16"/>
        <v>0</v>
      </c>
      <c r="BJ613" s="1021"/>
      <c r="BK613" s="1018">
        <f t="shared" si="8"/>
        <v>0</v>
      </c>
      <c r="BL613" s="1021"/>
      <c r="BN613" s="1018">
        <f t="shared" si="9"/>
        <v>0</v>
      </c>
      <c r="BO613" s="1019"/>
      <c r="BP613" s="1019"/>
      <c r="BQ613" s="1019"/>
      <c r="BR613" s="1020"/>
      <c r="BS613" s="1018">
        <f t="shared" si="10"/>
        <v>0</v>
      </c>
      <c r="BT613" s="1019"/>
      <c r="BU613" s="1019"/>
      <c r="BV613" s="1019"/>
      <c r="BW613" s="1021"/>
      <c r="BX613" s="1018">
        <f t="shared" si="11"/>
        <v>0</v>
      </c>
      <c r="BY613" s="1019"/>
      <c r="BZ613" s="1019"/>
      <c r="CA613" s="1019"/>
      <c r="CB613" s="1021"/>
      <c r="CC613" s="1018">
        <f t="shared" si="12"/>
        <v>0</v>
      </c>
      <c r="CD613" s="1019"/>
      <c r="CE613" s="1019"/>
      <c r="CF613" s="1019"/>
      <c r="CG613" s="1021"/>
      <c r="CH613" s="1018">
        <f t="shared" si="13"/>
        <v>0</v>
      </c>
      <c r="CI613" s="1019"/>
      <c r="CJ613" s="1019"/>
      <c r="CK613" s="1019"/>
      <c r="CL613" s="1021"/>
      <c r="CM613" s="1022">
        <f t="shared" si="14"/>
        <v>0</v>
      </c>
      <c r="CN613" s="1023"/>
      <c r="CO613" s="1023"/>
      <c r="CP613" s="1023"/>
      <c r="CQ613" s="1020"/>
      <c r="CS613" s="1015">
        <f t="shared" si="17"/>
        <v>0</v>
      </c>
      <c r="CT613" s="1016"/>
      <c r="CU613" s="1016"/>
      <c r="CV613" s="1016"/>
      <c r="CW613" s="1017"/>
      <c r="CX613" s="1015">
        <f t="shared" si="18"/>
        <v>0</v>
      </c>
      <c r="CY613" s="1016"/>
      <c r="CZ613" s="1016"/>
      <c r="DA613" s="1016"/>
      <c r="DB613" s="1017"/>
      <c r="DC613" s="1015">
        <f t="shared" si="19"/>
        <v>0</v>
      </c>
      <c r="DD613" s="1016"/>
      <c r="DE613" s="1016"/>
      <c r="DF613" s="1016"/>
      <c r="DG613" s="1017"/>
      <c r="DH613" s="1015">
        <f t="shared" si="20"/>
        <v>0</v>
      </c>
      <c r="DI613" s="1016"/>
      <c r="DJ613" s="1016"/>
      <c r="DK613" s="1016"/>
      <c r="DL613" s="1017"/>
      <c r="DM613" s="1015">
        <f t="shared" si="21"/>
        <v>0</v>
      </c>
      <c r="DN613" s="1016"/>
      <c r="DO613" s="1016"/>
      <c r="DP613" s="1016"/>
      <c r="DQ613" s="1017"/>
      <c r="DR613" s="1015">
        <f t="shared" si="22"/>
        <v>0</v>
      </c>
      <c r="DS613" s="1016"/>
      <c r="DT613" s="1016"/>
      <c r="DU613" s="1016"/>
      <c r="DV613" s="1017"/>
    </row>
    <row r="614" spans="1:126" ht="12.9" customHeight="1">
      <c r="A614" s="3" t="s">
        <v>791</v>
      </c>
      <c r="B614" s="3"/>
      <c r="C614" s="3" t="s">
        <v>184</v>
      </c>
      <c r="AZ614" s="37"/>
      <c r="BA614" s="37"/>
      <c r="BB614" s="37"/>
      <c r="BC614" s="37"/>
      <c r="BD614" s="37"/>
      <c r="BE614" s="1018">
        <f t="shared" si="15"/>
        <v>0</v>
      </c>
      <c r="BF614" s="1021"/>
      <c r="BG614" s="1018">
        <f t="shared" si="7"/>
        <v>0</v>
      </c>
      <c r="BH614" s="1021"/>
      <c r="BI614" s="1018">
        <f t="shared" si="16"/>
        <v>0</v>
      </c>
      <c r="BJ614" s="1021"/>
      <c r="BK614" s="1018">
        <f t="shared" si="8"/>
        <v>0</v>
      </c>
      <c r="BL614" s="1021"/>
      <c r="BN614" s="1018">
        <f t="shared" si="9"/>
        <v>0</v>
      </c>
      <c r="BO614" s="1019"/>
      <c r="BP614" s="1019"/>
      <c r="BQ614" s="1019"/>
      <c r="BR614" s="1020"/>
      <c r="BS614" s="1018">
        <f t="shared" si="10"/>
        <v>0</v>
      </c>
      <c r="BT614" s="1019"/>
      <c r="BU614" s="1019"/>
      <c r="BV614" s="1019"/>
      <c r="BW614" s="1021"/>
      <c r="BX614" s="1018">
        <f t="shared" si="11"/>
        <v>0</v>
      </c>
      <c r="BY614" s="1019"/>
      <c r="BZ614" s="1019"/>
      <c r="CA614" s="1019"/>
      <c r="CB614" s="1021"/>
      <c r="CC614" s="1018">
        <f t="shared" si="12"/>
        <v>0</v>
      </c>
      <c r="CD614" s="1019"/>
      <c r="CE614" s="1019"/>
      <c r="CF614" s="1019"/>
      <c r="CG614" s="1021"/>
      <c r="CH614" s="1018">
        <f t="shared" si="13"/>
        <v>0</v>
      </c>
      <c r="CI614" s="1019"/>
      <c r="CJ614" s="1019"/>
      <c r="CK614" s="1019"/>
      <c r="CL614" s="1021"/>
      <c r="CM614" s="1022">
        <f t="shared" si="14"/>
        <v>0</v>
      </c>
      <c r="CN614" s="1023"/>
      <c r="CO614" s="1023"/>
      <c r="CP614" s="1023"/>
      <c r="CQ614" s="1020"/>
      <c r="CS614" s="1015">
        <f t="shared" si="17"/>
        <v>0</v>
      </c>
      <c r="CT614" s="1016"/>
      <c r="CU614" s="1016"/>
      <c r="CV614" s="1016"/>
      <c r="CW614" s="1017"/>
      <c r="CX614" s="1015">
        <f t="shared" si="18"/>
        <v>0</v>
      </c>
      <c r="CY614" s="1016"/>
      <c r="CZ614" s="1016"/>
      <c r="DA614" s="1016"/>
      <c r="DB614" s="1017"/>
      <c r="DC614" s="1015">
        <f t="shared" si="19"/>
        <v>0</v>
      </c>
      <c r="DD614" s="1016"/>
      <c r="DE614" s="1016"/>
      <c r="DF614" s="1016"/>
      <c r="DG614" s="1017"/>
      <c r="DH614" s="1015">
        <f t="shared" si="20"/>
        <v>0</v>
      </c>
      <c r="DI614" s="1016"/>
      <c r="DJ614" s="1016"/>
      <c r="DK614" s="1016"/>
      <c r="DL614" s="1017"/>
      <c r="DM614" s="1015">
        <f t="shared" si="21"/>
        <v>0</v>
      </c>
      <c r="DN614" s="1016"/>
      <c r="DO614" s="1016"/>
      <c r="DP614" s="1016"/>
      <c r="DQ614" s="1017"/>
      <c r="DR614" s="1015">
        <f t="shared" si="22"/>
        <v>0</v>
      </c>
      <c r="DS614" s="1016"/>
      <c r="DT614" s="1016"/>
      <c r="DU614" s="1016"/>
      <c r="DV614" s="1017"/>
    </row>
    <row r="615" spans="1:126" ht="12.9" customHeight="1">
      <c r="A615" s="3"/>
      <c r="B615" s="3"/>
      <c r="C615" s="3"/>
      <c r="AZ615" s="37"/>
      <c r="BA615" s="37"/>
      <c r="BB615" s="37"/>
      <c r="BC615" s="37"/>
      <c r="BD615" s="37"/>
      <c r="BE615" s="1018">
        <f t="shared" si="15"/>
        <v>0</v>
      </c>
      <c r="BF615" s="1021"/>
      <c r="BG615" s="1018">
        <f t="shared" si="7"/>
        <v>0</v>
      </c>
      <c r="BH615" s="1021"/>
      <c r="BI615" s="1018">
        <f t="shared" si="16"/>
        <v>0</v>
      </c>
      <c r="BJ615" s="1021"/>
      <c r="BK615" s="1018">
        <f t="shared" si="8"/>
        <v>0</v>
      </c>
      <c r="BL615" s="1021"/>
      <c r="BN615" s="1018">
        <f t="shared" si="9"/>
        <v>0</v>
      </c>
      <c r="BO615" s="1019"/>
      <c r="BP615" s="1019"/>
      <c r="BQ615" s="1019"/>
      <c r="BR615" s="1020"/>
      <c r="BS615" s="1018">
        <f t="shared" si="10"/>
        <v>0</v>
      </c>
      <c r="BT615" s="1019"/>
      <c r="BU615" s="1019"/>
      <c r="BV615" s="1019"/>
      <c r="BW615" s="1021"/>
      <c r="BX615" s="1018">
        <f t="shared" si="11"/>
        <v>0</v>
      </c>
      <c r="BY615" s="1019"/>
      <c r="BZ615" s="1019"/>
      <c r="CA615" s="1019"/>
      <c r="CB615" s="1021"/>
      <c r="CC615" s="1018">
        <f t="shared" si="12"/>
        <v>0</v>
      </c>
      <c r="CD615" s="1019"/>
      <c r="CE615" s="1019"/>
      <c r="CF615" s="1019"/>
      <c r="CG615" s="1021"/>
      <c r="CH615" s="1018">
        <f t="shared" si="13"/>
        <v>0</v>
      </c>
      <c r="CI615" s="1019"/>
      <c r="CJ615" s="1019"/>
      <c r="CK615" s="1019"/>
      <c r="CL615" s="1021"/>
      <c r="CM615" s="1022">
        <f t="shared" si="14"/>
        <v>0</v>
      </c>
      <c r="CN615" s="1023"/>
      <c r="CO615" s="1023"/>
      <c r="CP615" s="1023"/>
      <c r="CQ615" s="1020"/>
      <c r="CS615" s="1015">
        <f t="shared" si="17"/>
        <v>0</v>
      </c>
      <c r="CT615" s="1016"/>
      <c r="CU615" s="1016"/>
      <c r="CV615" s="1016"/>
      <c r="CW615" s="1017"/>
      <c r="CX615" s="1015">
        <f t="shared" si="18"/>
        <v>0</v>
      </c>
      <c r="CY615" s="1016"/>
      <c r="CZ615" s="1016"/>
      <c r="DA615" s="1016"/>
      <c r="DB615" s="1017"/>
      <c r="DC615" s="1015">
        <f t="shared" si="19"/>
        <v>0</v>
      </c>
      <c r="DD615" s="1016"/>
      <c r="DE615" s="1016"/>
      <c r="DF615" s="1016"/>
      <c r="DG615" s="1017"/>
      <c r="DH615" s="1015">
        <f t="shared" si="20"/>
        <v>0</v>
      </c>
      <c r="DI615" s="1016"/>
      <c r="DJ615" s="1016"/>
      <c r="DK615" s="1016"/>
      <c r="DL615" s="1017"/>
      <c r="DM615" s="1015">
        <f t="shared" si="21"/>
        <v>0</v>
      </c>
      <c r="DN615" s="1016"/>
      <c r="DO615" s="1016"/>
      <c r="DP615" s="1016"/>
      <c r="DQ615" s="1017"/>
      <c r="DR615" s="1015">
        <f t="shared" si="22"/>
        <v>0</v>
      </c>
      <c r="DS615" s="1016"/>
      <c r="DT615" s="1016"/>
      <c r="DU615" s="1016"/>
      <c r="DV615" s="1017"/>
    </row>
    <row r="616" spans="1:126" ht="12.9" customHeight="1">
      <c r="C616" s="3" t="s">
        <v>1295</v>
      </c>
      <c r="AZ616" s="37"/>
      <c r="BA616" s="37"/>
      <c r="BB616" s="37"/>
      <c r="BC616" s="37"/>
      <c r="BD616" s="37"/>
      <c r="BE616" s="1018">
        <f t="shared" ref="BE616:BE625" si="23">IF(AND(AH719&lt;=0.5,AH719&gt;=0.36),1,0)</f>
        <v>0</v>
      </c>
      <c r="BF616" s="1021"/>
      <c r="BG616" s="1018">
        <f t="shared" ref="BG616:BG625" si="24">IF(BE616=1,G719,0)</f>
        <v>0</v>
      </c>
      <c r="BH616" s="1021"/>
      <c r="BI616" s="1018">
        <f t="shared" ref="BI616:BI625" si="25">IF(AND(AH719&lt;=0.35,AH719&gt;0),1,0)</f>
        <v>0</v>
      </c>
      <c r="BJ616" s="1021"/>
      <c r="BK616" s="1018">
        <f t="shared" ref="BK616:BK625" si="26">IF(BI616=1,G719,0)</f>
        <v>0</v>
      </c>
      <c r="BL616" s="1021"/>
      <c r="BN616" s="1018">
        <f t="shared" si="9"/>
        <v>0</v>
      </c>
      <c r="BO616" s="1019"/>
      <c r="BP616" s="1019"/>
      <c r="BQ616" s="1019"/>
      <c r="BR616" s="1020"/>
      <c r="BS616" s="1018">
        <f t="shared" si="10"/>
        <v>0</v>
      </c>
      <c r="BT616" s="1019"/>
      <c r="BU616" s="1019"/>
      <c r="BV616" s="1019"/>
      <c r="BW616" s="1021"/>
      <c r="BX616" s="1018">
        <f t="shared" si="11"/>
        <v>0</v>
      </c>
      <c r="BY616" s="1019"/>
      <c r="BZ616" s="1019"/>
      <c r="CA616" s="1019"/>
      <c r="CB616" s="1021"/>
      <c r="CC616" s="1018">
        <f t="shared" si="12"/>
        <v>0</v>
      </c>
      <c r="CD616" s="1019"/>
      <c r="CE616" s="1019"/>
      <c r="CF616" s="1019"/>
      <c r="CG616" s="1021"/>
      <c r="CH616" s="1018">
        <f t="shared" si="13"/>
        <v>0</v>
      </c>
      <c r="CI616" s="1019"/>
      <c r="CJ616" s="1019"/>
      <c r="CK616" s="1019"/>
      <c r="CL616" s="1021"/>
      <c r="CM616" s="1022">
        <f t="shared" si="14"/>
        <v>0</v>
      </c>
      <c r="CN616" s="1023"/>
      <c r="CO616" s="1023"/>
      <c r="CP616" s="1023"/>
      <c r="CQ616" s="1020"/>
      <c r="CS616" s="1015">
        <f t="shared" ref="CS616:CS625" si="27">IF(AND(B719="SRO/Studio",AH719&lt;=0.3),G719,0)</f>
        <v>0</v>
      </c>
      <c r="CT616" s="1016"/>
      <c r="CU616" s="1016"/>
      <c r="CV616" s="1016"/>
      <c r="CW616" s="1017"/>
      <c r="CX616" s="1015">
        <f t="shared" ref="CX616:CX625" si="28">IF(AND(B719="1 Bedroom",AH719&lt;=0.3),G719,0)</f>
        <v>0</v>
      </c>
      <c r="CY616" s="1016"/>
      <c r="CZ616" s="1016"/>
      <c r="DA616" s="1016"/>
      <c r="DB616" s="1017"/>
      <c r="DC616" s="1015">
        <f t="shared" ref="DC616:DC625" si="29">IF(AND(B719="2 Bedrooms",AH719&lt;=0.3),G719,0)</f>
        <v>0</v>
      </c>
      <c r="DD616" s="1016"/>
      <c r="DE616" s="1016"/>
      <c r="DF616" s="1016"/>
      <c r="DG616" s="1017"/>
      <c r="DH616" s="1015">
        <f t="shared" ref="DH616:DH625" si="30">IF(AND(B719="3 Bedrooms",AH719&lt;=0.3),G719,0)</f>
        <v>0</v>
      </c>
      <c r="DI616" s="1016"/>
      <c r="DJ616" s="1016"/>
      <c r="DK616" s="1016"/>
      <c r="DL616" s="1017"/>
      <c r="DM616" s="1015">
        <f t="shared" ref="DM616:DM625" si="31">IF(AND(B719="4 Bedrooms",AH719&lt;=0.3),G719,0)</f>
        <v>0</v>
      </c>
      <c r="DN616" s="1016"/>
      <c r="DO616" s="1016"/>
      <c r="DP616" s="1016"/>
      <c r="DQ616" s="1017"/>
      <c r="DR616" s="1015">
        <f t="shared" ref="DR616:DR625" si="32">IF(AND(B719="5 Bedrooms",AH719&lt;=0.3),G719,0)</f>
        <v>0</v>
      </c>
      <c r="DS616" s="1016"/>
      <c r="DT616" s="1016"/>
      <c r="DU616" s="1016"/>
      <c r="DV616" s="1017"/>
    </row>
    <row r="617" spans="1:126" ht="12.9" customHeight="1">
      <c r="B617" s="726"/>
      <c r="C617" s="3"/>
      <c r="AZ617" s="37"/>
      <c r="BA617" s="37"/>
      <c r="BB617" s="37"/>
      <c r="BC617" s="37"/>
      <c r="BD617" s="37"/>
      <c r="BE617" s="1018">
        <f t="shared" si="23"/>
        <v>0</v>
      </c>
      <c r="BF617" s="1021"/>
      <c r="BG617" s="1018">
        <f t="shared" si="24"/>
        <v>0</v>
      </c>
      <c r="BH617" s="1021"/>
      <c r="BI617" s="1018">
        <f t="shared" si="25"/>
        <v>0</v>
      </c>
      <c r="BJ617" s="1021"/>
      <c r="BK617" s="1018">
        <f t="shared" si="26"/>
        <v>0</v>
      </c>
      <c r="BL617" s="1021"/>
      <c r="BN617" s="1018">
        <f t="shared" si="9"/>
        <v>0</v>
      </c>
      <c r="BO617" s="1019"/>
      <c r="BP617" s="1019"/>
      <c r="BQ617" s="1019"/>
      <c r="BR617" s="1020"/>
      <c r="BS617" s="1018">
        <f t="shared" si="10"/>
        <v>0</v>
      </c>
      <c r="BT617" s="1019"/>
      <c r="BU617" s="1019"/>
      <c r="BV617" s="1019"/>
      <c r="BW617" s="1021"/>
      <c r="BX617" s="1018">
        <f t="shared" si="11"/>
        <v>0</v>
      </c>
      <c r="BY617" s="1019"/>
      <c r="BZ617" s="1019"/>
      <c r="CA617" s="1019"/>
      <c r="CB617" s="1021"/>
      <c r="CC617" s="1018">
        <f t="shared" si="12"/>
        <v>0</v>
      </c>
      <c r="CD617" s="1019"/>
      <c r="CE617" s="1019"/>
      <c r="CF617" s="1019"/>
      <c r="CG617" s="1021"/>
      <c r="CH617" s="1018">
        <f t="shared" si="13"/>
        <v>0</v>
      </c>
      <c r="CI617" s="1019"/>
      <c r="CJ617" s="1019"/>
      <c r="CK617" s="1019"/>
      <c r="CL617" s="1021"/>
      <c r="CM617" s="1022">
        <f t="shared" si="14"/>
        <v>0</v>
      </c>
      <c r="CN617" s="1023"/>
      <c r="CO617" s="1023"/>
      <c r="CP617" s="1023"/>
      <c r="CQ617" s="1020"/>
      <c r="CS617" s="1015">
        <f t="shared" si="27"/>
        <v>0</v>
      </c>
      <c r="CT617" s="1016"/>
      <c r="CU617" s="1016"/>
      <c r="CV617" s="1016"/>
      <c r="CW617" s="1017"/>
      <c r="CX617" s="1015">
        <f t="shared" si="28"/>
        <v>0</v>
      </c>
      <c r="CY617" s="1016"/>
      <c r="CZ617" s="1016"/>
      <c r="DA617" s="1016"/>
      <c r="DB617" s="1017"/>
      <c r="DC617" s="1015">
        <f t="shared" si="29"/>
        <v>0</v>
      </c>
      <c r="DD617" s="1016"/>
      <c r="DE617" s="1016"/>
      <c r="DF617" s="1016"/>
      <c r="DG617" s="1017"/>
      <c r="DH617" s="1015">
        <f t="shared" si="30"/>
        <v>0</v>
      </c>
      <c r="DI617" s="1016"/>
      <c r="DJ617" s="1016"/>
      <c r="DK617" s="1016"/>
      <c r="DL617" s="1017"/>
      <c r="DM617" s="1015">
        <f t="shared" si="31"/>
        <v>0</v>
      </c>
      <c r="DN617" s="1016"/>
      <c r="DO617" s="1016"/>
      <c r="DP617" s="1016"/>
      <c r="DQ617" s="1017"/>
      <c r="DR617" s="1015">
        <f t="shared" si="32"/>
        <v>0</v>
      </c>
      <c r="DS617" s="1016"/>
      <c r="DT617" s="1016"/>
      <c r="DU617" s="1016"/>
      <c r="DV617" s="1017"/>
    </row>
    <row r="618" spans="1:126" ht="12.9" customHeight="1">
      <c r="B618" s="1054" t="s">
        <v>1296</v>
      </c>
      <c r="C618" s="1055"/>
      <c r="D618" s="1055"/>
      <c r="E618" s="1055"/>
      <c r="F618" s="1055"/>
      <c r="G618" s="1055"/>
      <c r="H618" s="1055"/>
      <c r="I618" s="1055"/>
      <c r="J618" s="1055"/>
      <c r="K618" s="1055"/>
      <c r="L618" s="1055"/>
      <c r="M618" s="1093" t="s">
        <v>1297</v>
      </c>
      <c r="N618" s="1093"/>
      <c r="O618" s="1093"/>
      <c r="P618" s="1093"/>
      <c r="Q618" s="1079" t="s">
        <v>1354</v>
      </c>
      <c r="R618" s="1080"/>
      <c r="S618" s="1081"/>
      <c r="T618" s="1079" t="s">
        <v>1355</v>
      </c>
      <c r="U618" s="1080"/>
      <c r="V618" s="1081"/>
      <c r="W618" s="1339" t="s">
        <v>1300</v>
      </c>
      <c r="X618" s="1339"/>
      <c r="Y618" s="1340"/>
      <c r="Z618" s="1093" t="s">
        <v>1356</v>
      </c>
      <c r="AA618" s="1093"/>
      <c r="AB618" s="1093"/>
      <c r="AC618" s="1330" t="s">
        <v>1302</v>
      </c>
      <c r="AD618" s="1331"/>
      <c r="AE618" s="1332"/>
      <c r="AF618" s="1079" t="s">
        <v>1357</v>
      </c>
      <c r="AG618" s="1080"/>
      <c r="AH618" s="1080"/>
      <c r="AI618" s="1080"/>
      <c r="AJ618" s="1081"/>
      <c r="AK618" s="1224" t="s">
        <v>1358</v>
      </c>
      <c r="AL618" s="1225"/>
      <c r="AM618" s="1225"/>
      <c r="AN618" s="1226"/>
      <c r="AO618" s="1093" t="s">
        <v>1304</v>
      </c>
      <c r="AP618" s="1093"/>
      <c r="AQ618" s="1093"/>
      <c r="AR618" s="1093"/>
      <c r="AS618" s="1093"/>
      <c r="AT618" s="37"/>
      <c r="AU618" s="37"/>
      <c r="AV618" s="37"/>
      <c r="AW618" s="37"/>
      <c r="AX618" s="37"/>
      <c r="AY618" s="37"/>
      <c r="AZ618" s="37"/>
      <c r="BE618" s="1018">
        <f t="shared" si="23"/>
        <v>0</v>
      </c>
      <c r="BF618" s="1021"/>
      <c r="BG618" s="1018">
        <f t="shared" si="24"/>
        <v>0</v>
      </c>
      <c r="BH618" s="1021"/>
      <c r="BI618" s="1018">
        <f t="shared" si="25"/>
        <v>0</v>
      </c>
      <c r="BJ618" s="1021"/>
      <c r="BK618" s="1018">
        <f t="shared" si="26"/>
        <v>0</v>
      </c>
      <c r="BL618" s="1021"/>
      <c r="BN618" s="1018">
        <f t="shared" si="9"/>
        <v>0</v>
      </c>
      <c r="BO618" s="1019"/>
      <c r="BP618" s="1019"/>
      <c r="BQ618" s="1019"/>
      <c r="BR618" s="1020"/>
      <c r="BS618" s="1018">
        <f t="shared" si="10"/>
        <v>0</v>
      </c>
      <c r="BT618" s="1019"/>
      <c r="BU618" s="1019"/>
      <c r="BV618" s="1019"/>
      <c r="BW618" s="1021"/>
      <c r="BX618" s="1018">
        <f t="shared" si="11"/>
        <v>0</v>
      </c>
      <c r="BY618" s="1019"/>
      <c r="BZ618" s="1019"/>
      <c r="CA618" s="1019"/>
      <c r="CB618" s="1021"/>
      <c r="CC618" s="1018">
        <f t="shared" si="12"/>
        <v>0</v>
      </c>
      <c r="CD618" s="1019"/>
      <c r="CE618" s="1019"/>
      <c r="CF618" s="1019"/>
      <c r="CG618" s="1021"/>
      <c r="CH618" s="1018">
        <f t="shared" si="13"/>
        <v>0</v>
      </c>
      <c r="CI618" s="1019"/>
      <c r="CJ618" s="1019"/>
      <c r="CK618" s="1019"/>
      <c r="CL618" s="1021"/>
      <c r="CM618" s="1022">
        <f t="shared" si="14"/>
        <v>0</v>
      </c>
      <c r="CN618" s="1023"/>
      <c r="CO618" s="1023"/>
      <c r="CP618" s="1023"/>
      <c r="CQ618" s="1020"/>
      <c r="CS618" s="1015">
        <f t="shared" si="27"/>
        <v>0</v>
      </c>
      <c r="CT618" s="1016"/>
      <c r="CU618" s="1016"/>
      <c r="CV618" s="1016"/>
      <c r="CW618" s="1017"/>
      <c r="CX618" s="1015">
        <f t="shared" si="28"/>
        <v>0</v>
      </c>
      <c r="CY618" s="1016"/>
      <c r="CZ618" s="1016"/>
      <c r="DA618" s="1016"/>
      <c r="DB618" s="1017"/>
      <c r="DC618" s="1015">
        <f t="shared" si="29"/>
        <v>0</v>
      </c>
      <c r="DD618" s="1016"/>
      <c r="DE618" s="1016"/>
      <c r="DF618" s="1016"/>
      <c r="DG618" s="1017"/>
      <c r="DH618" s="1015">
        <f t="shared" si="30"/>
        <v>0</v>
      </c>
      <c r="DI618" s="1016"/>
      <c r="DJ618" s="1016"/>
      <c r="DK618" s="1016"/>
      <c r="DL618" s="1017"/>
      <c r="DM618" s="1015">
        <f t="shared" si="31"/>
        <v>0</v>
      </c>
      <c r="DN618" s="1016"/>
      <c r="DO618" s="1016"/>
      <c r="DP618" s="1016"/>
      <c r="DQ618" s="1017"/>
      <c r="DR618" s="1015">
        <f t="shared" si="32"/>
        <v>0</v>
      </c>
      <c r="DS618" s="1016"/>
      <c r="DT618" s="1016"/>
      <c r="DU618" s="1016"/>
      <c r="DV618" s="1017"/>
    </row>
    <row r="619" spans="1:126" ht="12.9" customHeight="1">
      <c r="B619" s="1056"/>
      <c r="C619" s="1057"/>
      <c r="D619" s="1057"/>
      <c r="E619" s="1057"/>
      <c r="F619" s="1057"/>
      <c r="G619" s="1057"/>
      <c r="H619" s="1057"/>
      <c r="I619" s="1057"/>
      <c r="J619" s="1057"/>
      <c r="K619" s="1057"/>
      <c r="L619" s="1057"/>
      <c r="M619" s="1093"/>
      <c r="N619" s="1093"/>
      <c r="O619" s="1093"/>
      <c r="P619" s="1093"/>
      <c r="Q619" s="1082"/>
      <c r="R619" s="1083"/>
      <c r="S619" s="1084"/>
      <c r="T619" s="1082"/>
      <c r="U619" s="1083"/>
      <c r="V619" s="1084"/>
      <c r="W619" s="1341"/>
      <c r="X619" s="1341"/>
      <c r="Y619" s="1342"/>
      <c r="Z619" s="1093"/>
      <c r="AA619" s="1093"/>
      <c r="AB619" s="1093"/>
      <c r="AC619" s="1333"/>
      <c r="AD619" s="1334"/>
      <c r="AE619" s="1335"/>
      <c r="AF619" s="1082"/>
      <c r="AG619" s="1083"/>
      <c r="AH619" s="1083"/>
      <c r="AI619" s="1083"/>
      <c r="AJ619" s="1084"/>
      <c r="AK619" s="1227"/>
      <c r="AL619" s="1228"/>
      <c r="AM619" s="1228"/>
      <c r="AN619" s="1229"/>
      <c r="AO619" s="1093"/>
      <c r="AP619" s="1093"/>
      <c r="AQ619" s="1093"/>
      <c r="AR619" s="1093"/>
      <c r="AS619" s="1093"/>
      <c r="AT619" s="37"/>
      <c r="AU619" s="37"/>
      <c r="AV619" s="37"/>
      <c r="AW619" s="37"/>
      <c r="AX619" s="37"/>
      <c r="AY619" s="37"/>
      <c r="AZ619" s="37"/>
      <c r="BE619" s="1018">
        <f t="shared" si="23"/>
        <v>0</v>
      </c>
      <c r="BF619" s="1021"/>
      <c r="BG619" s="1018">
        <f t="shared" si="24"/>
        <v>0</v>
      </c>
      <c r="BH619" s="1021"/>
      <c r="BI619" s="1018">
        <f t="shared" si="25"/>
        <v>0</v>
      </c>
      <c r="BJ619" s="1021"/>
      <c r="BK619" s="1018">
        <f t="shared" si="26"/>
        <v>0</v>
      </c>
      <c r="BL619" s="1021"/>
      <c r="BN619" s="1018">
        <f t="shared" si="9"/>
        <v>0</v>
      </c>
      <c r="BO619" s="1019"/>
      <c r="BP619" s="1019"/>
      <c r="BQ619" s="1019"/>
      <c r="BR619" s="1020"/>
      <c r="BS619" s="1018">
        <f t="shared" si="10"/>
        <v>0</v>
      </c>
      <c r="BT619" s="1019"/>
      <c r="BU619" s="1019"/>
      <c r="BV619" s="1019"/>
      <c r="BW619" s="1021"/>
      <c r="BX619" s="1018">
        <f t="shared" si="11"/>
        <v>0</v>
      </c>
      <c r="BY619" s="1019"/>
      <c r="BZ619" s="1019"/>
      <c r="CA619" s="1019"/>
      <c r="CB619" s="1021"/>
      <c r="CC619" s="1018">
        <f t="shared" si="12"/>
        <v>0</v>
      </c>
      <c r="CD619" s="1019"/>
      <c r="CE619" s="1019"/>
      <c r="CF619" s="1019"/>
      <c r="CG619" s="1021"/>
      <c r="CH619" s="1018">
        <f t="shared" si="13"/>
        <v>0</v>
      </c>
      <c r="CI619" s="1019"/>
      <c r="CJ619" s="1019"/>
      <c r="CK619" s="1019"/>
      <c r="CL619" s="1021"/>
      <c r="CM619" s="1022">
        <f t="shared" si="14"/>
        <v>0</v>
      </c>
      <c r="CN619" s="1023"/>
      <c r="CO619" s="1023"/>
      <c r="CP619" s="1023"/>
      <c r="CQ619" s="1020"/>
      <c r="CS619" s="1015">
        <f t="shared" si="27"/>
        <v>0</v>
      </c>
      <c r="CT619" s="1016"/>
      <c r="CU619" s="1016"/>
      <c r="CV619" s="1016"/>
      <c r="CW619" s="1017"/>
      <c r="CX619" s="1015">
        <f t="shared" si="28"/>
        <v>0</v>
      </c>
      <c r="CY619" s="1016"/>
      <c r="CZ619" s="1016"/>
      <c r="DA619" s="1016"/>
      <c r="DB619" s="1017"/>
      <c r="DC619" s="1015">
        <f t="shared" si="29"/>
        <v>0</v>
      </c>
      <c r="DD619" s="1016"/>
      <c r="DE619" s="1016"/>
      <c r="DF619" s="1016"/>
      <c r="DG619" s="1017"/>
      <c r="DH619" s="1015">
        <f t="shared" si="30"/>
        <v>0</v>
      </c>
      <c r="DI619" s="1016"/>
      <c r="DJ619" s="1016"/>
      <c r="DK619" s="1016"/>
      <c r="DL619" s="1017"/>
      <c r="DM619" s="1015">
        <f t="shared" si="31"/>
        <v>0</v>
      </c>
      <c r="DN619" s="1016"/>
      <c r="DO619" s="1016"/>
      <c r="DP619" s="1016"/>
      <c r="DQ619" s="1017"/>
      <c r="DR619" s="1015">
        <f t="shared" si="32"/>
        <v>0</v>
      </c>
      <c r="DS619" s="1016"/>
      <c r="DT619" s="1016"/>
      <c r="DU619" s="1016"/>
      <c r="DV619" s="1017"/>
    </row>
    <row r="620" spans="1:126" ht="12.9" customHeight="1">
      <c r="B620" s="1058"/>
      <c r="C620" s="1059"/>
      <c r="D620" s="1059"/>
      <c r="E620" s="1059"/>
      <c r="F620" s="1059"/>
      <c r="G620" s="1059"/>
      <c r="H620" s="1059"/>
      <c r="I620" s="1059"/>
      <c r="J620" s="1059"/>
      <c r="K620" s="1059"/>
      <c r="L620" s="1059"/>
      <c r="M620" s="1093"/>
      <c r="N620" s="1093"/>
      <c r="O620" s="1093"/>
      <c r="P620" s="1093"/>
      <c r="Q620" s="1085"/>
      <c r="R620" s="1086"/>
      <c r="S620" s="1087"/>
      <c r="T620" s="1085"/>
      <c r="U620" s="1086"/>
      <c r="V620" s="1087"/>
      <c r="W620" s="1343"/>
      <c r="X620" s="1343"/>
      <c r="Y620" s="1344"/>
      <c r="Z620" s="1093"/>
      <c r="AA620" s="1093"/>
      <c r="AB620" s="1093"/>
      <c r="AC620" s="1336"/>
      <c r="AD620" s="1337"/>
      <c r="AE620" s="1338"/>
      <c r="AF620" s="1085"/>
      <c r="AG620" s="1086"/>
      <c r="AH620" s="1086"/>
      <c r="AI620" s="1086"/>
      <c r="AJ620" s="1087"/>
      <c r="AK620" s="1230"/>
      <c r="AL620" s="1231"/>
      <c r="AM620" s="1231"/>
      <c r="AN620" s="1232"/>
      <c r="AO620" s="1093"/>
      <c r="AP620" s="1093"/>
      <c r="AQ620" s="1093"/>
      <c r="AR620" s="1093"/>
      <c r="AS620" s="1093"/>
      <c r="AT620" s="37"/>
      <c r="AU620" s="37"/>
      <c r="AV620" s="37"/>
      <c r="AW620" s="37"/>
      <c r="AX620" s="37"/>
      <c r="AY620" s="37"/>
      <c r="AZ620" s="37"/>
      <c r="BE620" s="1018">
        <f t="shared" si="23"/>
        <v>0</v>
      </c>
      <c r="BF620" s="1021"/>
      <c r="BG620" s="1018">
        <f t="shared" si="24"/>
        <v>0</v>
      </c>
      <c r="BH620" s="1021"/>
      <c r="BI620" s="1018">
        <f t="shared" si="25"/>
        <v>0</v>
      </c>
      <c r="BJ620" s="1021"/>
      <c r="BK620" s="1018">
        <f t="shared" si="26"/>
        <v>0</v>
      </c>
      <c r="BL620" s="1021"/>
      <c r="BN620" s="1018">
        <f t="shared" si="9"/>
        <v>0</v>
      </c>
      <c r="BO620" s="1019"/>
      <c r="BP620" s="1019"/>
      <c r="BQ620" s="1019"/>
      <c r="BR620" s="1020"/>
      <c r="BS620" s="1018">
        <f t="shared" si="10"/>
        <v>0</v>
      </c>
      <c r="BT620" s="1019"/>
      <c r="BU620" s="1019"/>
      <c r="BV620" s="1019"/>
      <c r="BW620" s="1021"/>
      <c r="BX620" s="1018">
        <f t="shared" si="11"/>
        <v>0</v>
      </c>
      <c r="BY620" s="1019"/>
      <c r="BZ620" s="1019"/>
      <c r="CA620" s="1019"/>
      <c r="CB620" s="1021"/>
      <c r="CC620" s="1018">
        <f t="shared" si="12"/>
        <v>0</v>
      </c>
      <c r="CD620" s="1019"/>
      <c r="CE620" s="1019"/>
      <c r="CF620" s="1019"/>
      <c r="CG620" s="1021"/>
      <c r="CH620" s="1018">
        <f t="shared" si="13"/>
        <v>0</v>
      </c>
      <c r="CI620" s="1019"/>
      <c r="CJ620" s="1019"/>
      <c r="CK620" s="1019"/>
      <c r="CL620" s="1021"/>
      <c r="CM620" s="1022">
        <f t="shared" si="14"/>
        <v>0</v>
      </c>
      <c r="CN620" s="1023"/>
      <c r="CO620" s="1023"/>
      <c r="CP620" s="1023"/>
      <c r="CQ620" s="1020"/>
      <c r="CS620" s="1015">
        <f t="shared" si="27"/>
        <v>0</v>
      </c>
      <c r="CT620" s="1016"/>
      <c r="CU620" s="1016"/>
      <c r="CV620" s="1016"/>
      <c r="CW620" s="1017"/>
      <c r="CX620" s="1015">
        <f t="shared" si="28"/>
        <v>0</v>
      </c>
      <c r="CY620" s="1016"/>
      <c r="CZ620" s="1016"/>
      <c r="DA620" s="1016"/>
      <c r="DB620" s="1017"/>
      <c r="DC620" s="1015">
        <f t="shared" si="29"/>
        <v>0</v>
      </c>
      <c r="DD620" s="1016"/>
      <c r="DE620" s="1016"/>
      <c r="DF620" s="1016"/>
      <c r="DG620" s="1017"/>
      <c r="DH620" s="1015">
        <f t="shared" si="30"/>
        <v>0</v>
      </c>
      <c r="DI620" s="1016"/>
      <c r="DJ620" s="1016"/>
      <c r="DK620" s="1016"/>
      <c r="DL620" s="1017"/>
      <c r="DM620" s="1015">
        <f t="shared" si="31"/>
        <v>0</v>
      </c>
      <c r="DN620" s="1016"/>
      <c r="DO620" s="1016"/>
      <c r="DP620" s="1016"/>
      <c r="DQ620" s="1017"/>
      <c r="DR620" s="1015">
        <f t="shared" si="32"/>
        <v>0</v>
      </c>
      <c r="DS620" s="1016"/>
      <c r="DT620" s="1016"/>
      <c r="DU620" s="1016"/>
      <c r="DV620" s="1017"/>
    </row>
    <row r="621" spans="1:126" ht="12.9" customHeight="1">
      <c r="B621" s="50" t="s">
        <v>14</v>
      </c>
      <c r="C621" s="1045" t="str">
        <f>C550</f>
        <v>USDA 515 (New)</v>
      </c>
      <c r="D621" s="1045"/>
      <c r="E621" s="1045"/>
      <c r="F621" s="1045"/>
      <c r="G621" s="1045"/>
      <c r="H621" s="1045"/>
      <c r="I621" s="1045"/>
      <c r="J621" s="1045"/>
      <c r="K621" s="1045"/>
      <c r="L621" s="1045"/>
      <c r="M621" s="1220" t="s">
        <v>1273</v>
      </c>
      <c r="N621" s="1220"/>
      <c r="O621" s="1220"/>
      <c r="P621" s="1220"/>
      <c r="Q621" s="1284">
        <f>50*12</f>
        <v>600</v>
      </c>
      <c r="R621" s="1285"/>
      <c r="S621" s="1286"/>
      <c r="T621" s="1310">
        <f>Q621</f>
        <v>600</v>
      </c>
      <c r="U621" s="1311"/>
      <c r="V621" s="1312"/>
      <c r="W621" s="1233">
        <v>0.01</v>
      </c>
      <c r="X621" s="1234"/>
      <c r="Y621" s="1235"/>
      <c r="Z621" s="1287" t="s">
        <v>1359</v>
      </c>
      <c r="AA621" s="1288"/>
      <c r="AB621" s="1289"/>
      <c r="AC621" s="1270">
        <v>1</v>
      </c>
      <c r="AD621" s="1092"/>
      <c r="AE621" s="1271"/>
      <c r="AF621" s="1110">
        <f>PMT((W621/12),T621,-AO621)*12</f>
        <v>49357.47728207615</v>
      </c>
      <c r="AG621" s="1111"/>
      <c r="AH621" s="1111"/>
      <c r="AI621" s="1111"/>
      <c r="AJ621" s="1112"/>
      <c r="AK621" s="1221"/>
      <c r="AL621" s="1222"/>
      <c r="AM621" s="1222"/>
      <c r="AN621" s="1223"/>
      <c r="AO621" s="1165">
        <f>AM550</f>
        <v>1941442</v>
      </c>
      <c r="AP621" s="1165"/>
      <c r="AQ621" s="1165"/>
      <c r="AR621" s="1165"/>
      <c r="AS621" s="1165"/>
      <c r="AT621" s="830" t="str">
        <f t="shared" ref="AT621:AT632" si="33">IF(AND(NOT(C620=""),C621="",NOT(C622="")),"!","")</f>
        <v/>
      </c>
      <c r="AU621" s="37"/>
      <c r="AV621" s="37"/>
      <c r="AW621" s="37"/>
      <c r="AX621" s="37"/>
      <c r="AY621" s="37"/>
      <c r="BA621" s="37" t="s">
        <v>1261</v>
      </c>
      <c r="BC621" s="37"/>
      <c r="BD621" s="37"/>
      <c r="BE621" s="1018">
        <f t="shared" si="23"/>
        <v>0</v>
      </c>
      <c r="BF621" s="1021"/>
      <c r="BG621" s="1018">
        <f t="shared" si="24"/>
        <v>0</v>
      </c>
      <c r="BH621" s="1021"/>
      <c r="BI621" s="1018">
        <f t="shared" si="25"/>
        <v>0</v>
      </c>
      <c r="BJ621" s="1021"/>
      <c r="BK621" s="1018">
        <f t="shared" si="26"/>
        <v>0</v>
      </c>
      <c r="BL621" s="1021"/>
      <c r="BN621" s="1018">
        <f t="shared" si="9"/>
        <v>0</v>
      </c>
      <c r="BO621" s="1019"/>
      <c r="BP621" s="1019"/>
      <c r="BQ621" s="1019"/>
      <c r="BR621" s="1020"/>
      <c r="BS621" s="1018">
        <f t="shared" si="10"/>
        <v>0</v>
      </c>
      <c r="BT621" s="1019"/>
      <c r="BU621" s="1019"/>
      <c r="BV621" s="1019"/>
      <c r="BW621" s="1021"/>
      <c r="BX621" s="1018">
        <f t="shared" si="11"/>
        <v>0</v>
      </c>
      <c r="BY621" s="1019"/>
      <c r="BZ621" s="1019"/>
      <c r="CA621" s="1019"/>
      <c r="CB621" s="1021"/>
      <c r="CC621" s="1018">
        <f t="shared" si="12"/>
        <v>0</v>
      </c>
      <c r="CD621" s="1019"/>
      <c r="CE621" s="1019"/>
      <c r="CF621" s="1019"/>
      <c r="CG621" s="1021"/>
      <c r="CH621" s="1018">
        <f t="shared" si="13"/>
        <v>0</v>
      </c>
      <c r="CI621" s="1019"/>
      <c r="CJ621" s="1019"/>
      <c r="CK621" s="1019"/>
      <c r="CL621" s="1021"/>
      <c r="CM621" s="1022">
        <f t="shared" si="14"/>
        <v>0</v>
      </c>
      <c r="CN621" s="1023"/>
      <c r="CO621" s="1023"/>
      <c r="CP621" s="1023"/>
      <c r="CQ621" s="1020"/>
      <c r="CS621" s="1015">
        <f t="shared" si="27"/>
        <v>0</v>
      </c>
      <c r="CT621" s="1016"/>
      <c r="CU621" s="1016"/>
      <c r="CV621" s="1016"/>
      <c r="CW621" s="1017"/>
      <c r="CX621" s="1015">
        <f t="shared" si="28"/>
        <v>0</v>
      </c>
      <c r="CY621" s="1016"/>
      <c r="CZ621" s="1016"/>
      <c r="DA621" s="1016"/>
      <c r="DB621" s="1017"/>
      <c r="DC621" s="1015">
        <f t="shared" si="29"/>
        <v>0</v>
      </c>
      <c r="DD621" s="1016"/>
      <c r="DE621" s="1016"/>
      <c r="DF621" s="1016"/>
      <c r="DG621" s="1017"/>
      <c r="DH621" s="1015">
        <f t="shared" si="30"/>
        <v>0</v>
      </c>
      <c r="DI621" s="1016"/>
      <c r="DJ621" s="1016"/>
      <c r="DK621" s="1016"/>
      <c r="DL621" s="1017"/>
      <c r="DM621" s="1015">
        <f t="shared" si="31"/>
        <v>0</v>
      </c>
      <c r="DN621" s="1016"/>
      <c r="DO621" s="1016"/>
      <c r="DP621" s="1016"/>
      <c r="DQ621" s="1017"/>
      <c r="DR621" s="1015">
        <f t="shared" si="32"/>
        <v>0</v>
      </c>
      <c r="DS621" s="1016"/>
      <c r="DT621" s="1016"/>
      <c r="DU621" s="1016"/>
      <c r="DV621" s="1017"/>
    </row>
    <row r="622" spans="1:126" ht="12.9" customHeight="1">
      <c r="B622" s="51" t="s">
        <v>27</v>
      </c>
      <c r="C622" s="1045" t="str">
        <f t="shared" ref="C622:C624" si="34">C551</f>
        <v>USDA 515 (Existing)</v>
      </c>
      <c r="D622" s="1045"/>
      <c r="E622" s="1045"/>
      <c r="F622" s="1045"/>
      <c r="G622" s="1045"/>
      <c r="H622" s="1045"/>
      <c r="I622" s="1045"/>
      <c r="J622" s="1045"/>
      <c r="K622" s="1045"/>
      <c r="L622" s="1045"/>
      <c r="M622" s="1220" t="s">
        <v>1273</v>
      </c>
      <c r="N622" s="1220"/>
      <c r="O622" s="1220"/>
      <c r="P622" s="1220"/>
      <c r="Q622" s="1284">
        <f>Q621</f>
        <v>600</v>
      </c>
      <c r="R622" s="1285"/>
      <c r="S622" s="1286"/>
      <c r="T622" s="1310">
        <f>T621</f>
        <v>600</v>
      </c>
      <c r="U622" s="1311"/>
      <c r="V622" s="1312"/>
      <c r="W622" s="1233">
        <v>0.01</v>
      </c>
      <c r="X622" s="1234"/>
      <c r="Y622" s="1235"/>
      <c r="Z622" s="1287" t="s">
        <v>1359</v>
      </c>
      <c r="AA622" s="1288"/>
      <c r="AB622" s="1289"/>
      <c r="AC622" s="1270">
        <v>2</v>
      </c>
      <c r="AD622" s="1092"/>
      <c r="AE622" s="1271"/>
      <c r="AF622" s="1110">
        <f>PMT((W622/12),T622,-AO622)*12</f>
        <v>3682.1803482291934</v>
      </c>
      <c r="AG622" s="1111"/>
      <c r="AH622" s="1111"/>
      <c r="AI622" s="1111"/>
      <c r="AJ622" s="1112"/>
      <c r="AK622" s="1221"/>
      <c r="AL622" s="1222"/>
      <c r="AM622" s="1222"/>
      <c r="AN622" s="1223"/>
      <c r="AO622" s="1165">
        <f t="shared" ref="AO622:AO624" si="35">AM551</f>
        <v>144836</v>
      </c>
      <c r="AP622" s="1165"/>
      <c r="AQ622" s="1165"/>
      <c r="AR622" s="1165"/>
      <c r="AS622" s="1165"/>
      <c r="AT622" s="830" t="str">
        <f t="shared" si="33"/>
        <v/>
      </c>
      <c r="AU622" s="37"/>
      <c r="AV622" s="37"/>
      <c r="AW622" s="37"/>
      <c r="AX622" s="37"/>
      <c r="AY622" s="37"/>
      <c r="BA622" s="37" t="s">
        <v>1360</v>
      </c>
      <c r="BC622" s="37"/>
      <c r="BD622" s="37"/>
      <c r="BE622" s="1018">
        <f t="shared" si="23"/>
        <v>0</v>
      </c>
      <c r="BF622" s="1021"/>
      <c r="BG622" s="1018">
        <f t="shared" si="24"/>
        <v>0</v>
      </c>
      <c r="BH622" s="1021"/>
      <c r="BI622" s="1018">
        <f t="shared" si="25"/>
        <v>0</v>
      </c>
      <c r="BJ622" s="1021"/>
      <c r="BK622" s="1018">
        <f t="shared" si="26"/>
        <v>0</v>
      </c>
      <c r="BL622" s="1021"/>
      <c r="BN622" s="1018">
        <f t="shared" si="9"/>
        <v>0</v>
      </c>
      <c r="BO622" s="1019"/>
      <c r="BP622" s="1019"/>
      <c r="BQ622" s="1019"/>
      <c r="BR622" s="1020"/>
      <c r="BS622" s="1018">
        <f t="shared" si="10"/>
        <v>0</v>
      </c>
      <c r="BT622" s="1019"/>
      <c r="BU622" s="1019"/>
      <c r="BV622" s="1019"/>
      <c r="BW622" s="1021"/>
      <c r="BX622" s="1018">
        <f t="shared" si="11"/>
        <v>0</v>
      </c>
      <c r="BY622" s="1019"/>
      <c r="BZ622" s="1019"/>
      <c r="CA622" s="1019"/>
      <c r="CB622" s="1021"/>
      <c r="CC622" s="1018">
        <f t="shared" si="12"/>
        <v>0</v>
      </c>
      <c r="CD622" s="1019"/>
      <c r="CE622" s="1019"/>
      <c r="CF622" s="1019"/>
      <c r="CG622" s="1021"/>
      <c r="CH622" s="1018">
        <f t="shared" si="13"/>
        <v>0</v>
      </c>
      <c r="CI622" s="1019"/>
      <c r="CJ622" s="1019"/>
      <c r="CK622" s="1019"/>
      <c r="CL622" s="1021"/>
      <c r="CM622" s="1022">
        <f t="shared" si="14"/>
        <v>0</v>
      </c>
      <c r="CN622" s="1023"/>
      <c r="CO622" s="1023"/>
      <c r="CP622" s="1023"/>
      <c r="CQ622" s="1020"/>
      <c r="CS622" s="1015">
        <f t="shared" si="27"/>
        <v>0</v>
      </c>
      <c r="CT622" s="1016"/>
      <c r="CU622" s="1016"/>
      <c r="CV622" s="1016"/>
      <c r="CW622" s="1017"/>
      <c r="CX622" s="1015">
        <f t="shared" si="28"/>
        <v>0</v>
      </c>
      <c r="CY622" s="1016"/>
      <c r="CZ622" s="1016"/>
      <c r="DA622" s="1016"/>
      <c r="DB622" s="1017"/>
      <c r="DC622" s="1015">
        <f t="shared" si="29"/>
        <v>0</v>
      </c>
      <c r="DD622" s="1016"/>
      <c r="DE622" s="1016"/>
      <c r="DF622" s="1016"/>
      <c r="DG622" s="1017"/>
      <c r="DH622" s="1015">
        <f t="shared" si="30"/>
        <v>0</v>
      </c>
      <c r="DI622" s="1016"/>
      <c r="DJ622" s="1016"/>
      <c r="DK622" s="1016"/>
      <c r="DL622" s="1017"/>
      <c r="DM622" s="1015">
        <f t="shared" si="31"/>
        <v>0</v>
      </c>
      <c r="DN622" s="1016"/>
      <c r="DO622" s="1016"/>
      <c r="DP622" s="1016"/>
      <c r="DQ622" s="1017"/>
      <c r="DR622" s="1015">
        <f t="shared" si="32"/>
        <v>0</v>
      </c>
      <c r="DS622" s="1016"/>
      <c r="DT622" s="1016"/>
      <c r="DU622" s="1016"/>
      <c r="DV622" s="1017"/>
    </row>
    <row r="623" spans="1:126" ht="12.9" customHeight="1">
      <c r="B623" s="51" t="s">
        <v>33</v>
      </c>
      <c r="C623" s="1045" t="str">
        <f t="shared" si="34"/>
        <v>GP Capital - existing reserves</v>
      </c>
      <c r="D623" s="1045"/>
      <c r="E623" s="1045"/>
      <c r="F623" s="1045"/>
      <c r="G623" s="1045"/>
      <c r="H623" s="1045"/>
      <c r="I623" s="1045"/>
      <c r="J623" s="1045"/>
      <c r="K623" s="1045"/>
      <c r="L623" s="1045"/>
      <c r="M623" s="1220" t="s">
        <v>1269</v>
      </c>
      <c r="N623" s="1220"/>
      <c r="O623" s="1220"/>
      <c r="P623" s="1220"/>
      <c r="Q623" s="1284"/>
      <c r="R623" s="1285"/>
      <c r="S623" s="1286"/>
      <c r="T623" s="1310"/>
      <c r="U623" s="1311"/>
      <c r="V623" s="1312"/>
      <c r="W623" s="1233"/>
      <c r="X623" s="1234"/>
      <c r="Y623" s="1235"/>
      <c r="Z623" s="1287" t="s">
        <v>1261</v>
      </c>
      <c r="AA623" s="1288"/>
      <c r="AB623" s="1289"/>
      <c r="AC623" s="1270"/>
      <c r="AD623" s="1092"/>
      <c r="AE623" s="1271"/>
      <c r="AF623" s="1110"/>
      <c r="AG623" s="1111"/>
      <c r="AH623" s="1111"/>
      <c r="AI623" s="1111"/>
      <c r="AJ623" s="1112"/>
      <c r="AK623" s="1221"/>
      <c r="AL623" s="1222"/>
      <c r="AM623" s="1222"/>
      <c r="AN623" s="1223"/>
      <c r="AO623" s="1165">
        <f t="shared" si="35"/>
        <v>341992</v>
      </c>
      <c r="AP623" s="1165"/>
      <c r="AQ623" s="1165"/>
      <c r="AR623" s="1165"/>
      <c r="AS623" s="1165"/>
      <c r="AT623" s="830" t="str">
        <f t="shared" si="33"/>
        <v/>
      </c>
      <c r="AU623" s="37"/>
      <c r="AV623" s="37"/>
      <c r="AW623" s="37"/>
      <c r="AX623" s="37"/>
      <c r="AY623" s="37"/>
      <c r="AZ623" s="37"/>
      <c r="BA623" s="37" t="s">
        <v>1361</v>
      </c>
      <c r="BB623" s="37"/>
      <c r="BC623" s="37"/>
      <c r="BD623" s="37"/>
      <c r="BE623" s="1018">
        <f t="shared" si="23"/>
        <v>0</v>
      </c>
      <c r="BF623" s="1021"/>
      <c r="BG623" s="1018">
        <f t="shared" si="24"/>
        <v>0</v>
      </c>
      <c r="BH623" s="1021"/>
      <c r="BI623" s="1018">
        <f t="shared" si="25"/>
        <v>0</v>
      </c>
      <c r="BJ623" s="1021"/>
      <c r="BK623" s="1018">
        <f t="shared" si="26"/>
        <v>0</v>
      </c>
      <c r="BL623" s="1021"/>
      <c r="BN623" s="1018">
        <f t="shared" si="9"/>
        <v>0</v>
      </c>
      <c r="BO623" s="1019"/>
      <c r="BP623" s="1019"/>
      <c r="BQ623" s="1019"/>
      <c r="BR623" s="1020"/>
      <c r="BS623" s="1018">
        <f t="shared" si="10"/>
        <v>0</v>
      </c>
      <c r="BT623" s="1019"/>
      <c r="BU623" s="1019"/>
      <c r="BV623" s="1019"/>
      <c r="BW623" s="1021"/>
      <c r="BX623" s="1018">
        <f t="shared" si="11"/>
        <v>0</v>
      </c>
      <c r="BY623" s="1019"/>
      <c r="BZ623" s="1019"/>
      <c r="CA623" s="1019"/>
      <c r="CB623" s="1021"/>
      <c r="CC623" s="1018">
        <f t="shared" si="12"/>
        <v>0</v>
      </c>
      <c r="CD623" s="1019"/>
      <c r="CE623" s="1019"/>
      <c r="CF623" s="1019"/>
      <c r="CG623" s="1021"/>
      <c r="CH623" s="1018">
        <f t="shared" si="13"/>
        <v>0</v>
      </c>
      <c r="CI623" s="1019"/>
      <c r="CJ623" s="1019"/>
      <c r="CK623" s="1019"/>
      <c r="CL623" s="1021"/>
      <c r="CM623" s="1022">
        <f t="shared" si="14"/>
        <v>0</v>
      </c>
      <c r="CN623" s="1023"/>
      <c r="CO623" s="1023"/>
      <c r="CP623" s="1023"/>
      <c r="CQ623" s="1020"/>
      <c r="CS623" s="1015">
        <f t="shared" si="27"/>
        <v>0</v>
      </c>
      <c r="CT623" s="1016"/>
      <c r="CU623" s="1016"/>
      <c r="CV623" s="1016"/>
      <c r="CW623" s="1017"/>
      <c r="CX623" s="1015">
        <f t="shared" si="28"/>
        <v>0</v>
      </c>
      <c r="CY623" s="1016"/>
      <c r="CZ623" s="1016"/>
      <c r="DA623" s="1016"/>
      <c r="DB623" s="1017"/>
      <c r="DC623" s="1015">
        <f t="shared" si="29"/>
        <v>0</v>
      </c>
      <c r="DD623" s="1016"/>
      <c r="DE623" s="1016"/>
      <c r="DF623" s="1016"/>
      <c r="DG623" s="1017"/>
      <c r="DH623" s="1015">
        <f t="shared" si="30"/>
        <v>0</v>
      </c>
      <c r="DI623" s="1016"/>
      <c r="DJ623" s="1016"/>
      <c r="DK623" s="1016"/>
      <c r="DL623" s="1017"/>
      <c r="DM623" s="1015">
        <f t="shared" si="31"/>
        <v>0</v>
      </c>
      <c r="DN623" s="1016"/>
      <c r="DO623" s="1016"/>
      <c r="DP623" s="1016"/>
      <c r="DQ623" s="1017"/>
      <c r="DR623" s="1015">
        <f t="shared" si="32"/>
        <v>0</v>
      </c>
      <c r="DS623" s="1016"/>
      <c r="DT623" s="1016"/>
      <c r="DU623" s="1016"/>
      <c r="DV623" s="1017"/>
    </row>
    <row r="624" spans="1:126" ht="12.9" customHeight="1">
      <c r="B624" s="51" t="s">
        <v>91</v>
      </c>
      <c r="C624" s="1045" t="str">
        <f t="shared" si="34"/>
        <v>Sponsor Loan - CMF funds</v>
      </c>
      <c r="D624" s="1045"/>
      <c r="E624" s="1045"/>
      <c r="F624" s="1045"/>
      <c r="G624" s="1045"/>
      <c r="H624" s="1045"/>
      <c r="I624" s="1045"/>
      <c r="J624" s="1045"/>
      <c r="K624" s="1045"/>
      <c r="L624" s="1045"/>
      <c r="M624" s="1220" t="s">
        <v>1277</v>
      </c>
      <c r="N624" s="1220"/>
      <c r="O624" s="1220"/>
      <c r="P624" s="1220"/>
      <c r="Q624" s="1284">
        <f>55*12</f>
        <v>660</v>
      </c>
      <c r="R624" s="1285"/>
      <c r="S624" s="1286"/>
      <c r="T624" s="1310">
        <f>Q624</f>
        <v>660</v>
      </c>
      <c r="U624" s="1311"/>
      <c r="V624" s="1312"/>
      <c r="W624" s="1233">
        <v>0.03</v>
      </c>
      <c r="X624" s="1234"/>
      <c r="Y624" s="1235"/>
      <c r="Z624" s="1287" t="s">
        <v>1361</v>
      </c>
      <c r="AA624" s="1288"/>
      <c r="AB624" s="1289"/>
      <c r="AC624" s="1270">
        <v>3</v>
      </c>
      <c r="AD624" s="1092"/>
      <c r="AE624" s="1271"/>
      <c r="AF624" s="1110"/>
      <c r="AG624" s="1111"/>
      <c r="AH624" s="1111"/>
      <c r="AI624" s="1111"/>
      <c r="AJ624" s="1112"/>
      <c r="AK624" s="1221"/>
      <c r="AL624" s="1222"/>
      <c r="AM624" s="1222"/>
      <c r="AN624" s="1223"/>
      <c r="AO624" s="1165">
        <f t="shared" si="35"/>
        <v>100000</v>
      </c>
      <c r="AP624" s="1165"/>
      <c r="AQ624" s="1165"/>
      <c r="AR624" s="1165"/>
      <c r="AS624" s="1165"/>
      <c r="AT624" s="830" t="str">
        <f t="shared" si="33"/>
        <v/>
      </c>
      <c r="AU624" s="37"/>
      <c r="AV624" s="37"/>
      <c r="AW624" s="37"/>
      <c r="AX624" s="37"/>
      <c r="AY624" s="37"/>
      <c r="AZ624" s="37"/>
      <c r="BA624" s="37" t="s">
        <v>1359</v>
      </c>
      <c r="BE624" s="1018">
        <f t="shared" si="23"/>
        <v>0</v>
      </c>
      <c r="BF624" s="1021"/>
      <c r="BG624" s="1018">
        <f t="shared" si="24"/>
        <v>0</v>
      </c>
      <c r="BH624" s="1021"/>
      <c r="BI624" s="1018">
        <f t="shared" si="25"/>
        <v>0</v>
      </c>
      <c r="BJ624" s="1021"/>
      <c r="BK624" s="1018">
        <f t="shared" si="26"/>
        <v>0</v>
      </c>
      <c r="BL624" s="1021"/>
      <c r="BN624" s="1018">
        <f t="shared" si="9"/>
        <v>0</v>
      </c>
      <c r="BO624" s="1019"/>
      <c r="BP624" s="1019"/>
      <c r="BQ624" s="1019"/>
      <c r="BR624" s="1020"/>
      <c r="BS624" s="1018">
        <f t="shared" si="10"/>
        <v>0</v>
      </c>
      <c r="BT624" s="1019"/>
      <c r="BU624" s="1019"/>
      <c r="BV624" s="1019"/>
      <c r="BW624" s="1021"/>
      <c r="BX624" s="1018">
        <f t="shared" si="11"/>
        <v>0</v>
      </c>
      <c r="BY624" s="1019"/>
      <c r="BZ624" s="1019"/>
      <c r="CA624" s="1019"/>
      <c r="CB624" s="1021"/>
      <c r="CC624" s="1018">
        <f t="shared" si="12"/>
        <v>0</v>
      </c>
      <c r="CD624" s="1019"/>
      <c r="CE624" s="1019"/>
      <c r="CF624" s="1019"/>
      <c r="CG624" s="1021"/>
      <c r="CH624" s="1018">
        <f t="shared" si="13"/>
        <v>0</v>
      </c>
      <c r="CI624" s="1019"/>
      <c r="CJ624" s="1019"/>
      <c r="CK624" s="1019"/>
      <c r="CL624" s="1021"/>
      <c r="CM624" s="1022">
        <f t="shared" si="14"/>
        <v>0</v>
      </c>
      <c r="CN624" s="1023"/>
      <c r="CO624" s="1023"/>
      <c r="CP624" s="1023"/>
      <c r="CQ624" s="1020"/>
      <c r="CS624" s="1015">
        <f t="shared" si="27"/>
        <v>0</v>
      </c>
      <c r="CT624" s="1016"/>
      <c r="CU624" s="1016"/>
      <c r="CV624" s="1016"/>
      <c r="CW624" s="1017"/>
      <c r="CX624" s="1015">
        <f t="shared" si="28"/>
        <v>0</v>
      </c>
      <c r="CY624" s="1016"/>
      <c r="CZ624" s="1016"/>
      <c r="DA624" s="1016"/>
      <c r="DB624" s="1017"/>
      <c r="DC624" s="1015">
        <f t="shared" si="29"/>
        <v>0</v>
      </c>
      <c r="DD624" s="1016"/>
      <c r="DE624" s="1016"/>
      <c r="DF624" s="1016"/>
      <c r="DG624" s="1017"/>
      <c r="DH624" s="1015">
        <f t="shared" si="30"/>
        <v>0</v>
      </c>
      <c r="DI624" s="1016"/>
      <c r="DJ624" s="1016"/>
      <c r="DK624" s="1016"/>
      <c r="DL624" s="1017"/>
      <c r="DM624" s="1015">
        <f t="shared" si="31"/>
        <v>0</v>
      </c>
      <c r="DN624" s="1016"/>
      <c r="DO624" s="1016"/>
      <c r="DP624" s="1016"/>
      <c r="DQ624" s="1017"/>
      <c r="DR624" s="1015">
        <f t="shared" si="32"/>
        <v>0</v>
      </c>
      <c r="DS624" s="1016"/>
      <c r="DT624" s="1016"/>
      <c r="DU624" s="1016"/>
      <c r="DV624" s="1017"/>
    </row>
    <row r="625" spans="1:126" ht="12.9" customHeight="1">
      <c r="B625" s="51" t="s">
        <v>95</v>
      </c>
      <c r="C625" s="1045"/>
      <c r="D625" s="1045"/>
      <c r="E625" s="1045"/>
      <c r="F625" s="1045"/>
      <c r="G625" s="1045"/>
      <c r="H625" s="1045"/>
      <c r="I625" s="1045"/>
      <c r="J625" s="1045"/>
      <c r="K625" s="1045"/>
      <c r="L625" s="1045"/>
      <c r="M625" s="1220" t="s">
        <v>1261</v>
      </c>
      <c r="N625" s="1220"/>
      <c r="O625" s="1220"/>
      <c r="P625" s="1220"/>
      <c r="Q625" s="1284"/>
      <c r="R625" s="1285"/>
      <c r="S625" s="1286"/>
      <c r="T625" s="1310"/>
      <c r="U625" s="1311"/>
      <c r="V625" s="1312"/>
      <c r="W625" s="1233"/>
      <c r="X625" s="1234"/>
      <c r="Y625" s="1235"/>
      <c r="Z625" s="1287" t="s">
        <v>1261</v>
      </c>
      <c r="AA625" s="1288"/>
      <c r="AB625" s="1289"/>
      <c r="AC625" s="1270"/>
      <c r="AD625" s="1092"/>
      <c r="AE625" s="1271"/>
      <c r="AF625" s="1110"/>
      <c r="AG625" s="1111"/>
      <c r="AH625" s="1111"/>
      <c r="AI625" s="1111"/>
      <c r="AJ625" s="1112"/>
      <c r="AK625" s="1221"/>
      <c r="AL625" s="1222"/>
      <c r="AM625" s="1222"/>
      <c r="AN625" s="1223"/>
      <c r="AO625" s="1165"/>
      <c r="AP625" s="1165"/>
      <c r="AQ625" s="1165"/>
      <c r="AR625" s="1165"/>
      <c r="AS625" s="1165"/>
      <c r="AT625" s="830" t="str">
        <f t="shared" si="33"/>
        <v/>
      </c>
      <c r="AU625" s="37"/>
      <c r="AV625" s="37"/>
      <c r="AW625" s="37"/>
      <c r="AX625" s="37"/>
      <c r="AY625" s="37"/>
      <c r="AZ625" s="37"/>
      <c r="BA625" s="37" t="s">
        <v>228</v>
      </c>
      <c r="BE625" s="1018">
        <f t="shared" si="23"/>
        <v>0</v>
      </c>
      <c r="BF625" s="1021"/>
      <c r="BG625" s="1018">
        <f t="shared" si="24"/>
        <v>0</v>
      </c>
      <c r="BH625" s="1021"/>
      <c r="BI625" s="1018">
        <f t="shared" si="25"/>
        <v>0</v>
      </c>
      <c r="BJ625" s="1021"/>
      <c r="BK625" s="1018">
        <f t="shared" si="26"/>
        <v>0</v>
      </c>
      <c r="BL625" s="1021"/>
      <c r="BN625" s="1018">
        <f t="shared" si="9"/>
        <v>0</v>
      </c>
      <c r="BO625" s="1019"/>
      <c r="BP625" s="1019"/>
      <c r="BQ625" s="1019"/>
      <c r="BR625" s="1020"/>
      <c r="BS625" s="1018">
        <f t="shared" si="10"/>
        <v>0</v>
      </c>
      <c r="BT625" s="1019"/>
      <c r="BU625" s="1019"/>
      <c r="BV625" s="1019"/>
      <c r="BW625" s="1021"/>
      <c r="BX625" s="1018">
        <f t="shared" si="11"/>
        <v>0</v>
      </c>
      <c r="BY625" s="1019"/>
      <c r="BZ625" s="1019"/>
      <c r="CA625" s="1019"/>
      <c r="CB625" s="1021"/>
      <c r="CC625" s="1018">
        <f t="shared" si="12"/>
        <v>0</v>
      </c>
      <c r="CD625" s="1019"/>
      <c r="CE625" s="1019"/>
      <c r="CF625" s="1019"/>
      <c r="CG625" s="1021"/>
      <c r="CH625" s="1018">
        <f t="shared" si="13"/>
        <v>0</v>
      </c>
      <c r="CI625" s="1019"/>
      <c r="CJ625" s="1019"/>
      <c r="CK625" s="1019"/>
      <c r="CL625" s="1021"/>
      <c r="CM625" s="1022">
        <f t="shared" si="14"/>
        <v>0</v>
      </c>
      <c r="CN625" s="1023"/>
      <c r="CO625" s="1023"/>
      <c r="CP625" s="1023"/>
      <c r="CQ625" s="1020"/>
      <c r="CS625" s="1015">
        <f t="shared" si="27"/>
        <v>0</v>
      </c>
      <c r="CT625" s="1016"/>
      <c r="CU625" s="1016"/>
      <c r="CV625" s="1016"/>
      <c r="CW625" s="1017"/>
      <c r="CX625" s="1015">
        <f t="shared" si="28"/>
        <v>0</v>
      </c>
      <c r="CY625" s="1016"/>
      <c r="CZ625" s="1016"/>
      <c r="DA625" s="1016"/>
      <c r="DB625" s="1017"/>
      <c r="DC625" s="1015">
        <f t="shared" si="29"/>
        <v>0</v>
      </c>
      <c r="DD625" s="1016"/>
      <c r="DE625" s="1016"/>
      <c r="DF625" s="1016"/>
      <c r="DG625" s="1017"/>
      <c r="DH625" s="1015">
        <f t="shared" si="30"/>
        <v>0</v>
      </c>
      <c r="DI625" s="1016"/>
      <c r="DJ625" s="1016"/>
      <c r="DK625" s="1016"/>
      <c r="DL625" s="1017"/>
      <c r="DM625" s="1015">
        <f t="shared" si="31"/>
        <v>0</v>
      </c>
      <c r="DN625" s="1016"/>
      <c r="DO625" s="1016"/>
      <c r="DP625" s="1016"/>
      <c r="DQ625" s="1017"/>
      <c r="DR625" s="1015">
        <f t="shared" si="32"/>
        <v>0</v>
      </c>
      <c r="DS625" s="1016"/>
      <c r="DT625" s="1016"/>
      <c r="DU625" s="1016"/>
      <c r="DV625" s="1017"/>
    </row>
    <row r="626" spans="1:126" ht="12.9" customHeight="1">
      <c r="B626" s="51" t="s">
        <v>1312</v>
      </c>
      <c r="C626" s="1045"/>
      <c r="D626" s="1045"/>
      <c r="E626" s="1045"/>
      <c r="F626" s="1045"/>
      <c r="G626" s="1045"/>
      <c r="H626" s="1045"/>
      <c r="I626" s="1045"/>
      <c r="J626" s="1045"/>
      <c r="K626" s="1045"/>
      <c r="L626" s="1045"/>
      <c r="M626" s="1220" t="s">
        <v>1261</v>
      </c>
      <c r="N626" s="1220"/>
      <c r="O626" s="1220"/>
      <c r="P626" s="1220"/>
      <c r="Q626" s="1284"/>
      <c r="R626" s="1285"/>
      <c r="S626" s="1286"/>
      <c r="T626" s="1310"/>
      <c r="U626" s="1311"/>
      <c r="V626" s="1312"/>
      <c r="W626" s="1233"/>
      <c r="X626" s="1234"/>
      <c r="Y626" s="1235"/>
      <c r="Z626" s="1287" t="s">
        <v>1261</v>
      </c>
      <c r="AA626" s="1288"/>
      <c r="AB626" s="1289"/>
      <c r="AC626" s="1270"/>
      <c r="AD626" s="1092"/>
      <c r="AE626" s="1271"/>
      <c r="AF626" s="1110"/>
      <c r="AG626" s="1111"/>
      <c r="AH626" s="1111"/>
      <c r="AI626" s="1111"/>
      <c r="AJ626" s="1112"/>
      <c r="AK626" s="1221"/>
      <c r="AL626" s="1222"/>
      <c r="AM626" s="1222"/>
      <c r="AN626" s="1223"/>
      <c r="AO626" s="1165"/>
      <c r="AP626" s="1165"/>
      <c r="AQ626" s="1165"/>
      <c r="AR626" s="1165"/>
      <c r="AS626" s="1165"/>
      <c r="AT626" s="830" t="str">
        <f t="shared" si="33"/>
        <v/>
      </c>
      <c r="AU626" s="37"/>
      <c r="AV626" s="37"/>
      <c r="AW626" s="37"/>
      <c r="AX626" s="37"/>
      <c r="AY626" s="37"/>
      <c r="AZ626" s="37"/>
      <c r="BE626" s="1018">
        <f>IF(AND(AH729&lt;=0.5,AH729&gt;=0.36),1,0)</f>
        <v>0</v>
      </c>
      <c r="BF626" s="1021"/>
      <c r="BG626" s="1018">
        <f>IF(BE626=1,G729,0)</f>
        <v>0</v>
      </c>
      <c r="BH626" s="1021"/>
      <c r="BI626" s="1018">
        <f>IF(AND(AH729&lt;=0.35,AH729&gt;0),1,0)</f>
        <v>0</v>
      </c>
      <c r="BJ626" s="1021"/>
      <c r="BK626" s="1018">
        <f>IF(BI626=1,G729,0)</f>
        <v>0</v>
      </c>
      <c r="BL626" s="1021"/>
      <c r="BN626" s="1018">
        <f>SUM(BN591:BR625)</f>
        <v>0</v>
      </c>
      <c r="BO626" s="1019"/>
      <c r="BP626" s="1019"/>
      <c r="BQ626" s="1019"/>
      <c r="BR626" s="1021"/>
      <c r="BS626" s="1018">
        <f t="shared" ref="BS626" si="36">SUM(BS591:BW625)</f>
        <v>22</v>
      </c>
      <c r="BT626" s="1019"/>
      <c r="BU626" s="1019"/>
      <c r="BV626" s="1019"/>
      <c r="BW626" s="1021"/>
      <c r="BX626" s="1018">
        <f t="shared" ref="BX626" si="37">SUM(BX591:CB625)</f>
        <v>0</v>
      </c>
      <c r="BY626" s="1019"/>
      <c r="BZ626" s="1019"/>
      <c r="CA626" s="1019"/>
      <c r="CB626" s="1021"/>
      <c r="CC626" s="1018">
        <f t="shared" ref="CC626" si="38">SUM(CC591:CG625)</f>
        <v>0</v>
      </c>
      <c r="CD626" s="1019"/>
      <c r="CE626" s="1019"/>
      <c r="CF626" s="1019"/>
      <c r="CG626" s="1021"/>
      <c r="CH626" s="1018">
        <f t="shared" ref="CH626" si="39">SUM(CH591:CL625)</f>
        <v>0</v>
      </c>
      <c r="CI626" s="1019"/>
      <c r="CJ626" s="1019"/>
      <c r="CK626" s="1019"/>
      <c r="CL626" s="1021"/>
      <c r="CM626" s="1018">
        <f t="shared" ref="CM626" si="40">SUM(CM591:CQ625)</f>
        <v>0</v>
      </c>
      <c r="CN626" s="1019"/>
      <c r="CO626" s="1019"/>
      <c r="CP626" s="1019"/>
      <c r="CQ626" s="1021"/>
      <c r="CS626" s="1015">
        <f>IF(AND(B729="SRO/Studio",AH729&lt;=0.3),G729,0)</f>
        <v>0</v>
      </c>
      <c r="CT626" s="1016"/>
      <c r="CU626" s="1016"/>
      <c r="CV626" s="1016"/>
      <c r="CW626" s="1017"/>
      <c r="CX626" s="1015">
        <f>IF(AND(B729="1 Bedroom",AH729&lt;=0.3),G729,0)</f>
        <v>0</v>
      </c>
      <c r="CY626" s="1016"/>
      <c r="CZ626" s="1016"/>
      <c r="DA626" s="1016"/>
      <c r="DB626" s="1017"/>
      <c r="DC626" s="1015">
        <f>IF(AND(B729="2 Bedrooms",AH729&lt;=0.3),G729,0)</f>
        <v>0</v>
      </c>
      <c r="DD626" s="1016"/>
      <c r="DE626" s="1016"/>
      <c r="DF626" s="1016"/>
      <c r="DG626" s="1017"/>
      <c r="DH626" s="1015">
        <f>IF(AND(B729="3 Bedrooms",AH729&lt;=0.3),G729,0)</f>
        <v>0</v>
      </c>
      <c r="DI626" s="1016"/>
      <c r="DJ626" s="1016"/>
      <c r="DK626" s="1016"/>
      <c r="DL626" s="1017"/>
      <c r="DM626" s="1015">
        <f>IF(AND(B729="4 Bedrooms",AH729&lt;=0.3),G729,0)</f>
        <v>0</v>
      </c>
      <c r="DN626" s="1016"/>
      <c r="DO626" s="1016"/>
      <c r="DP626" s="1016"/>
      <c r="DQ626" s="1017"/>
      <c r="DR626" s="1015">
        <f>IF(AND(B729="5 Bedrooms",AH729&lt;=0.3),G729,0)</f>
        <v>0</v>
      </c>
      <c r="DS626" s="1016"/>
      <c r="DT626" s="1016"/>
      <c r="DU626" s="1016"/>
      <c r="DV626" s="1017"/>
    </row>
    <row r="627" spans="1:126" ht="12.9" customHeight="1" thickBot="1">
      <c r="B627" s="51" t="s">
        <v>1314</v>
      </c>
      <c r="C627" s="1045"/>
      <c r="D627" s="1045"/>
      <c r="E627" s="1045"/>
      <c r="F627" s="1045"/>
      <c r="G627" s="1045"/>
      <c r="H627" s="1045"/>
      <c r="I627" s="1045"/>
      <c r="J627" s="1045"/>
      <c r="K627" s="1045"/>
      <c r="L627" s="1045"/>
      <c r="M627" s="1220" t="s">
        <v>1261</v>
      </c>
      <c r="N627" s="1220"/>
      <c r="O627" s="1220"/>
      <c r="P627" s="1220"/>
      <c r="Q627" s="1284"/>
      <c r="R627" s="1285"/>
      <c r="S627" s="1286"/>
      <c r="T627" s="1310"/>
      <c r="U627" s="1311"/>
      <c r="V627" s="1312"/>
      <c r="W627" s="1233"/>
      <c r="X627" s="1234"/>
      <c r="Y627" s="1235"/>
      <c r="Z627" s="1287" t="s">
        <v>1261</v>
      </c>
      <c r="AA627" s="1288"/>
      <c r="AB627" s="1289"/>
      <c r="AC627" s="1270"/>
      <c r="AD627" s="1092"/>
      <c r="AE627" s="1271"/>
      <c r="AF627" s="1110"/>
      <c r="AG627" s="1111"/>
      <c r="AH627" s="1111"/>
      <c r="AI627" s="1111"/>
      <c r="AJ627" s="1112"/>
      <c r="AK627" s="1221"/>
      <c r="AL627" s="1222"/>
      <c r="AM627" s="1222"/>
      <c r="AN627" s="1223"/>
      <c r="AO627" s="1165"/>
      <c r="AP627" s="1165"/>
      <c r="AQ627" s="1165"/>
      <c r="AR627" s="1165"/>
      <c r="AS627" s="1165"/>
      <c r="AT627" s="830" t="str">
        <f t="shared" si="33"/>
        <v/>
      </c>
      <c r="AU627" s="37"/>
      <c r="AV627" s="37"/>
      <c r="AW627" s="37"/>
      <c r="AX627" s="37"/>
      <c r="AY627" s="37"/>
      <c r="AZ627" s="37"/>
      <c r="BE627" s="37"/>
      <c r="BF627" s="37"/>
      <c r="BG627" s="1018">
        <f>SUM(BG592:BH626)</f>
        <v>19</v>
      </c>
      <c r="BH627" s="1021"/>
      <c r="BI627" s="37"/>
      <c r="BJ627" s="37"/>
      <c r="BK627" s="1018">
        <f>SUM(BK592:BL626)</f>
        <v>3</v>
      </c>
      <c r="BL627" s="1021"/>
      <c r="BN627" s="37" t="s">
        <v>1362</v>
      </c>
      <c r="BO627" s="37"/>
      <c r="BP627" s="37"/>
      <c r="BQ627" s="37"/>
      <c r="BR627" s="379">
        <f>BN626*1</f>
        <v>0</v>
      </c>
      <c r="BS627" s="37"/>
      <c r="BT627" s="37"/>
      <c r="BU627" s="37"/>
      <c r="BV627" s="37"/>
      <c r="BW627" s="379">
        <f>BS626*1</f>
        <v>22</v>
      </c>
      <c r="BX627" s="37"/>
      <c r="BY627" s="37"/>
      <c r="BZ627" s="37"/>
      <c r="CA627" s="37"/>
      <c r="CB627" s="379">
        <f>BX626*2</f>
        <v>0</v>
      </c>
      <c r="CC627" s="37"/>
      <c r="CD627" s="37"/>
      <c r="CE627" s="37"/>
      <c r="CF627" s="37"/>
      <c r="CG627" s="379">
        <f>CC626*3</f>
        <v>0</v>
      </c>
      <c r="CH627" s="37"/>
      <c r="CI627" s="37"/>
      <c r="CJ627" s="37"/>
      <c r="CK627" s="37"/>
      <c r="CL627" s="379">
        <f>CH626*4</f>
        <v>0</v>
      </c>
      <c r="CM627" s="37"/>
      <c r="CN627" s="37"/>
      <c r="CO627" s="37"/>
      <c r="CP627" s="37"/>
      <c r="CQ627" s="378">
        <f>CM626*5</f>
        <v>0</v>
      </c>
      <c r="CS627" s="1018">
        <f>SUM(CS592:CW626)</f>
        <v>0</v>
      </c>
      <c r="CT627" s="1019"/>
      <c r="CU627" s="1019"/>
      <c r="CV627" s="1019"/>
      <c r="CW627" s="1021"/>
      <c r="CX627" s="1018">
        <f>SUM(CX592:DB626)</f>
        <v>3</v>
      </c>
      <c r="CY627" s="1019"/>
      <c r="CZ627" s="1019"/>
      <c r="DA627" s="1019"/>
      <c r="DB627" s="1021"/>
      <c r="DC627" s="1018">
        <f>SUM(DC592:DG626)</f>
        <v>0</v>
      </c>
      <c r="DD627" s="1019"/>
      <c r="DE627" s="1019"/>
      <c r="DF627" s="1019"/>
      <c r="DG627" s="1021"/>
      <c r="DH627" s="1018">
        <f>SUM(DH592:DL626)</f>
        <v>0</v>
      </c>
      <c r="DI627" s="1019"/>
      <c r="DJ627" s="1019"/>
      <c r="DK627" s="1019"/>
      <c r="DL627" s="1021"/>
      <c r="DM627" s="1018">
        <f>SUM(DM592:DQ626)</f>
        <v>0</v>
      </c>
      <c r="DN627" s="1019"/>
      <c r="DO627" s="1019"/>
      <c r="DP627" s="1019"/>
      <c r="DQ627" s="1021"/>
      <c r="DR627" s="1018">
        <f>SUM(DR592:DV626)</f>
        <v>0</v>
      </c>
      <c r="DS627" s="1019"/>
      <c r="DT627" s="1019"/>
      <c r="DU627" s="1019"/>
      <c r="DV627" s="1021"/>
    </row>
    <row r="628" spans="1:126" ht="12.9" customHeight="1" thickBot="1">
      <c r="B628" s="51" t="s">
        <v>1316</v>
      </c>
      <c r="C628" s="1045"/>
      <c r="D628" s="1045"/>
      <c r="E628" s="1045"/>
      <c r="F628" s="1045"/>
      <c r="G628" s="1045"/>
      <c r="H628" s="1045"/>
      <c r="I628" s="1045"/>
      <c r="J628" s="1045"/>
      <c r="K628" s="1045"/>
      <c r="L628" s="1045"/>
      <c r="M628" s="1220" t="s">
        <v>1261</v>
      </c>
      <c r="N628" s="1220"/>
      <c r="O628" s="1220"/>
      <c r="P628" s="1220"/>
      <c r="Q628" s="1284"/>
      <c r="R628" s="1285"/>
      <c r="S628" s="1286"/>
      <c r="T628" s="1310"/>
      <c r="U628" s="1311"/>
      <c r="V628" s="1312"/>
      <c r="W628" s="1233"/>
      <c r="X628" s="1234"/>
      <c r="Y628" s="1235"/>
      <c r="Z628" s="1287" t="s">
        <v>1261</v>
      </c>
      <c r="AA628" s="1288"/>
      <c r="AB628" s="1289"/>
      <c r="AC628" s="1270"/>
      <c r="AD628" s="1092"/>
      <c r="AE628" s="1271"/>
      <c r="AF628" s="1110"/>
      <c r="AG628" s="1111"/>
      <c r="AH628" s="1111"/>
      <c r="AI628" s="1111"/>
      <c r="AJ628" s="1112"/>
      <c r="AK628" s="1221"/>
      <c r="AL628" s="1222"/>
      <c r="AM628" s="1222"/>
      <c r="AN628" s="1223"/>
      <c r="AO628" s="1165"/>
      <c r="AP628" s="1165"/>
      <c r="AQ628" s="1165"/>
      <c r="AR628" s="1165"/>
      <c r="AS628" s="1165"/>
      <c r="AT628" s="830" t="str">
        <f t="shared" si="33"/>
        <v/>
      </c>
      <c r="AU628" s="37"/>
      <c r="AV628" s="37"/>
      <c r="AW628" s="37"/>
      <c r="AX628" s="37"/>
      <c r="AY628" s="37"/>
      <c r="AZ628" s="37"/>
      <c r="BN628" s="37" t="s">
        <v>1363</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1364</v>
      </c>
      <c r="CQ628" s="380">
        <f>BR627+BW627+CB627+CG627+CL627+CQ627</f>
        <v>22</v>
      </c>
      <c r="CR628" s="37"/>
      <c r="CS628" s="37"/>
    </row>
    <row r="629" spans="1:126" ht="12.9" customHeight="1">
      <c r="B629" s="51" t="s">
        <v>1317</v>
      </c>
      <c r="C629" s="1045"/>
      <c r="D629" s="1045"/>
      <c r="E629" s="1045"/>
      <c r="F629" s="1045"/>
      <c r="G629" s="1045"/>
      <c r="H629" s="1045"/>
      <c r="I629" s="1045"/>
      <c r="J629" s="1045"/>
      <c r="K629" s="1045"/>
      <c r="L629" s="1045"/>
      <c r="M629" s="1220" t="s">
        <v>1261</v>
      </c>
      <c r="N629" s="1220"/>
      <c r="O629" s="1220"/>
      <c r="P629" s="1220"/>
      <c r="Q629" s="1284"/>
      <c r="R629" s="1285"/>
      <c r="S629" s="1286"/>
      <c r="T629" s="1310"/>
      <c r="U629" s="1311"/>
      <c r="V629" s="1312"/>
      <c r="W629" s="1233"/>
      <c r="X629" s="1234"/>
      <c r="Y629" s="1235"/>
      <c r="Z629" s="1287" t="s">
        <v>1261</v>
      </c>
      <c r="AA629" s="1288"/>
      <c r="AB629" s="1289"/>
      <c r="AC629" s="1270"/>
      <c r="AD629" s="1092"/>
      <c r="AE629" s="1271"/>
      <c r="AF629" s="1110"/>
      <c r="AG629" s="1111"/>
      <c r="AH629" s="1111"/>
      <c r="AI629" s="1111"/>
      <c r="AJ629" s="1112"/>
      <c r="AK629" s="1221"/>
      <c r="AL629" s="1222"/>
      <c r="AM629" s="1222"/>
      <c r="AN629" s="1223"/>
      <c r="AO629" s="1165"/>
      <c r="AP629" s="1165"/>
      <c r="AQ629" s="1165"/>
      <c r="AR629" s="1165"/>
      <c r="AS629" s="1165"/>
      <c r="AT629" s="830" t="str">
        <f t="shared" si="33"/>
        <v/>
      </c>
      <c r="AU629" s="37"/>
      <c r="AV629" s="37"/>
      <c r="AW629" s="37"/>
      <c r="AX629" s="37"/>
      <c r="AY629" s="37"/>
      <c r="AZ629" s="37"/>
      <c r="BN629" s="1018">
        <f>IF(J752="SRO/Studio",O752,0)</f>
        <v>0</v>
      </c>
      <c r="BO629" s="1019"/>
      <c r="BP629" s="1019"/>
      <c r="BQ629" s="1019"/>
      <c r="BR629" s="1021"/>
      <c r="BS629" s="1018">
        <f>IF(J752="1 Bedroom",O752,0)</f>
        <v>1</v>
      </c>
      <c r="BT629" s="1019"/>
      <c r="BU629" s="1019"/>
      <c r="BV629" s="1019"/>
      <c r="BW629" s="1021"/>
      <c r="BX629" s="1018">
        <f>IF(J752="2 Bedrooms",O752,0)</f>
        <v>0</v>
      </c>
      <c r="BY629" s="1019"/>
      <c r="BZ629" s="1019"/>
      <c r="CA629" s="1019"/>
      <c r="CB629" s="1021"/>
      <c r="CC629" s="1018">
        <f>IF(J752="3 Bedrooms",O752,0)</f>
        <v>0</v>
      </c>
      <c r="CD629" s="1019"/>
      <c r="CE629" s="1019"/>
      <c r="CF629" s="1019"/>
      <c r="CG629" s="1021"/>
      <c r="CH629" s="1018">
        <f>IF(J752="4 Bedrooms",O752,0)</f>
        <v>0</v>
      </c>
      <c r="CI629" s="1019"/>
      <c r="CJ629" s="1019"/>
      <c r="CK629" s="1019"/>
      <c r="CL629" s="1021"/>
      <c r="CM629" s="1022">
        <f>IF(J752="5 Bedrooms",O752,0)</f>
        <v>0</v>
      </c>
      <c r="CN629" s="1023"/>
      <c r="CO629" s="1023"/>
      <c r="CP629" s="1023"/>
      <c r="CQ629" s="1020"/>
      <c r="CR629" s="37"/>
      <c r="CS629" s="37"/>
    </row>
    <row r="630" spans="1:126" ht="12.9" customHeight="1">
      <c r="B630" s="51" t="s">
        <v>1318</v>
      </c>
      <c r="C630" s="1045"/>
      <c r="D630" s="1045"/>
      <c r="E630" s="1045"/>
      <c r="F630" s="1045"/>
      <c r="G630" s="1045"/>
      <c r="H630" s="1045"/>
      <c r="I630" s="1045"/>
      <c r="J630" s="1045"/>
      <c r="K630" s="1045"/>
      <c r="L630" s="1045"/>
      <c r="M630" s="1220" t="s">
        <v>1261</v>
      </c>
      <c r="N630" s="1220"/>
      <c r="O630" s="1220"/>
      <c r="P630" s="1220"/>
      <c r="Q630" s="1284"/>
      <c r="R630" s="1285"/>
      <c r="S630" s="1286"/>
      <c r="T630" s="1310"/>
      <c r="U630" s="1311"/>
      <c r="V630" s="1312"/>
      <c r="W630" s="1233"/>
      <c r="X630" s="1234"/>
      <c r="Y630" s="1235"/>
      <c r="Z630" s="1287" t="s">
        <v>1261</v>
      </c>
      <c r="AA630" s="1288"/>
      <c r="AB630" s="1289"/>
      <c r="AC630" s="1270"/>
      <c r="AD630" s="1092"/>
      <c r="AE630" s="1271"/>
      <c r="AF630" s="1110"/>
      <c r="AG630" s="1111"/>
      <c r="AH630" s="1111"/>
      <c r="AI630" s="1111"/>
      <c r="AJ630" s="1112"/>
      <c r="AK630" s="1221"/>
      <c r="AL630" s="1222"/>
      <c r="AM630" s="1222"/>
      <c r="AN630" s="1223"/>
      <c r="AO630" s="1165"/>
      <c r="AP630" s="1165"/>
      <c r="AQ630" s="1165"/>
      <c r="AR630" s="1165"/>
      <c r="AS630" s="1165"/>
      <c r="AT630" s="830" t="str">
        <f t="shared" si="33"/>
        <v/>
      </c>
      <c r="AU630" s="37"/>
      <c r="AV630" s="37"/>
      <c r="AW630" s="37"/>
      <c r="AX630" s="37"/>
      <c r="AY630" s="37"/>
      <c r="AZ630" s="37"/>
      <c r="BN630" s="1018">
        <f>IF(J753="SRO/Studio",O753,0)</f>
        <v>0</v>
      </c>
      <c r="BO630" s="1019"/>
      <c r="BP630" s="1019"/>
      <c r="BQ630" s="1019"/>
      <c r="BR630" s="1021"/>
      <c r="BS630" s="1018">
        <f>IF(J753="1 Bedroom",O753,0)</f>
        <v>0</v>
      </c>
      <c r="BT630" s="1019"/>
      <c r="BU630" s="1019"/>
      <c r="BV630" s="1019"/>
      <c r="BW630" s="1021"/>
      <c r="BX630" s="1018">
        <f>IF(J753="2 Bedrooms",O753,0)</f>
        <v>0</v>
      </c>
      <c r="BY630" s="1019"/>
      <c r="BZ630" s="1019"/>
      <c r="CA630" s="1019"/>
      <c r="CB630" s="1021"/>
      <c r="CC630" s="1018">
        <f>IF(J753="3 Bedrooms",O753,0)</f>
        <v>0</v>
      </c>
      <c r="CD630" s="1019"/>
      <c r="CE630" s="1019"/>
      <c r="CF630" s="1019"/>
      <c r="CG630" s="1021"/>
      <c r="CH630" s="1018">
        <f>IF(J753="4 Bedrooms",O753,0)</f>
        <v>0</v>
      </c>
      <c r="CI630" s="1019"/>
      <c r="CJ630" s="1019"/>
      <c r="CK630" s="1019"/>
      <c r="CL630" s="1021"/>
      <c r="CM630" s="1022">
        <f>IF(J753="5 Bedrooms",O753,0)</f>
        <v>0</v>
      </c>
      <c r="CN630" s="1023"/>
      <c r="CO630" s="1023"/>
      <c r="CP630" s="1023"/>
      <c r="CQ630" s="1020"/>
      <c r="CR630" s="37"/>
      <c r="CS630" s="37"/>
    </row>
    <row r="631" spans="1:126" ht="12.9" customHeight="1">
      <c r="B631" s="51" t="s">
        <v>1319</v>
      </c>
      <c r="C631" s="1045"/>
      <c r="D631" s="1045"/>
      <c r="E631" s="1045"/>
      <c r="F631" s="1045"/>
      <c r="G631" s="1045"/>
      <c r="H631" s="1045"/>
      <c r="I631" s="1045"/>
      <c r="J631" s="1045"/>
      <c r="K631" s="1045"/>
      <c r="L631" s="1045"/>
      <c r="M631" s="1220" t="s">
        <v>1261</v>
      </c>
      <c r="N631" s="1220"/>
      <c r="O631" s="1220"/>
      <c r="P631" s="1220"/>
      <c r="Q631" s="1284"/>
      <c r="R631" s="1285"/>
      <c r="S631" s="1286"/>
      <c r="T631" s="1310"/>
      <c r="U631" s="1311"/>
      <c r="V631" s="1312"/>
      <c r="W631" s="1233"/>
      <c r="X631" s="1234"/>
      <c r="Y631" s="1235"/>
      <c r="Z631" s="1287" t="s">
        <v>1261</v>
      </c>
      <c r="AA631" s="1288"/>
      <c r="AB631" s="1289"/>
      <c r="AC631" s="1270"/>
      <c r="AD631" s="1092"/>
      <c r="AE631" s="1271"/>
      <c r="AF631" s="1110"/>
      <c r="AG631" s="1111"/>
      <c r="AH631" s="1111"/>
      <c r="AI631" s="1111"/>
      <c r="AJ631" s="1112"/>
      <c r="AK631" s="1221"/>
      <c r="AL631" s="1222"/>
      <c r="AM631" s="1222"/>
      <c r="AN631" s="1223"/>
      <c r="AO631" s="1165"/>
      <c r="AP631" s="1165"/>
      <c r="AQ631" s="1165"/>
      <c r="AR631" s="1165"/>
      <c r="AS631" s="1165"/>
      <c r="AT631" s="830" t="str">
        <f t="shared" si="33"/>
        <v/>
      </c>
      <c r="AU631" s="37"/>
      <c r="AV631" s="37"/>
      <c r="AW631" s="37"/>
      <c r="AX631" s="37"/>
      <c r="AY631" s="37"/>
      <c r="AZ631" s="37"/>
      <c r="BN631" s="1018">
        <f>IF(J754="SRO/Studio",O754,0)</f>
        <v>0</v>
      </c>
      <c r="BO631" s="1019"/>
      <c r="BP631" s="1019"/>
      <c r="BQ631" s="1019"/>
      <c r="BR631" s="1021"/>
      <c r="BS631" s="1018">
        <f>IF(J754="1 Bedroom",O754,0)</f>
        <v>0</v>
      </c>
      <c r="BT631" s="1019"/>
      <c r="BU631" s="1019"/>
      <c r="BV631" s="1019"/>
      <c r="BW631" s="1021"/>
      <c r="BX631" s="1018">
        <f>IF(J754="2 Bedrooms",O754,0)</f>
        <v>0</v>
      </c>
      <c r="BY631" s="1019"/>
      <c r="BZ631" s="1019"/>
      <c r="CA631" s="1019"/>
      <c r="CB631" s="1021"/>
      <c r="CC631" s="1018">
        <f>IF(J754="3 Bedrooms",O754,0)</f>
        <v>0</v>
      </c>
      <c r="CD631" s="1019"/>
      <c r="CE631" s="1019"/>
      <c r="CF631" s="1019"/>
      <c r="CG631" s="1021"/>
      <c r="CH631" s="1018">
        <f>IF(J754="4 Bedrooms",O754,0)</f>
        <v>0</v>
      </c>
      <c r="CI631" s="1019"/>
      <c r="CJ631" s="1019"/>
      <c r="CK631" s="1019"/>
      <c r="CL631" s="1021"/>
      <c r="CM631" s="1022">
        <f>IF(J754="5 Bedrooms",O754,0)</f>
        <v>0</v>
      </c>
      <c r="CN631" s="1023"/>
      <c r="CO631" s="1023"/>
      <c r="CP631" s="1023"/>
      <c r="CQ631" s="1020"/>
      <c r="CR631" s="37"/>
      <c r="CS631" s="37"/>
    </row>
    <row r="632" spans="1:126" ht="12.9" customHeight="1">
      <c r="B632" s="51" t="s">
        <v>1320</v>
      </c>
      <c r="C632" s="1045"/>
      <c r="D632" s="1045"/>
      <c r="E632" s="1045"/>
      <c r="F632" s="1045"/>
      <c r="G632" s="1045"/>
      <c r="H632" s="1045"/>
      <c r="I632" s="1045"/>
      <c r="J632" s="1045"/>
      <c r="K632" s="1045"/>
      <c r="L632" s="1045"/>
      <c r="M632" s="1220" t="s">
        <v>1261</v>
      </c>
      <c r="N632" s="1220"/>
      <c r="O632" s="1220"/>
      <c r="P632" s="1220"/>
      <c r="Q632" s="1284"/>
      <c r="R632" s="1285"/>
      <c r="S632" s="1286"/>
      <c r="T632" s="1310"/>
      <c r="U632" s="1311"/>
      <c r="V632" s="1312"/>
      <c r="W632" s="1233"/>
      <c r="X632" s="1234"/>
      <c r="Y632" s="1235"/>
      <c r="Z632" s="1287" t="s">
        <v>1261</v>
      </c>
      <c r="AA632" s="1288"/>
      <c r="AB632" s="1289"/>
      <c r="AC632" s="1270"/>
      <c r="AD632" s="1092"/>
      <c r="AE632" s="1271"/>
      <c r="AF632" s="1110"/>
      <c r="AG632" s="1111"/>
      <c r="AH632" s="1111"/>
      <c r="AI632" s="1111"/>
      <c r="AJ632" s="1112"/>
      <c r="AK632" s="1221"/>
      <c r="AL632" s="1222"/>
      <c r="AM632" s="1222"/>
      <c r="AN632" s="1223"/>
      <c r="AO632" s="1165"/>
      <c r="AP632" s="1165"/>
      <c r="AQ632" s="1165"/>
      <c r="AR632" s="1165"/>
      <c r="AS632" s="1165"/>
      <c r="AT632" s="830" t="str">
        <f t="shared" si="33"/>
        <v/>
      </c>
      <c r="AU632" s="37"/>
      <c r="AV632" s="37"/>
      <c r="AW632" s="37"/>
      <c r="AX632" s="37"/>
      <c r="AY632" s="37"/>
      <c r="AZ632" s="37"/>
      <c r="BN632" s="1018">
        <f>IF(J755="SRO/Studio",O755,0)</f>
        <v>0</v>
      </c>
      <c r="BO632" s="1019"/>
      <c r="BP632" s="1019"/>
      <c r="BQ632" s="1019"/>
      <c r="BR632" s="1021"/>
      <c r="BS632" s="1018">
        <f>IF(J755="1 Bedroom",O755,0)</f>
        <v>0</v>
      </c>
      <c r="BT632" s="1019"/>
      <c r="BU632" s="1019"/>
      <c r="BV632" s="1019"/>
      <c r="BW632" s="1021"/>
      <c r="BX632" s="1018">
        <f>IF(J755="2 Bedrooms",O755,0)</f>
        <v>0</v>
      </c>
      <c r="BY632" s="1019"/>
      <c r="BZ632" s="1019"/>
      <c r="CA632" s="1019"/>
      <c r="CB632" s="1021"/>
      <c r="CC632" s="1018">
        <f>IF(J755="3 Bedrooms",O755,0)</f>
        <v>0</v>
      </c>
      <c r="CD632" s="1019"/>
      <c r="CE632" s="1019"/>
      <c r="CF632" s="1019"/>
      <c r="CG632" s="1021"/>
      <c r="CH632" s="1018">
        <f>IF(J755="4 Bedrooms",O755,0)</f>
        <v>0</v>
      </c>
      <c r="CI632" s="1019"/>
      <c r="CJ632" s="1019"/>
      <c r="CK632" s="1019"/>
      <c r="CL632" s="1021"/>
      <c r="CM632" s="1022">
        <f>IF(J755="5 Bedrooms",O755,0)</f>
        <v>0</v>
      </c>
      <c r="CN632" s="1023"/>
      <c r="CO632" s="1023"/>
      <c r="CP632" s="1023"/>
      <c r="CQ632" s="1020"/>
      <c r="CR632" s="37"/>
      <c r="CS632" s="37"/>
    </row>
    <row r="633" spans="1:126" ht="12.9" customHeight="1">
      <c r="B633" s="1050" t="s">
        <v>1365</v>
      </c>
      <c r="C633" s="1051"/>
      <c r="D633" s="1051"/>
      <c r="E633" s="1051"/>
      <c r="F633" s="1051"/>
      <c r="G633" s="1051"/>
      <c r="H633" s="1051"/>
      <c r="I633" s="1051"/>
      <c r="J633" s="1051"/>
      <c r="K633" s="1051"/>
      <c r="L633" s="1051"/>
      <c r="M633" s="1051"/>
      <c r="N633" s="1051"/>
      <c r="O633" s="1051"/>
      <c r="P633" s="1051"/>
      <c r="Q633" s="1051"/>
      <c r="R633" s="1051"/>
      <c r="S633" s="1051"/>
      <c r="T633" s="1051"/>
      <c r="U633" s="1051"/>
      <c r="V633" s="1051"/>
      <c r="W633" s="1051"/>
      <c r="X633" s="1051"/>
      <c r="Y633" s="1051"/>
      <c r="Z633" s="1051"/>
      <c r="AA633" s="1051"/>
      <c r="AB633" s="1051"/>
      <c r="AC633" s="1051"/>
      <c r="AD633" s="1051"/>
      <c r="AE633" s="1051"/>
      <c r="AF633" s="1051"/>
      <c r="AG633" s="1051"/>
      <c r="AH633" s="1051"/>
      <c r="AI633" s="1051"/>
      <c r="AJ633" s="1051"/>
      <c r="AK633" s="1051"/>
      <c r="AL633" s="1051"/>
      <c r="AM633" s="1051"/>
      <c r="AN633" s="1053"/>
      <c r="AO633" s="1173">
        <f>SUM(AO621:AS632)</f>
        <v>2528270</v>
      </c>
      <c r="AP633" s="1174"/>
      <c r="AQ633" s="1174"/>
      <c r="AR633" s="1174"/>
      <c r="AS633" s="1175"/>
      <c r="AT633" s="37"/>
      <c r="AU633" s="37"/>
      <c r="AV633" s="37"/>
      <c r="AW633" s="37"/>
      <c r="AX633" s="37"/>
      <c r="AY633" s="37"/>
      <c r="AZ633" s="37"/>
      <c r="BN633" s="1018">
        <f>SUM(BN629:BR632)</f>
        <v>0</v>
      </c>
      <c r="BO633" s="1019"/>
      <c r="BP633" s="1019"/>
      <c r="BQ633" s="1019"/>
      <c r="BR633" s="1021"/>
      <c r="BS633" s="1018">
        <f>SUM(BS629:BW632)</f>
        <v>1</v>
      </c>
      <c r="BT633" s="1019"/>
      <c r="BU633" s="1019"/>
      <c r="BV633" s="1019"/>
      <c r="BW633" s="1021"/>
      <c r="BX633" s="1018">
        <f>SUM(BX629:CB632)</f>
        <v>0</v>
      </c>
      <c r="BY633" s="1019"/>
      <c r="BZ633" s="1019"/>
      <c r="CA633" s="1019"/>
      <c r="CB633" s="1021"/>
      <c r="CC633" s="1018">
        <f>SUM(CC629:CG632)</f>
        <v>0</v>
      </c>
      <c r="CD633" s="1019"/>
      <c r="CE633" s="1019"/>
      <c r="CF633" s="1019"/>
      <c r="CG633" s="1021"/>
      <c r="CH633" s="1018">
        <f>SUM(CH629:CL632)</f>
        <v>0</v>
      </c>
      <c r="CI633" s="1019"/>
      <c r="CJ633" s="1019"/>
      <c r="CK633" s="1019"/>
      <c r="CL633" s="1021"/>
      <c r="CM633" s="1018">
        <f>SUM(CM629:CQ632)</f>
        <v>0</v>
      </c>
      <c r="CN633" s="1019"/>
      <c r="CO633" s="1019"/>
      <c r="CP633" s="1019"/>
      <c r="CQ633" s="1021"/>
      <c r="CS633" s="379">
        <f>BN633+BS633+BX633+CC633+CH633+CM633</f>
        <v>1</v>
      </c>
      <c r="CT633" s="56" t="s">
        <v>1366</v>
      </c>
      <c r="CU633" s="37"/>
    </row>
    <row r="634" spans="1:126" ht="12.9" customHeight="1">
      <c r="B634" s="1050" t="s">
        <v>1367</v>
      </c>
      <c r="C634" s="1051"/>
      <c r="D634" s="1051"/>
      <c r="E634" s="1051"/>
      <c r="F634" s="1051"/>
      <c r="G634" s="1051"/>
      <c r="H634" s="1051"/>
      <c r="I634" s="1051"/>
      <c r="J634" s="1051"/>
      <c r="K634" s="1051"/>
      <c r="L634" s="1051"/>
      <c r="M634" s="1051"/>
      <c r="N634" s="1051"/>
      <c r="O634" s="1051"/>
      <c r="P634" s="1051"/>
      <c r="Q634" s="1051"/>
      <c r="R634" s="1051"/>
      <c r="S634" s="1051"/>
      <c r="T634" s="1051"/>
      <c r="U634" s="1051"/>
      <c r="V634" s="1051"/>
      <c r="W634" s="1051"/>
      <c r="X634" s="1051"/>
      <c r="Y634" s="1051"/>
      <c r="Z634" s="1051"/>
      <c r="AA634" s="1051"/>
      <c r="AB634" s="1051"/>
      <c r="AC634" s="1051"/>
      <c r="AD634" s="1051"/>
      <c r="AE634" s="1051"/>
      <c r="AF634" s="1051"/>
      <c r="AG634" s="1051"/>
      <c r="AH634" s="1051"/>
      <c r="AI634" s="1051"/>
      <c r="AJ634" s="1051"/>
      <c r="AK634" s="1051"/>
      <c r="AL634" s="1051"/>
      <c r="AM634" s="1051"/>
      <c r="AN634" s="1053"/>
      <c r="AO634" s="1162">
        <f>5057385-160000</f>
        <v>4897385</v>
      </c>
      <c r="AP634" s="1163"/>
      <c r="AQ634" s="1163"/>
      <c r="AR634" s="1163"/>
      <c r="AS634" s="1164"/>
      <c r="AT634" s="37"/>
      <c r="AU634" s="37"/>
      <c r="AV634" s="37"/>
      <c r="AW634" s="37"/>
      <c r="AX634" s="37"/>
      <c r="AY634" s="37"/>
      <c r="AZ634" s="37"/>
      <c r="BN634" s="37" t="s">
        <v>1368</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28" t="s">
        <v>1369</v>
      </c>
      <c r="C635" s="1052"/>
      <c r="D635" s="1052"/>
      <c r="E635" s="1052"/>
      <c r="F635" s="1052"/>
      <c r="G635" s="1052"/>
      <c r="H635" s="1052"/>
      <c r="I635" s="1052"/>
      <c r="J635" s="1052"/>
      <c r="K635" s="1052"/>
      <c r="L635" s="1052"/>
      <c r="M635" s="1052"/>
      <c r="N635" s="1052"/>
      <c r="O635" s="1052"/>
      <c r="P635" s="1052"/>
      <c r="Q635" s="1052"/>
      <c r="R635" s="1052"/>
      <c r="S635" s="1052"/>
      <c r="T635" s="1052"/>
      <c r="U635" s="1052"/>
      <c r="V635" s="1052"/>
      <c r="W635" s="1052"/>
      <c r="X635" s="1052"/>
      <c r="Y635" s="1052"/>
      <c r="Z635" s="1052"/>
      <c r="AA635" s="1052"/>
      <c r="AB635" s="1052"/>
      <c r="AC635" s="1052"/>
      <c r="AD635" s="1052"/>
      <c r="AE635" s="1052"/>
      <c r="AF635" s="1052"/>
      <c r="AG635" s="1052"/>
      <c r="AH635" s="1052"/>
      <c r="AI635" s="1052"/>
      <c r="AJ635" s="1052"/>
      <c r="AK635" s="1052"/>
      <c r="AL635" s="1052"/>
      <c r="AM635" s="1052"/>
      <c r="AN635" s="1329"/>
      <c r="AO635" s="1173">
        <f>AO633+AO634</f>
        <v>7425655</v>
      </c>
      <c r="AP635" s="1174"/>
      <c r="AQ635" s="1174"/>
      <c r="AR635" s="1174"/>
      <c r="AS635" s="1175"/>
      <c r="AT635" s="37"/>
      <c r="AU635" s="37"/>
      <c r="AV635" s="37"/>
      <c r="AW635" s="37"/>
      <c r="AX635" s="37"/>
      <c r="AY635" s="37"/>
      <c r="AZ635" s="37"/>
      <c r="BN635" s="1018">
        <f t="shared" ref="BN635:BN644" si="41">IF(J766="SRO/Studio",O766,0)</f>
        <v>0</v>
      </c>
      <c r="BO635" s="1019"/>
      <c r="BP635" s="1019"/>
      <c r="BQ635" s="1019"/>
      <c r="BR635" s="1021"/>
      <c r="BS635" s="1018">
        <f t="shared" ref="BS635:BS644" si="42">IF(J766="1 Bedroom",O766,0)</f>
        <v>0</v>
      </c>
      <c r="BT635" s="1019"/>
      <c r="BU635" s="1019"/>
      <c r="BV635" s="1019"/>
      <c r="BW635" s="1021"/>
      <c r="BX635" s="1018">
        <f t="shared" ref="BX635:BX644" si="43">IF(J766="2 Bedrooms",O766,0)</f>
        <v>0</v>
      </c>
      <c r="BY635" s="1019"/>
      <c r="BZ635" s="1019"/>
      <c r="CA635" s="1019"/>
      <c r="CB635" s="1021"/>
      <c r="CC635" s="1018">
        <f t="shared" ref="CC635:CC644" si="44">IF(J766="3 Bedrooms",O766,0)</f>
        <v>0</v>
      </c>
      <c r="CD635" s="1019"/>
      <c r="CE635" s="1019"/>
      <c r="CF635" s="1019"/>
      <c r="CG635" s="1021"/>
      <c r="CH635" s="1018">
        <f t="shared" ref="CH635:CH644" si="45">IF(J766="4 Bedrooms",O766,0)</f>
        <v>0</v>
      </c>
      <c r="CI635" s="1019"/>
      <c r="CJ635" s="1019"/>
      <c r="CK635" s="1019"/>
      <c r="CL635" s="1021"/>
      <c r="CM635" s="1018">
        <f t="shared" ref="CM635:CM644" si="46">IF(J766="5 Bedrooms",O766,0)</f>
        <v>0</v>
      </c>
      <c r="CN635" s="1019"/>
      <c r="CO635" s="1019"/>
      <c r="CP635" s="1019"/>
      <c r="CQ635" s="1021"/>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18">
        <f t="shared" si="41"/>
        <v>0</v>
      </c>
      <c r="BO636" s="1019"/>
      <c r="BP636" s="1019"/>
      <c r="BQ636" s="1019"/>
      <c r="BR636" s="1021"/>
      <c r="BS636" s="1018">
        <f t="shared" si="42"/>
        <v>0</v>
      </c>
      <c r="BT636" s="1019"/>
      <c r="BU636" s="1019"/>
      <c r="BV636" s="1019"/>
      <c r="BW636" s="1021"/>
      <c r="BX636" s="1018">
        <f t="shared" si="43"/>
        <v>0</v>
      </c>
      <c r="BY636" s="1019"/>
      <c r="BZ636" s="1019"/>
      <c r="CA636" s="1019"/>
      <c r="CB636" s="1021"/>
      <c r="CC636" s="1018">
        <f t="shared" si="44"/>
        <v>0</v>
      </c>
      <c r="CD636" s="1019"/>
      <c r="CE636" s="1019"/>
      <c r="CF636" s="1019"/>
      <c r="CG636" s="1021"/>
      <c r="CH636" s="1018">
        <f t="shared" si="45"/>
        <v>0</v>
      </c>
      <c r="CI636" s="1019"/>
      <c r="CJ636" s="1019"/>
      <c r="CK636" s="1019"/>
      <c r="CL636" s="1021"/>
      <c r="CM636" s="1018">
        <f t="shared" si="46"/>
        <v>0</v>
      </c>
      <c r="CN636" s="1019"/>
      <c r="CO636" s="1019"/>
      <c r="CP636" s="1019"/>
      <c r="CQ636" s="1021"/>
      <c r="CR636" s="37"/>
      <c r="CS636" s="37"/>
    </row>
    <row r="637" spans="1:126" ht="12.9" customHeight="1">
      <c r="A637" s="54" t="s">
        <v>14</v>
      </c>
      <c r="B637" t="s">
        <v>1322</v>
      </c>
      <c r="G637" s="1131" t="str">
        <f>C621</f>
        <v>USDA 515 (New)</v>
      </c>
      <c r="H637" s="1131"/>
      <c r="I637" s="1131"/>
      <c r="J637" s="1131"/>
      <c r="K637" s="1131"/>
      <c r="L637" s="1131"/>
      <c r="M637" s="1131"/>
      <c r="N637" s="1131"/>
      <c r="O637" s="1131"/>
      <c r="P637" s="1131"/>
      <c r="Q637" s="1131"/>
      <c r="R637" s="1131"/>
      <c r="S637" s="12"/>
      <c r="T637" s="54" t="s">
        <v>27</v>
      </c>
      <c r="U637" t="s">
        <v>1322</v>
      </c>
      <c r="Z637" s="1131" t="str">
        <f>C622</f>
        <v>USDA 515 (Existing)</v>
      </c>
      <c r="AA637" s="1131"/>
      <c r="AB637" s="1131"/>
      <c r="AC637" s="1131"/>
      <c r="AD637" s="1131"/>
      <c r="AE637" s="1131"/>
      <c r="AF637" s="1131"/>
      <c r="AG637" s="1131"/>
      <c r="AH637" s="1131"/>
      <c r="AI637" s="1131"/>
      <c r="AJ637" s="1131"/>
      <c r="AK637" s="1131"/>
      <c r="AM637" s="37"/>
      <c r="AN637" s="37"/>
      <c r="AO637" s="37"/>
      <c r="AP637" s="37"/>
      <c r="AQ637" s="37"/>
      <c r="AR637" s="37"/>
      <c r="AS637" s="37"/>
      <c r="AT637" s="37"/>
      <c r="AU637" s="37"/>
      <c r="AV637" s="37"/>
      <c r="AW637" s="37"/>
      <c r="AX637" s="37"/>
      <c r="AY637" s="37"/>
      <c r="AZ637" s="37"/>
      <c r="BN637" s="1018">
        <f t="shared" si="41"/>
        <v>0</v>
      </c>
      <c r="BO637" s="1019"/>
      <c r="BP637" s="1019"/>
      <c r="BQ637" s="1019"/>
      <c r="BR637" s="1021"/>
      <c r="BS637" s="1018">
        <f t="shared" si="42"/>
        <v>0</v>
      </c>
      <c r="BT637" s="1019"/>
      <c r="BU637" s="1019"/>
      <c r="BV637" s="1019"/>
      <c r="BW637" s="1021"/>
      <c r="BX637" s="1018">
        <f t="shared" si="43"/>
        <v>0</v>
      </c>
      <c r="BY637" s="1019"/>
      <c r="BZ637" s="1019"/>
      <c r="CA637" s="1019"/>
      <c r="CB637" s="1021"/>
      <c r="CC637" s="1018">
        <f t="shared" si="44"/>
        <v>0</v>
      </c>
      <c r="CD637" s="1019"/>
      <c r="CE637" s="1019"/>
      <c r="CF637" s="1019"/>
      <c r="CG637" s="1021"/>
      <c r="CH637" s="1018">
        <f t="shared" si="45"/>
        <v>0</v>
      </c>
      <c r="CI637" s="1019"/>
      <c r="CJ637" s="1019"/>
      <c r="CK637" s="1019"/>
      <c r="CL637" s="1021"/>
      <c r="CM637" s="1018">
        <f t="shared" si="46"/>
        <v>0</v>
      </c>
      <c r="CN637" s="1019"/>
      <c r="CO637" s="1019"/>
      <c r="CP637" s="1019"/>
      <c r="CQ637" s="1021"/>
      <c r="CR637" s="37"/>
      <c r="CS637" s="37"/>
    </row>
    <row r="638" spans="1:126" ht="12.9" customHeight="1">
      <c r="A638" s="4"/>
      <c r="B638" t="s">
        <v>981</v>
      </c>
      <c r="G638" s="1002" t="s">
        <v>1324</v>
      </c>
      <c r="H638" s="1005"/>
      <c r="I638" s="1005"/>
      <c r="J638" s="1005"/>
      <c r="K638" s="1005"/>
      <c r="L638" s="1005"/>
      <c r="M638" s="1005"/>
      <c r="N638" s="1005"/>
      <c r="O638" s="1005"/>
      <c r="P638" s="1005"/>
      <c r="Q638" s="1005"/>
      <c r="R638" s="1005"/>
      <c r="S638" s="12"/>
      <c r="T638" s="4"/>
      <c r="U638" t="s">
        <v>981</v>
      </c>
      <c r="Z638" s="1002" t="s">
        <v>1324</v>
      </c>
      <c r="AA638" s="1005"/>
      <c r="AB638" s="1005"/>
      <c r="AC638" s="1005"/>
      <c r="AD638" s="1005"/>
      <c r="AE638" s="1005"/>
      <c r="AF638" s="1005"/>
      <c r="AG638" s="1005"/>
      <c r="AH638" s="1005"/>
      <c r="AI638" s="1005"/>
      <c r="AJ638" s="1005"/>
      <c r="AK638" s="1005"/>
      <c r="AM638" s="37"/>
      <c r="AN638" s="37"/>
      <c r="AO638" s="37"/>
      <c r="AP638" s="37"/>
      <c r="AQ638" s="37"/>
      <c r="AR638" s="37"/>
      <c r="AS638" s="37"/>
      <c r="AT638" s="37"/>
      <c r="AU638" s="37"/>
      <c r="AV638" s="37"/>
      <c r="AW638" s="37"/>
      <c r="AX638" s="37"/>
      <c r="AY638" s="37"/>
      <c r="AZ638" s="37"/>
      <c r="BN638" s="1018">
        <f t="shared" si="41"/>
        <v>0</v>
      </c>
      <c r="BO638" s="1019"/>
      <c r="BP638" s="1019"/>
      <c r="BQ638" s="1019"/>
      <c r="BR638" s="1021"/>
      <c r="BS638" s="1018">
        <f t="shared" si="42"/>
        <v>0</v>
      </c>
      <c r="BT638" s="1019"/>
      <c r="BU638" s="1019"/>
      <c r="BV638" s="1019"/>
      <c r="BW638" s="1021"/>
      <c r="BX638" s="1018">
        <f t="shared" si="43"/>
        <v>0</v>
      </c>
      <c r="BY638" s="1019"/>
      <c r="BZ638" s="1019"/>
      <c r="CA638" s="1019"/>
      <c r="CB638" s="1021"/>
      <c r="CC638" s="1018">
        <f t="shared" si="44"/>
        <v>0</v>
      </c>
      <c r="CD638" s="1019"/>
      <c r="CE638" s="1019"/>
      <c r="CF638" s="1019"/>
      <c r="CG638" s="1021"/>
      <c r="CH638" s="1018">
        <f t="shared" si="45"/>
        <v>0</v>
      </c>
      <c r="CI638" s="1019"/>
      <c r="CJ638" s="1019"/>
      <c r="CK638" s="1019"/>
      <c r="CL638" s="1021"/>
      <c r="CM638" s="1018">
        <f t="shared" si="46"/>
        <v>0</v>
      </c>
      <c r="CN638" s="1019"/>
      <c r="CO638" s="1019"/>
      <c r="CP638" s="1019"/>
      <c r="CQ638" s="1021"/>
      <c r="CR638" s="37"/>
      <c r="CS638" s="37"/>
    </row>
    <row r="639" spans="1:126" ht="12.9" customHeight="1">
      <c r="A639" s="4"/>
      <c r="B639" t="s">
        <v>845</v>
      </c>
      <c r="G639" s="1003" t="s">
        <v>1326</v>
      </c>
      <c r="H639" s="1004"/>
      <c r="I639" s="1004"/>
      <c r="J639" s="1004"/>
      <c r="K639" s="1004"/>
      <c r="L639" s="1004"/>
      <c r="M639" s="1004"/>
      <c r="N639" s="1004"/>
      <c r="O639" s="1004"/>
      <c r="P639" s="1004"/>
      <c r="Q639" s="1004"/>
      <c r="R639" s="1004"/>
      <c r="T639" s="4"/>
      <c r="U639" t="s">
        <v>845</v>
      </c>
      <c r="Z639" s="1003" t="s">
        <v>1326</v>
      </c>
      <c r="AA639" s="1004"/>
      <c r="AB639" s="1004"/>
      <c r="AC639" s="1004"/>
      <c r="AD639" s="1004"/>
      <c r="AE639" s="1004"/>
      <c r="AF639" s="1004"/>
      <c r="AG639" s="1004"/>
      <c r="AH639" s="1004"/>
      <c r="AI639" s="1004"/>
      <c r="AJ639" s="1004"/>
      <c r="AK639" s="1004"/>
      <c r="AM639" s="37"/>
      <c r="AN639" s="37"/>
      <c r="AO639" s="37"/>
      <c r="AP639" s="37"/>
      <c r="AQ639" s="37"/>
      <c r="AR639" s="37"/>
      <c r="AS639" s="37"/>
      <c r="AT639" s="37"/>
      <c r="AU639" s="37"/>
      <c r="AV639" s="37"/>
      <c r="AW639" s="37"/>
      <c r="AX639" s="37"/>
      <c r="AY639" s="37"/>
      <c r="AZ639" s="37"/>
      <c r="BN639" s="1018">
        <f t="shared" si="41"/>
        <v>0</v>
      </c>
      <c r="BO639" s="1019"/>
      <c r="BP639" s="1019"/>
      <c r="BQ639" s="1019"/>
      <c r="BR639" s="1021"/>
      <c r="BS639" s="1018">
        <f t="shared" si="42"/>
        <v>0</v>
      </c>
      <c r="BT639" s="1019"/>
      <c r="BU639" s="1019"/>
      <c r="BV639" s="1019"/>
      <c r="BW639" s="1021"/>
      <c r="BX639" s="1018">
        <f t="shared" si="43"/>
        <v>0</v>
      </c>
      <c r="BY639" s="1019"/>
      <c r="BZ639" s="1019"/>
      <c r="CA639" s="1019"/>
      <c r="CB639" s="1021"/>
      <c r="CC639" s="1018">
        <f t="shared" si="44"/>
        <v>0</v>
      </c>
      <c r="CD639" s="1019"/>
      <c r="CE639" s="1019"/>
      <c r="CF639" s="1019"/>
      <c r="CG639" s="1021"/>
      <c r="CH639" s="1018">
        <f t="shared" si="45"/>
        <v>0</v>
      </c>
      <c r="CI639" s="1019"/>
      <c r="CJ639" s="1019"/>
      <c r="CK639" s="1019"/>
      <c r="CL639" s="1021"/>
      <c r="CM639" s="1018">
        <f t="shared" si="46"/>
        <v>0</v>
      </c>
      <c r="CN639" s="1019"/>
      <c r="CO639" s="1019"/>
      <c r="CP639" s="1019"/>
      <c r="CQ639" s="1021"/>
      <c r="CR639" s="37"/>
      <c r="CS639" s="37"/>
    </row>
    <row r="640" spans="1:126" ht="12.9" customHeight="1">
      <c r="A640" s="4"/>
      <c r="B640" t="s">
        <v>1327</v>
      </c>
      <c r="G640" s="1003" t="s">
        <v>1329</v>
      </c>
      <c r="H640" s="1004"/>
      <c r="I640" s="1004"/>
      <c r="J640" s="1004"/>
      <c r="K640" s="1004"/>
      <c r="L640" s="1004"/>
      <c r="M640" s="1004"/>
      <c r="N640" s="1004"/>
      <c r="O640" s="1004"/>
      <c r="P640" s="1004"/>
      <c r="Q640" s="1004"/>
      <c r="R640" s="1004"/>
      <c r="S640" s="12"/>
      <c r="T640" s="4"/>
      <c r="U640" t="s">
        <v>1327</v>
      </c>
      <c r="Z640" s="1003" t="s">
        <v>1329</v>
      </c>
      <c r="AA640" s="1004"/>
      <c r="AB640" s="1004"/>
      <c r="AC640" s="1004"/>
      <c r="AD640" s="1004"/>
      <c r="AE640" s="1004"/>
      <c r="AF640" s="1004"/>
      <c r="AG640" s="1004"/>
      <c r="AH640" s="1004"/>
      <c r="AI640" s="1004"/>
      <c r="AJ640" s="1004"/>
      <c r="AK640" s="1004"/>
      <c r="AM640" s="37"/>
      <c r="AN640" s="37"/>
      <c r="AO640" s="37"/>
      <c r="AP640" s="37"/>
      <c r="AQ640" s="37"/>
      <c r="AR640" s="37"/>
      <c r="AS640" s="37"/>
      <c r="AT640" s="37"/>
      <c r="AU640" s="37"/>
      <c r="AV640" s="37"/>
      <c r="AW640" s="37"/>
      <c r="AX640" s="37"/>
      <c r="AY640" s="37"/>
      <c r="AZ640" s="37"/>
      <c r="BN640" s="1018">
        <f t="shared" si="41"/>
        <v>0</v>
      </c>
      <c r="BO640" s="1019"/>
      <c r="BP640" s="1019"/>
      <c r="BQ640" s="1019"/>
      <c r="BR640" s="1021"/>
      <c r="BS640" s="1018">
        <f t="shared" si="42"/>
        <v>0</v>
      </c>
      <c r="BT640" s="1019"/>
      <c r="BU640" s="1019"/>
      <c r="BV640" s="1019"/>
      <c r="BW640" s="1021"/>
      <c r="BX640" s="1018">
        <f t="shared" si="43"/>
        <v>0</v>
      </c>
      <c r="BY640" s="1019"/>
      <c r="BZ640" s="1019"/>
      <c r="CA640" s="1019"/>
      <c r="CB640" s="1021"/>
      <c r="CC640" s="1018">
        <f t="shared" si="44"/>
        <v>0</v>
      </c>
      <c r="CD640" s="1019"/>
      <c r="CE640" s="1019"/>
      <c r="CF640" s="1019"/>
      <c r="CG640" s="1021"/>
      <c r="CH640" s="1018">
        <f t="shared" si="45"/>
        <v>0</v>
      </c>
      <c r="CI640" s="1019"/>
      <c r="CJ640" s="1019"/>
      <c r="CK640" s="1019"/>
      <c r="CL640" s="1021"/>
      <c r="CM640" s="1018">
        <f t="shared" si="46"/>
        <v>0</v>
      </c>
      <c r="CN640" s="1019"/>
      <c r="CO640" s="1019"/>
      <c r="CP640" s="1019"/>
      <c r="CQ640" s="1021"/>
      <c r="CR640" s="37"/>
      <c r="CS640" s="37"/>
    </row>
    <row r="641" spans="1:97" ht="12.9" customHeight="1">
      <c r="A641" s="4"/>
      <c r="B641" t="s">
        <v>762</v>
      </c>
      <c r="G641" s="1008" t="s">
        <v>1331</v>
      </c>
      <c r="H641" s="1008"/>
      <c r="I641" s="1008"/>
      <c r="J641" s="1008"/>
      <c r="K641" s="1008"/>
      <c r="L641" s="1008"/>
      <c r="O641" s="806" t="s">
        <v>991</v>
      </c>
      <c r="P641" s="1003"/>
      <c r="Q641" s="1003"/>
      <c r="R641" s="1003"/>
      <c r="S641" s="14"/>
      <c r="T641" s="4"/>
      <c r="U641" t="s">
        <v>762</v>
      </c>
      <c r="Z641" s="1008" t="s">
        <v>1331</v>
      </c>
      <c r="AA641" s="1008"/>
      <c r="AB641" s="1008"/>
      <c r="AC641" s="1008"/>
      <c r="AD641" s="1008"/>
      <c r="AE641" s="1008"/>
      <c r="AH641" s="806" t="s">
        <v>991</v>
      </c>
      <c r="AI641" s="1003"/>
      <c r="AJ641" s="1003"/>
      <c r="AK641" s="1003"/>
      <c r="AM641" s="37"/>
      <c r="AN641" s="37"/>
      <c r="AO641" s="37"/>
      <c r="AP641" s="37"/>
      <c r="AQ641" s="37"/>
      <c r="AR641" s="37"/>
      <c r="AS641" s="37"/>
      <c r="AT641" s="37"/>
      <c r="AU641" s="37"/>
      <c r="AV641" s="37"/>
      <c r="AW641" s="37"/>
      <c r="AX641" s="37"/>
      <c r="AY641" s="37"/>
      <c r="AZ641" s="37"/>
      <c r="BN641" s="1018">
        <f t="shared" si="41"/>
        <v>0</v>
      </c>
      <c r="BO641" s="1019"/>
      <c r="BP641" s="1019"/>
      <c r="BQ641" s="1019"/>
      <c r="BR641" s="1021"/>
      <c r="BS641" s="1018">
        <f t="shared" si="42"/>
        <v>0</v>
      </c>
      <c r="BT641" s="1019"/>
      <c r="BU641" s="1019"/>
      <c r="BV641" s="1019"/>
      <c r="BW641" s="1021"/>
      <c r="BX641" s="1018">
        <f t="shared" si="43"/>
        <v>0</v>
      </c>
      <c r="BY641" s="1019"/>
      <c r="BZ641" s="1019"/>
      <c r="CA641" s="1019"/>
      <c r="CB641" s="1021"/>
      <c r="CC641" s="1018">
        <f t="shared" si="44"/>
        <v>0</v>
      </c>
      <c r="CD641" s="1019"/>
      <c r="CE641" s="1019"/>
      <c r="CF641" s="1019"/>
      <c r="CG641" s="1021"/>
      <c r="CH641" s="1018">
        <f t="shared" si="45"/>
        <v>0</v>
      </c>
      <c r="CI641" s="1019"/>
      <c r="CJ641" s="1019"/>
      <c r="CK641" s="1019"/>
      <c r="CL641" s="1021"/>
      <c r="CM641" s="1018">
        <f t="shared" si="46"/>
        <v>0</v>
      </c>
      <c r="CN641" s="1019"/>
      <c r="CO641" s="1019"/>
      <c r="CP641" s="1019"/>
      <c r="CQ641" s="1021"/>
      <c r="CR641" s="37"/>
      <c r="CS641" s="37"/>
    </row>
    <row r="642" spans="1:97" ht="12.9" customHeight="1">
      <c r="A642" s="4"/>
      <c r="B642" t="s">
        <v>1332</v>
      </c>
      <c r="H642" s="1005" t="s">
        <v>1334</v>
      </c>
      <c r="I642" s="1005"/>
      <c r="J642" s="1005"/>
      <c r="K642" s="1005"/>
      <c r="L642" s="1005"/>
      <c r="M642" s="1005"/>
      <c r="N642" s="1005"/>
      <c r="O642" s="1005"/>
      <c r="P642" s="1005"/>
      <c r="Q642" s="1005"/>
      <c r="R642" s="1005"/>
      <c r="S642" s="12"/>
      <c r="T642" s="4"/>
      <c r="U642" t="s">
        <v>1332</v>
      </c>
      <c r="AA642" s="1005" t="s">
        <v>1334</v>
      </c>
      <c r="AB642" s="1005"/>
      <c r="AC642" s="1005"/>
      <c r="AD642" s="1005"/>
      <c r="AE642" s="1005"/>
      <c r="AF642" s="1005"/>
      <c r="AG642" s="1005"/>
      <c r="AH642" s="1005"/>
      <c r="AI642" s="1005"/>
      <c r="AJ642" s="1005"/>
      <c r="AK642" s="1005"/>
      <c r="AM642" s="37"/>
      <c r="AN642" s="37"/>
      <c r="AO642" s="37"/>
      <c r="AP642" s="37"/>
      <c r="AQ642" s="37"/>
      <c r="AR642" s="37"/>
      <c r="AS642" s="37"/>
      <c r="AT642" s="37"/>
      <c r="AU642" s="37"/>
      <c r="AV642" s="37"/>
      <c r="AW642" s="37"/>
      <c r="AX642" s="37"/>
      <c r="AY642" s="37"/>
      <c r="AZ642" s="37"/>
      <c r="BN642" s="1018">
        <f t="shared" si="41"/>
        <v>0</v>
      </c>
      <c r="BO642" s="1019"/>
      <c r="BP642" s="1019"/>
      <c r="BQ642" s="1019"/>
      <c r="BR642" s="1021"/>
      <c r="BS642" s="1018">
        <f t="shared" si="42"/>
        <v>0</v>
      </c>
      <c r="BT642" s="1019"/>
      <c r="BU642" s="1019"/>
      <c r="BV642" s="1019"/>
      <c r="BW642" s="1021"/>
      <c r="BX642" s="1018">
        <f t="shared" si="43"/>
        <v>0</v>
      </c>
      <c r="BY642" s="1019"/>
      <c r="BZ642" s="1019"/>
      <c r="CA642" s="1019"/>
      <c r="CB642" s="1021"/>
      <c r="CC642" s="1018">
        <f t="shared" si="44"/>
        <v>0</v>
      </c>
      <c r="CD642" s="1019"/>
      <c r="CE642" s="1019"/>
      <c r="CF642" s="1019"/>
      <c r="CG642" s="1021"/>
      <c r="CH642" s="1018">
        <f t="shared" si="45"/>
        <v>0</v>
      </c>
      <c r="CI642" s="1019"/>
      <c r="CJ642" s="1019"/>
      <c r="CK642" s="1019"/>
      <c r="CL642" s="1021"/>
      <c r="CM642" s="1018">
        <f t="shared" si="46"/>
        <v>0</v>
      </c>
      <c r="CN642" s="1019"/>
      <c r="CO642" s="1019"/>
      <c r="CP642" s="1019"/>
      <c r="CQ642" s="1021"/>
      <c r="CR642" s="37"/>
      <c r="CS642" s="37"/>
    </row>
    <row r="643" spans="1:97" ht="12.9" customHeight="1">
      <c r="A643" s="37"/>
      <c r="B643" t="s">
        <v>1335</v>
      </c>
      <c r="N643" s="1063" t="s">
        <v>708</v>
      </c>
      <c r="O643" s="1063"/>
      <c r="T643" s="4"/>
      <c r="U643" t="s">
        <v>1335</v>
      </c>
      <c r="AG643" s="1063" t="s">
        <v>708</v>
      </c>
      <c r="AH643" s="1063"/>
      <c r="AM643" s="37"/>
      <c r="AN643" s="37"/>
      <c r="AO643" s="37"/>
      <c r="AP643" s="37"/>
      <c r="AQ643" s="37"/>
      <c r="AR643" s="37"/>
      <c r="AS643" s="37"/>
      <c r="AT643" s="37"/>
      <c r="AU643" s="37"/>
      <c r="AV643" s="37"/>
      <c r="AW643" s="37"/>
      <c r="AX643" s="37"/>
      <c r="AY643" s="37"/>
      <c r="AZ643" s="37"/>
      <c r="BA643" s="37"/>
      <c r="BB643" s="37"/>
      <c r="BC643" s="37"/>
      <c r="BD643" s="37"/>
      <c r="BN643" s="1018">
        <f t="shared" si="41"/>
        <v>0</v>
      </c>
      <c r="BO643" s="1019"/>
      <c r="BP643" s="1019"/>
      <c r="BQ643" s="1019"/>
      <c r="BR643" s="1021"/>
      <c r="BS643" s="1018">
        <f t="shared" si="42"/>
        <v>0</v>
      </c>
      <c r="BT643" s="1019"/>
      <c r="BU643" s="1019"/>
      <c r="BV643" s="1019"/>
      <c r="BW643" s="1021"/>
      <c r="BX643" s="1018">
        <f t="shared" si="43"/>
        <v>0</v>
      </c>
      <c r="BY643" s="1019"/>
      <c r="BZ643" s="1019"/>
      <c r="CA643" s="1019"/>
      <c r="CB643" s="1021"/>
      <c r="CC643" s="1018">
        <f t="shared" si="44"/>
        <v>0</v>
      </c>
      <c r="CD643" s="1019"/>
      <c r="CE643" s="1019"/>
      <c r="CF643" s="1019"/>
      <c r="CG643" s="1021"/>
      <c r="CH643" s="1018">
        <f t="shared" si="45"/>
        <v>0</v>
      </c>
      <c r="CI643" s="1019"/>
      <c r="CJ643" s="1019"/>
      <c r="CK643" s="1019"/>
      <c r="CL643" s="1021"/>
      <c r="CM643" s="1018">
        <f t="shared" si="46"/>
        <v>0</v>
      </c>
      <c r="CN643" s="1019"/>
      <c r="CO643" s="1019"/>
      <c r="CP643" s="1019"/>
      <c r="CQ643" s="1021"/>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18">
        <f t="shared" si="41"/>
        <v>0</v>
      </c>
      <c r="BO644" s="1019"/>
      <c r="BP644" s="1019"/>
      <c r="BQ644" s="1019"/>
      <c r="BR644" s="1021"/>
      <c r="BS644" s="1018">
        <f t="shared" si="42"/>
        <v>0</v>
      </c>
      <c r="BT644" s="1019"/>
      <c r="BU644" s="1019"/>
      <c r="BV644" s="1019"/>
      <c r="BW644" s="1021"/>
      <c r="BX644" s="1018">
        <f t="shared" si="43"/>
        <v>0</v>
      </c>
      <c r="BY644" s="1019"/>
      <c r="BZ644" s="1019"/>
      <c r="CA644" s="1019"/>
      <c r="CB644" s="1021"/>
      <c r="CC644" s="1018">
        <f t="shared" si="44"/>
        <v>0</v>
      </c>
      <c r="CD644" s="1019"/>
      <c r="CE644" s="1019"/>
      <c r="CF644" s="1019"/>
      <c r="CG644" s="1021"/>
      <c r="CH644" s="1018">
        <f t="shared" si="45"/>
        <v>0</v>
      </c>
      <c r="CI644" s="1019"/>
      <c r="CJ644" s="1019"/>
      <c r="CK644" s="1019"/>
      <c r="CL644" s="1021"/>
      <c r="CM644" s="1018">
        <f t="shared" si="46"/>
        <v>0</v>
      </c>
      <c r="CN644" s="1019"/>
      <c r="CO644" s="1019"/>
      <c r="CP644" s="1019"/>
      <c r="CQ644" s="1021"/>
      <c r="CR644" s="37"/>
      <c r="CS644" s="37"/>
    </row>
    <row r="645" spans="1:97" ht="12.9" customHeight="1">
      <c r="A645" s="54" t="s">
        <v>33</v>
      </c>
      <c r="B645" t="s">
        <v>1322</v>
      </c>
      <c r="G645" s="1131" t="str">
        <f>C623</f>
        <v>GP Capital - existing reserves</v>
      </c>
      <c r="H645" s="1131"/>
      <c r="I645" s="1131"/>
      <c r="J645" s="1131"/>
      <c r="K645" s="1131"/>
      <c r="L645" s="1131"/>
      <c r="M645" s="1131"/>
      <c r="N645" s="1131"/>
      <c r="O645" s="1131"/>
      <c r="P645" s="1131"/>
      <c r="Q645" s="1131"/>
      <c r="R645" s="1131"/>
      <c r="T645" s="54" t="s">
        <v>91</v>
      </c>
      <c r="U645" t="s">
        <v>1322</v>
      </c>
      <c r="Z645" s="1131" t="str">
        <f>C624</f>
        <v>Sponsor Loan - CMF funds</v>
      </c>
      <c r="AA645" s="1131"/>
      <c r="AB645" s="1131"/>
      <c r="AC645" s="1131"/>
      <c r="AD645" s="1131"/>
      <c r="AE645" s="1131"/>
      <c r="AF645" s="1131"/>
      <c r="AG645" s="1131"/>
      <c r="AH645" s="1131"/>
      <c r="AI645" s="1131"/>
      <c r="AJ645" s="1131"/>
      <c r="AK645" s="1131"/>
      <c r="AM645" s="37"/>
      <c r="AN645" s="37"/>
      <c r="AO645" s="37"/>
      <c r="AP645" s="37"/>
      <c r="AQ645" s="37"/>
      <c r="AR645" s="37"/>
      <c r="AS645" s="37"/>
      <c r="AT645" s="37"/>
      <c r="AU645" s="37"/>
      <c r="AV645" s="37"/>
      <c r="AW645" s="37"/>
      <c r="AX645" s="37"/>
      <c r="AY645" s="37"/>
      <c r="AZ645" s="37"/>
      <c r="BA645" s="37"/>
      <c r="BB645" s="37"/>
      <c r="BC645" s="37"/>
      <c r="BD645" s="37"/>
      <c r="BN645" s="1018">
        <f>SUM(BN635:BR644)</f>
        <v>0</v>
      </c>
      <c r="BO645" s="1019"/>
      <c r="BP645" s="1019"/>
      <c r="BQ645" s="1019"/>
      <c r="BR645" s="1021"/>
      <c r="BS645" s="1018">
        <f>SUM(BS635:BW644)</f>
        <v>0</v>
      </c>
      <c r="BT645" s="1019"/>
      <c r="BU645" s="1019"/>
      <c r="BV645" s="1019"/>
      <c r="BW645" s="1021"/>
      <c r="BX645" s="1018">
        <f>SUM(BX635:CB644)</f>
        <v>0</v>
      </c>
      <c r="BY645" s="1019"/>
      <c r="BZ645" s="1019"/>
      <c r="CA645" s="1019"/>
      <c r="CB645" s="1021"/>
      <c r="CC645" s="1018">
        <f>SUM(CC635:CG644)</f>
        <v>0</v>
      </c>
      <c r="CD645" s="1019"/>
      <c r="CE645" s="1019"/>
      <c r="CF645" s="1019"/>
      <c r="CG645" s="1021"/>
      <c r="CH645" s="1018">
        <f>SUM(CH635:CL644)</f>
        <v>0</v>
      </c>
      <c r="CI645" s="1019"/>
      <c r="CJ645" s="1019"/>
      <c r="CK645" s="1019"/>
      <c r="CL645" s="1021"/>
      <c r="CM645" s="1018">
        <f>SUM(CM635:CQ644)</f>
        <v>0</v>
      </c>
      <c r="CN645" s="1019"/>
      <c r="CO645" s="1019"/>
      <c r="CP645" s="1019"/>
      <c r="CQ645" s="1021"/>
      <c r="CR645" s="37"/>
      <c r="CS645" s="37"/>
    </row>
    <row r="646" spans="1:97" ht="12.9" customHeight="1" thickBot="1">
      <c r="A646" s="4"/>
      <c r="B646" t="s">
        <v>981</v>
      </c>
      <c r="G646" s="1002" t="s">
        <v>982</v>
      </c>
      <c r="H646" s="1005"/>
      <c r="I646" s="1005"/>
      <c r="J646" s="1005"/>
      <c r="K646" s="1005"/>
      <c r="L646" s="1005"/>
      <c r="M646" s="1005"/>
      <c r="N646" s="1005"/>
      <c r="O646" s="1005"/>
      <c r="P646" s="1005"/>
      <c r="Q646" s="1005"/>
      <c r="R646" s="1005"/>
      <c r="T646" s="4"/>
      <c r="U646" t="s">
        <v>981</v>
      </c>
      <c r="Z646" s="1002" t="s">
        <v>982</v>
      </c>
      <c r="AA646" s="1005"/>
      <c r="AB646" s="1005"/>
      <c r="AC646" s="1005"/>
      <c r="AD646" s="1005"/>
      <c r="AE646" s="1005"/>
      <c r="AF646" s="1005"/>
      <c r="AG646" s="1005"/>
      <c r="AH646" s="1005"/>
      <c r="AI646" s="1005"/>
      <c r="AJ646" s="1005"/>
      <c r="AK646" s="1005"/>
      <c r="AM646" s="37"/>
      <c r="AN646" s="37"/>
      <c r="AO646" s="37"/>
      <c r="AP646" s="37"/>
      <c r="AQ646" s="37"/>
      <c r="AR646" s="37"/>
      <c r="AS646" s="37"/>
      <c r="AT646" s="37"/>
      <c r="AU646" s="37"/>
      <c r="AV646" s="37"/>
      <c r="AW646" s="37"/>
      <c r="AX646" s="37"/>
      <c r="AY646" s="37"/>
      <c r="AZ646" s="37"/>
      <c r="BA646" s="37"/>
      <c r="BB646" s="37"/>
      <c r="BC646" s="37"/>
      <c r="BD646" s="37"/>
      <c r="BN646" s="37" t="s">
        <v>1370</v>
      </c>
      <c r="BO646" s="37"/>
      <c r="BP646" s="37"/>
      <c r="BQ646" s="37"/>
      <c r="BR646" s="379">
        <f>BN645*1</f>
        <v>0</v>
      </c>
      <c r="BS646" s="37"/>
      <c r="BT646" s="37"/>
      <c r="BU646" s="37"/>
      <c r="BV646" s="37"/>
      <c r="BW646" s="379">
        <f>BS645*1</f>
        <v>0</v>
      </c>
      <c r="BX646" s="37"/>
      <c r="BY646" s="37"/>
      <c r="BZ646" s="37"/>
      <c r="CA646" s="37"/>
      <c r="CB646" s="379">
        <f>BX645*2</f>
        <v>0</v>
      </c>
      <c r="CC646" s="37"/>
      <c r="CD646" s="37"/>
      <c r="CE646" s="37"/>
      <c r="CF646" s="37"/>
      <c r="CG646" s="379">
        <f>CC645*3</f>
        <v>0</v>
      </c>
      <c r="CH646" s="37"/>
      <c r="CI646" s="37"/>
      <c r="CJ646" s="37"/>
      <c r="CK646" s="37"/>
      <c r="CL646" s="379">
        <f>CH645*4</f>
        <v>0</v>
      </c>
      <c r="CM646" s="37"/>
      <c r="CN646" s="37"/>
      <c r="CO646" s="37"/>
      <c r="CP646" s="37"/>
      <c r="CQ646" s="378">
        <f>CM645*5</f>
        <v>0</v>
      </c>
      <c r="CR646" s="37"/>
      <c r="CS646" s="37"/>
    </row>
    <row r="647" spans="1:97" ht="12.9" customHeight="1" thickBot="1">
      <c r="A647" s="4"/>
      <c r="B647" t="s">
        <v>845</v>
      </c>
      <c r="G647" s="1003" t="s">
        <v>1336</v>
      </c>
      <c r="H647" s="1004"/>
      <c r="I647" s="1004"/>
      <c r="J647" s="1004"/>
      <c r="K647" s="1004"/>
      <c r="L647" s="1004"/>
      <c r="M647" s="1004"/>
      <c r="N647" s="1004"/>
      <c r="O647" s="1004"/>
      <c r="P647" s="1004"/>
      <c r="Q647" s="1004"/>
      <c r="R647" s="1004"/>
      <c r="T647" s="4"/>
      <c r="U647" t="s">
        <v>845</v>
      </c>
      <c r="Z647" s="1003" t="s">
        <v>1336</v>
      </c>
      <c r="AA647" s="1004"/>
      <c r="AB647" s="1004"/>
      <c r="AC647" s="1004"/>
      <c r="AD647" s="1004"/>
      <c r="AE647" s="1004"/>
      <c r="AF647" s="1004"/>
      <c r="AG647" s="1004"/>
      <c r="AH647" s="1004"/>
      <c r="AI647" s="1004"/>
      <c r="AJ647" s="1004"/>
      <c r="AK647" s="1004"/>
      <c r="AM647" s="37"/>
      <c r="AN647" s="37"/>
      <c r="AO647" s="37"/>
      <c r="AP647" s="37"/>
      <c r="AQ647" s="37"/>
      <c r="AR647" s="37"/>
      <c r="AS647" s="37"/>
      <c r="AT647" s="37"/>
      <c r="AU647" s="37"/>
      <c r="AV647" s="37"/>
      <c r="AW647" s="37"/>
      <c r="AX647" s="37"/>
      <c r="AY647" s="37"/>
      <c r="AZ647" s="37"/>
      <c r="BA647" s="37"/>
      <c r="BB647" s="37"/>
      <c r="BC647" s="37"/>
      <c r="BD647" s="37"/>
      <c r="CP647" s="55" t="s">
        <v>1371</v>
      </c>
      <c r="CQ647" s="380">
        <f>BN645+BS645+BX645+CC645+CH645+CM645</f>
        <v>0</v>
      </c>
      <c r="CR647" s="37"/>
      <c r="CS647" s="37"/>
    </row>
    <row r="648" spans="1:97" ht="12.9" customHeight="1" thickBot="1">
      <c r="A648" s="4"/>
      <c r="B648" t="s">
        <v>1327</v>
      </c>
      <c r="G648" s="1003" t="s">
        <v>988</v>
      </c>
      <c r="H648" s="1004"/>
      <c r="I648" s="1004"/>
      <c r="J648" s="1004"/>
      <c r="K648" s="1004"/>
      <c r="L648" s="1004"/>
      <c r="M648" s="1004"/>
      <c r="N648" s="1004"/>
      <c r="O648" s="1004"/>
      <c r="P648" s="1004"/>
      <c r="Q648" s="1004"/>
      <c r="R648" s="1004"/>
      <c r="T648" s="4"/>
      <c r="U648" t="s">
        <v>1327</v>
      </c>
      <c r="Z648" s="1003" t="s">
        <v>988</v>
      </c>
      <c r="AA648" s="1004"/>
      <c r="AB648" s="1004"/>
      <c r="AC648" s="1004"/>
      <c r="AD648" s="1004"/>
      <c r="AE648" s="1004"/>
      <c r="AF648" s="1004"/>
      <c r="AG648" s="1004"/>
      <c r="AH648" s="1004"/>
      <c r="AI648" s="1004"/>
      <c r="AJ648" s="1004"/>
      <c r="AK648" s="1004"/>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762</v>
      </c>
      <c r="G649" s="1008" t="s">
        <v>990</v>
      </c>
      <c r="H649" s="1008"/>
      <c r="I649" s="1008"/>
      <c r="J649" s="1008"/>
      <c r="K649" s="1008"/>
      <c r="L649" s="1008"/>
      <c r="O649" s="806" t="s">
        <v>991</v>
      </c>
      <c r="P649" s="1003"/>
      <c r="Q649" s="1003"/>
      <c r="R649" s="1003"/>
      <c r="T649" s="4"/>
      <c r="U649" t="s">
        <v>762</v>
      </c>
      <c r="Z649" s="1008" t="s">
        <v>990</v>
      </c>
      <c r="AA649" s="1008"/>
      <c r="AB649" s="1008"/>
      <c r="AC649" s="1008"/>
      <c r="AD649" s="1008"/>
      <c r="AE649" s="1008"/>
      <c r="AH649" s="806" t="s">
        <v>991</v>
      </c>
      <c r="AI649" s="1003"/>
      <c r="AJ649" s="1003"/>
      <c r="AK649" s="1003"/>
      <c r="AL649" s="260"/>
      <c r="AM649" s="37"/>
      <c r="AN649" s="37"/>
      <c r="AO649" s="37"/>
      <c r="AP649" s="37"/>
      <c r="AQ649" s="37"/>
      <c r="AR649" s="37"/>
      <c r="AS649" s="37"/>
      <c r="AT649" s="37"/>
      <c r="AU649" s="37"/>
      <c r="AV649" s="37"/>
      <c r="AW649" s="37"/>
      <c r="AX649" s="37"/>
      <c r="AY649" s="37"/>
      <c r="AZ649" s="37"/>
      <c r="BA649" s="37"/>
      <c r="BB649" s="37"/>
      <c r="BC649" s="37"/>
      <c r="BD649" s="37"/>
      <c r="CP649" s="55" t="s">
        <v>1372</v>
      </c>
      <c r="CQ649" s="380">
        <f>CQ647+CQ628</f>
        <v>22</v>
      </c>
      <c r="CR649" s="37"/>
      <c r="CS649" s="37"/>
    </row>
    <row r="650" spans="1:97" ht="12.9" customHeight="1">
      <c r="A650" s="4"/>
      <c r="B650" t="s">
        <v>1332</v>
      </c>
      <c r="H650" s="1005" t="s">
        <v>1373</v>
      </c>
      <c r="I650" s="1005"/>
      <c r="J650" s="1005"/>
      <c r="K650" s="1005"/>
      <c r="L650" s="1005"/>
      <c r="M650" s="1005"/>
      <c r="N650" s="1005"/>
      <c r="O650" s="1005"/>
      <c r="P650" s="1005"/>
      <c r="Q650" s="1005"/>
      <c r="R650" s="1005"/>
      <c r="T650" s="4"/>
      <c r="U650" t="s">
        <v>1332</v>
      </c>
      <c r="AA650" s="1005" t="s">
        <v>1374</v>
      </c>
      <c r="AB650" s="1005"/>
      <c r="AC650" s="1005"/>
      <c r="AD650" s="1005"/>
      <c r="AE650" s="1005"/>
      <c r="AF650" s="1005"/>
      <c r="AG650" s="1005"/>
      <c r="AH650" s="1005"/>
      <c r="AI650" s="1005"/>
      <c r="AJ650" s="1005"/>
      <c r="AK650" s="1005"/>
      <c r="AL650" s="260"/>
      <c r="AM650" s="37"/>
      <c r="AN650" s="37"/>
      <c r="AO650" s="37"/>
      <c r="AP650" s="37"/>
      <c r="AQ650" s="37"/>
      <c r="AR650" s="37"/>
      <c r="AS650" s="37"/>
      <c r="AT650" s="37"/>
      <c r="AU650" s="37"/>
      <c r="AV650" s="37"/>
      <c r="AW650" s="37"/>
      <c r="AX650" s="37"/>
      <c r="AY650" s="37"/>
      <c r="AZ650" s="37"/>
      <c r="BA650" s="37"/>
      <c r="BB650" s="37"/>
      <c r="BC650" s="37"/>
      <c r="BD650" s="37"/>
      <c r="BN650" s="37" t="s">
        <v>1375</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1335</v>
      </c>
      <c r="N651" s="1063" t="s">
        <v>708</v>
      </c>
      <c r="O651" s="1063"/>
      <c r="T651" s="4"/>
      <c r="U651" t="s">
        <v>1335</v>
      </c>
      <c r="AG651" s="1063" t="s">
        <v>708</v>
      </c>
      <c r="AH651" s="1063"/>
      <c r="AM651" s="37"/>
      <c r="AN651" s="37"/>
      <c r="AO651" s="37"/>
      <c r="AP651" s="37"/>
      <c r="AQ651" s="37"/>
      <c r="AR651" s="37"/>
      <c r="AS651" s="37"/>
      <c r="AT651" s="37"/>
      <c r="AU651" s="37"/>
      <c r="AV651" s="37"/>
      <c r="AW651" s="37"/>
      <c r="AX651" s="37"/>
      <c r="AY651" s="37"/>
      <c r="AZ651" s="37"/>
      <c r="BA651" s="37"/>
      <c r="BB651" s="37"/>
      <c r="BC651" s="37"/>
      <c r="BD651" s="37"/>
      <c r="BN651" s="1018">
        <f>BN626+BN633+BN645</f>
        <v>0</v>
      </c>
      <c r="BO651" s="1019"/>
      <c r="BP651" s="1019"/>
      <c r="BQ651" s="1019"/>
      <c r="BR651" s="1021"/>
      <c r="BS651" s="1018">
        <f>BS626+BS633+BS645</f>
        <v>23</v>
      </c>
      <c r="BT651" s="1019"/>
      <c r="BU651" s="1019"/>
      <c r="BV651" s="1019"/>
      <c r="BW651" s="1021"/>
      <c r="BX651" s="1018">
        <f>BX626+BX633+BX645</f>
        <v>0</v>
      </c>
      <c r="BY651" s="1019"/>
      <c r="BZ651" s="1019"/>
      <c r="CA651" s="1019"/>
      <c r="CB651" s="1021"/>
      <c r="CC651" s="1018">
        <f>CC626+CC633+CC645</f>
        <v>0</v>
      </c>
      <c r="CD651" s="1019"/>
      <c r="CE651" s="1019"/>
      <c r="CF651" s="1019"/>
      <c r="CG651" s="1021"/>
      <c r="CH651" s="1018">
        <f>CH626+CH633+CH645</f>
        <v>0</v>
      </c>
      <c r="CI651" s="1019"/>
      <c r="CJ651" s="1019"/>
      <c r="CK651" s="1019"/>
      <c r="CL651" s="1021"/>
      <c r="CM651" s="1018">
        <f>CM645+CM633+CM626</f>
        <v>0</v>
      </c>
      <c r="CN651" s="1019"/>
      <c r="CO651" s="1019"/>
      <c r="CP651" s="1019"/>
      <c r="CQ651" s="1021"/>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1322</v>
      </c>
      <c r="G653" s="1131">
        <f>C625</f>
        <v>0</v>
      </c>
      <c r="H653" s="1131"/>
      <c r="I653" s="1131"/>
      <c r="J653" s="1131"/>
      <c r="K653" s="1131"/>
      <c r="L653" s="1131"/>
      <c r="M653" s="1131"/>
      <c r="N653" s="1131"/>
      <c r="O653" s="1131"/>
      <c r="P653" s="1131"/>
      <c r="Q653" s="1131"/>
      <c r="R653" s="1131"/>
      <c r="T653" s="54" t="s">
        <v>1312</v>
      </c>
      <c r="U653" t="s">
        <v>1322</v>
      </c>
      <c r="Z653" s="1131">
        <f>C626</f>
        <v>0</v>
      </c>
      <c r="AA653" s="1131"/>
      <c r="AB653" s="1131"/>
      <c r="AC653" s="1131"/>
      <c r="AD653" s="1131"/>
      <c r="AE653" s="1131"/>
      <c r="AF653" s="1131"/>
      <c r="AG653" s="1131"/>
      <c r="AH653" s="1131"/>
      <c r="AI653" s="1131"/>
      <c r="AJ653" s="1131"/>
      <c r="AK653" s="1131"/>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981</v>
      </c>
      <c r="G654" s="1005"/>
      <c r="H654" s="1005"/>
      <c r="I654" s="1005"/>
      <c r="J654" s="1005"/>
      <c r="K654" s="1005"/>
      <c r="L654" s="1005"/>
      <c r="M654" s="1005"/>
      <c r="N654" s="1005"/>
      <c r="O654" s="1005"/>
      <c r="P654" s="1005"/>
      <c r="Q654" s="1005"/>
      <c r="R654" s="1005"/>
      <c r="T654" s="4"/>
      <c r="U654" t="s">
        <v>981</v>
      </c>
      <c r="Z654" s="1005"/>
      <c r="AA654" s="1005"/>
      <c r="AB654" s="1005"/>
      <c r="AC654" s="1005"/>
      <c r="AD654" s="1005"/>
      <c r="AE654" s="1005"/>
      <c r="AF654" s="1005"/>
      <c r="AG654" s="1005"/>
      <c r="AH654" s="1005"/>
      <c r="AI654" s="1005"/>
      <c r="AJ654" s="1005"/>
      <c r="AK654" s="1005"/>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845</v>
      </c>
      <c r="G655" s="1005"/>
      <c r="H655" s="1005"/>
      <c r="I655" s="1005"/>
      <c r="J655" s="1005"/>
      <c r="K655" s="1005"/>
      <c r="L655" s="1005"/>
      <c r="M655" s="1005"/>
      <c r="N655" s="1005"/>
      <c r="O655" s="1005"/>
      <c r="P655" s="1005"/>
      <c r="Q655" s="1005"/>
      <c r="R655" s="1005"/>
      <c r="T655" s="4"/>
      <c r="U655" t="s">
        <v>845</v>
      </c>
      <c r="Z655" s="1004"/>
      <c r="AA655" s="1004"/>
      <c r="AB655" s="1004"/>
      <c r="AC655" s="1004"/>
      <c r="AD655" s="1004"/>
      <c r="AE655" s="1004"/>
      <c r="AF655" s="1004"/>
      <c r="AG655" s="1004"/>
      <c r="AH655" s="1004"/>
      <c r="AI655" s="1004"/>
      <c r="AJ655" s="1004"/>
      <c r="AK655" s="1004"/>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1327</v>
      </c>
      <c r="G656" s="1005"/>
      <c r="H656" s="1005"/>
      <c r="I656" s="1005"/>
      <c r="J656" s="1005"/>
      <c r="K656" s="1005"/>
      <c r="L656" s="1005"/>
      <c r="M656" s="1005"/>
      <c r="N656" s="1005"/>
      <c r="O656" s="1005"/>
      <c r="P656" s="1005"/>
      <c r="Q656" s="1005"/>
      <c r="R656" s="1005"/>
      <c r="T656" s="4"/>
      <c r="U656" t="s">
        <v>1327</v>
      </c>
      <c r="Z656" s="1004"/>
      <c r="AA656" s="1004"/>
      <c r="AB656" s="1004"/>
      <c r="AC656" s="1004"/>
      <c r="AD656" s="1004"/>
      <c r="AE656" s="1004"/>
      <c r="AF656" s="1004"/>
      <c r="AG656" s="1004"/>
      <c r="AH656" s="1004"/>
      <c r="AI656" s="1004"/>
      <c r="AJ656" s="1004"/>
      <c r="AK656" s="100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762</v>
      </c>
      <c r="G657" s="1008"/>
      <c r="H657" s="1008"/>
      <c r="I657" s="1008"/>
      <c r="J657" s="1008"/>
      <c r="K657" s="1008"/>
      <c r="L657" s="1008"/>
      <c r="O657" s="806" t="s">
        <v>991</v>
      </c>
      <c r="P657" s="1003"/>
      <c r="Q657" s="1003"/>
      <c r="R657" s="1003"/>
      <c r="T657" s="4"/>
      <c r="U657" t="s">
        <v>762</v>
      </c>
      <c r="Z657" s="1008"/>
      <c r="AA657" s="1008"/>
      <c r="AB657" s="1008"/>
      <c r="AC657" s="1008"/>
      <c r="AD657" s="1008"/>
      <c r="AE657" s="1008"/>
      <c r="AH657" s="806" t="s">
        <v>991</v>
      </c>
      <c r="AI657" s="1003"/>
      <c r="AJ657" s="1003"/>
      <c r="AK657" s="1003"/>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1332</v>
      </c>
      <c r="H658" s="1005"/>
      <c r="I658" s="1005"/>
      <c r="J658" s="1005"/>
      <c r="K658" s="1005"/>
      <c r="L658" s="1005"/>
      <c r="M658" s="1005"/>
      <c r="N658" s="1005"/>
      <c r="O658" s="1005"/>
      <c r="P658" s="1005"/>
      <c r="Q658" s="1005"/>
      <c r="R658" s="1005"/>
      <c r="T658" s="4"/>
      <c r="U658" t="s">
        <v>1332</v>
      </c>
      <c r="AA658" s="1005"/>
      <c r="AB658" s="1005"/>
      <c r="AC658" s="1005"/>
      <c r="AD658" s="1005"/>
      <c r="AE658" s="1005"/>
      <c r="AF658" s="1005"/>
      <c r="AG658" s="1005"/>
      <c r="AH658" s="1005"/>
      <c r="AI658" s="1005"/>
      <c r="AJ658" s="1005"/>
      <c r="AK658" s="1005"/>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1335</v>
      </c>
      <c r="N659" s="1063" t="s">
        <v>759</v>
      </c>
      <c r="O659" s="1063"/>
      <c r="T659" s="4"/>
      <c r="U659" t="s">
        <v>1335</v>
      </c>
      <c r="AG659" s="1063" t="s">
        <v>759</v>
      </c>
      <c r="AH659" s="1063"/>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1314</v>
      </c>
      <c r="B661" t="s">
        <v>1322</v>
      </c>
      <c r="G661" s="1131">
        <f>C627</f>
        <v>0</v>
      </c>
      <c r="H661" s="1131"/>
      <c r="I661" s="1131"/>
      <c r="J661" s="1131"/>
      <c r="K661" s="1131"/>
      <c r="L661" s="1131"/>
      <c r="M661" s="1131"/>
      <c r="N661" s="1131"/>
      <c r="O661" s="1131"/>
      <c r="P661" s="1131"/>
      <c r="Q661" s="1131"/>
      <c r="R661" s="1131"/>
      <c r="T661" s="54" t="s">
        <v>1316</v>
      </c>
      <c r="U661" t="s">
        <v>1322</v>
      </c>
      <c r="Z661" s="1131">
        <f>C628</f>
        <v>0</v>
      </c>
      <c r="AA661" s="1131"/>
      <c r="AB661" s="1131"/>
      <c r="AC661" s="1131"/>
      <c r="AD661" s="1131"/>
      <c r="AE661" s="1131"/>
      <c r="AF661" s="1131"/>
      <c r="AG661" s="1131"/>
      <c r="AH661" s="1131"/>
      <c r="AI661" s="1131"/>
      <c r="AJ661" s="1131"/>
      <c r="AK661" s="1131"/>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981</v>
      </c>
      <c r="G662" s="1005"/>
      <c r="H662" s="1005"/>
      <c r="I662" s="1005"/>
      <c r="J662" s="1005"/>
      <c r="K662" s="1005"/>
      <c r="L662" s="1005"/>
      <c r="M662" s="1005"/>
      <c r="N662" s="1005"/>
      <c r="O662" s="1005"/>
      <c r="P662" s="1005"/>
      <c r="Q662" s="1005"/>
      <c r="R662" s="1005"/>
      <c r="T662" s="4"/>
      <c r="U662" t="s">
        <v>981</v>
      </c>
      <c r="Z662" s="1005"/>
      <c r="AA662" s="1005"/>
      <c r="AB662" s="1005"/>
      <c r="AC662" s="1005"/>
      <c r="AD662" s="1005"/>
      <c r="AE662" s="1005"/>
      <c r="AF662" s="1005"/>
      <c r="AG662" s="1005"/>
      <c r="AH662" s="1005"/>
      <c r="AI662" s="1005"/>
      <c r="AJ662" s="1005"/>
      <c r="AK662" s="1005"/>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845</v>
      </c>
      <c r="G663" s="1005"/>
      <c r="H663" s="1005"/>
      <c r="I663" s="1005"/>
      <c r="J663" s="1005"/>
      <c r="K663" s="1005"/>
      <c r="L663" s="1005"/>
      <c r="M663" s="1005"/>
      <c r="N663" s="1005"/>
      <c r="O663" s="1005"/>
      <c r="P663" s="1005"/>
      <c r="Q663" s="1005"/>
      <c r="R663" s="1005"/>
      <c r="T663" s="4"/>
      <c r="U663" t="s">
        <v>845</v>
      </c>
      <c r="Z663" s="1004"/>
      <c r="AA663" s="1004"/>
      <c r="AB663" s="1004"/>
      <c r="AC663" s="1004"/>
      <c r="AD663" s="1004"/>
      <c r="AE663" s="1004"/>
      <c r="AF663" s="1004"/>
      <c r="AG663" s="1004"/>
      <c r="AH663" s="1004"/>
      <c r="AI663" s="1004"/>
      <c r="AJ663" s="1004"/>
      <c r="AK663" s="100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1327</v>
      </c>
      <c r="G664" s="1005"/>
      <c r="H664" s="1005"/>
      <c r="I664" s="1005"/>
      <c r="J664" s="1005"/>
      <c r="K664" s="1005"/>
      <c r="L664" s="1005"/>
      <c r="M664" s="1005"/>
      <c r="N664" s="1005"/>
      <c r="O664" s="1005"/>
      <c r="P664" s="1005"/>
      <c r="Q664" s="1005"/>
      <c r="R664" s="1005"/>
      <c r="T664" s="4"/>
      <c r="U664" t="s">
        <v>1327</v>
      </c>
      <c r="Z664" s="1004"/>
      <c r="AA664" s="1004"/>
      <c r="AB664" s="1004"/>
      <c r="AC664" s="1004"/>
      <c r="AD664" s="1004"/>
      <c r="AE664" s="1004"/>
      <c r="AF664" s="1004"/>
      <c r="AG664" s="1004"/>
      <c r="AH664" s="1004"/>
      <c r="AI664" s="1004"/>
      <c r="AJ664" s="1004"/>
      <c r="AK664" s="1004"/>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762</v>
      </c>
      <c r="G665" s="1008"/>
      <c r="H665" s="1008"/>
      <c r="I665" s="1008"/>
      <c r="J665" s="1008"/>
      <c r="K665" s="1008"/>
      <c r="L665" s="1008"/>
      <c r="O665" s="806" t="s">
        <v>991</v>
      </c>
      <c r="P665" s="1003"/>
      <c r="Q665" s="1003"/>
      <c r="R665" s="1003"/>
      <c r="T665" s="4"/>
      <c r="U665" t="s">
        <v>762</v>
      </c>
      <c r="Z665" s="1008"/>
      <c r="AA665" s="1008"/>
      <c r="AB665" s="1008"/>
      <c r="AC665" s="1008"/>
      <c r="AD665" s="1008"/>
      <c r="AE665" s="1008"/>
      <c r="AH665" s="806" t="s">
        <v>991</v>
      </c>
      <c r="AI665" s="1003"/>
      <c r="AJ665" s="1003"/>
      <c r="AK665" s="1003"/>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1332</v>
      </c>
      <c r="H666" s="1005"/>
      <c r="I666" s="1005"/>
      <c r="J666" s="1005"/>
      <c r="K666" s="1005"/>
      <c r="L666" s="1005"/>
      <c r="M666" s="1005"/>
      <c r="N666" s="1005"/>
      <c r="O666" s="1005"/>
      <c r="P666" s="1005"/>
      <c r="Q666" s="1005"/>
      <c r="R666" s="1005"/>
      <c r="T666" s="4"/>
      <c r="U666" t="s">
        <v>1332</v>
      </c>
      <c r="AA666" s="1005"/>
      <c r="AB666" s="1005"/>
      <c r="AC666" s="1005"/>
      <c r="AD666" s="1005"/>
      <c r="AE666" s="1005"/>
      <c r="AF666" s="1005"/>
      <c r="AG666" s="1005"/>
      <c r="AH666" s="1005"/>
      <c r="AI666" s="1005"/>
      <c r="AJ666" s="1005"/>
      <c r="AK666" s="1005"/>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1335</v>
      </c>
      <c r="N667" s="1063" t="s">
        <v>759</v>
      </c>
      <c r="O667" s="1063"/>
      <c r="T667" s="4"/>
      <c r="U667" t="s">
        <v>1335</v>
      </c>
      <c r="AG667" s="1063" t="s">
        <v>759</v>
      </c>
      <c r="AH667" s="106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1317</v>
      </c>
      <c r="B669" t="s">
        <v>1322</v>
      </c>
      <c r="G669" s="1131">
        <f>C629</f>
        <v>0</v>
      </c>
      <c r="H669" s="1131"/>
      <c r="I669" s="1131"/>
      <c r="J669" s="1131"/>
      <c r="K669" s="1131"/>
      <c r="L669" s="1131"/>
      <c r="M669" s="1131"/>
      <c r="N669" s="1131"/>
      <c r="O669" s="1131"/>
      <c r="P669" s="1131"/>
      <c r="Q669" s="1131"/>
      <c r="R669" s="1131"/>
      <c r="T669" s="54" t="s">
        <v>1318</v>
      </c>
      <c r="U669" t="s">
        <v>1322</v>
      </c>
      <c r="Z669" s="1131">
        <f>C630</f>
        <v>0</v>
      </c>
      <c r="AA669" s="1131"/>
      <c r="AB669" s="1131"/>
      <c r="AC669" s="1131"/>
      <c r="AD669" s="1131"/>
      <c r="AE669" s="1131"/>
      <c r="AF669" s="1131"/>
      <c r="AG669" s="1131"/>
      <c r="AH669" s="1131"/>
      <c r="AI669" s="1131"/>
      <c r="AJ669" s="1131"/>
      <c r="AK669" s="1131"/>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981</v>
      </c>
      <c r="G670" s="1005"/>
      <c r="H670" s="1005"/>
      <c r="I670" s="1005"/>
      <c r="J670" s="1005"/>
      <c r="K670" s="1005"/>
      <c r="L670" s="1005"/>
      <c r="M670" s="1005"/>
      <c r="N670" s="1005"/>
      <c r="O670" s="1005"/>
      <c r="P670" s="1005"/>
      <c r="Q670" s="1005"/>
      <c r="R670" s="1005"/>
      <c r="T670" s="4"/>
      <c r="U670" t="s">
        <v>981</v>
      </c>
      <c r="Z670" s="1005"/>
      <c r="AA670" s="1005"/>
      <c r="AB670" s="1005"/>
      <c r="AC670" s="1005"/>
      <c r="AD670" s="1005"/>
      <c r="AE670" s="1005"/>
      <c r="AF670" s="1005"/>
      <c r="AG670" s="1005"/>
      <c r="AH670" s="1005"/>
      <c r="AI670" s="1005"/>
      <c r="AJ670" s="1005"/>
      <c r="AK670" s="1005"/>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845</v>
      </c>
      <c r="G671" s="1005"/>
      <c r="H671" s="1005"/>
      <c r="I671" s="1005"/>
      <c r="J671" s="1005"/>
      <c r="K671" s="1005"/>
      <c r="L671" s="1005"/>
      <c r="M671" s="1005"/>
      <c r="N671" s="1005"/>
      <c r="O671" s="1005"/>
      <c r="P671" s="1005"/>
      <c r="Q671" s="1005"/>
      <c r="R671" s="1005"/>
      <c r="T671" s="4"/>
      <c r="U671" t="s">
        <v>845</v>
      </c>
      <c r="Z671" s="1004"/>
      <c r="AA671" s="1004"/>
      <c r="AB671" s="1004"/>
      <c r="AC671" s="1004"/>
      <c r="AD671" s="1004"/>
      <c r="AE671" s="1004"/>
      <c r="AF671" s="1004"/>
      <c r="AG671" s="1004"/>
      <c r="AH671" s="1004"/>
      <c r="AI671" s="1004"/>
      <c r="AJ671" s="1004"/>
      <c r="AK671" s="1004"/>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1327</v>
      </c>
      <c r="G672" s="1005"/>
      <c r="H672" s="1005"/>
      <c r="I672" s="1005"/>
      <c r="J672" s="1005"/>
      <c r="K672" s="1005"/>
      <c r="L672" s="1005"/>
      <c r="M672" s="1005"/>
      <c r="N672" s="1005"/>
      <c r="O672" s="1005"/>
      <c r="P672" s="1005"/>
      <c r="Q672" s="1005"/>
      <c r="R672" s="1005"/>
      <c r="T672" s="4"/>
      <c r="U672" t="s">
        <v>1327</v>
      </c>
      <c r="Z672" s="1004"/>
      <c r="AA672" s="1004"/>
      <c r="AB672" s="1004"/>
      <c r="AC672" s="1004"/>
      <c r="AD672" s="1004"/>
      <c r="AE672" s="1004"/>
      <c r="AF672" s="1004"/>
      <c r="AG672" s="1004"/>
      <c r="AH672" s="1004"/>
      <c r="AI672" s="1004"/>
      <c r="AJ672" s="1004"/>
      <c r="AK672" s="1004"/>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762</v>
      </c>
      <c r="G673" s="1008"/>
      <c r="H673" s="1008"/>
      <c r="I673" s="1008"/>
      <c r="J673" s="1008"/>
      <c r="K673" s="1008"/>
      <c r="L673" s="1008"/>
      <c r="O673" s="806" t="s">
        <v>991</v>
      </c>
      <c r="P673" s="1003"/>
      <c r="Q673" s="1003"/>
      <c r="R673" s="1003"/>
      <c r="T673" s="4"/>
      <c r="U673" t="s">
        <v>762</v>
      </c>
      <c r="Z673" s="1008"/>
      <c r="AA673" s="1008"/>
      <c r="AB673" s="1008"/>
      <c r="AC673" s="1008"/>
      <c r="AD673" s="1008"/>
      <c r="AE673" s="1008"/>
      <c r="AH673" s="806" t="s">
        <v>991</v>
      </c>
      <c r="AI673" s="1003"/>
      <c r="AJ673" s="1003"/>
      <c r="AK673" s="1003"/>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1332</v>
      </c>
      <c r="H674" s="1005"/>
      <c r="I674" s="1005"/>
      <c r="J674" s="1005"/>
      <c r="K674" s="1005"/>
      <c r="L674" s="1005"/>
      <c r="M674" s="1005"/>
      <c r="N674" s="1005"/>
      <c r="O674" s="1005"/>
      <c r="P674" s="1005"/>
      <c r="Q674" s="1005"/>
      <c r="R674" s="1005"/>
      <c r="T674" s="4"/>
      <c r="U674" t="s">
        <v>1332</v>
      </c>
      <c r="AA674" s="1005"/>
      <c r="AB674" s="1005"/>
      <c r="AC674" s="1005"/>
      <c r="AD674" s="1005"/>
      <c r="AE674" s="1005"/>
      <c r="AF674" s="1005"/>
      <c r="AG674" s="1005"/>
      <c r="AH674" s="1005"/>
      <c r="AI674" s="1005"/>
      <c r="AJ674" s="1005"/>
      <c r="AK674" s="1005"/>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1335</v>
      </c>
      <c r="N675" s="1063" t="s">
        <v>759</v>
      </c>
      <c r="O675" s="1063"/>
      <c r="T675" s="4"/>
      <c r="U675" t="s">
        <v>1335</v>
      </c>
      <c r="AG675" s="1063" t="s">
        <v>759</v>
      </c>
      <c r="AH675" s="1063"/>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1319</v>
      </c>
      <c r="B677" t="s">
        <v>1322</v>
      </c>
      <c r="G677" s="1131">
        <f>C631</f>
        <v>0</v>
      </c>
      <c r="H677" s="1131"/>
      <c r="I677" s="1131"/>
      <c r="J677" s="1131"/>
      <c r="K677" s="1131"/>
      <c r="L677" s="1131"/>
      <c r="M677" s="1131"/>
      <c r="N677" s="1131"/>
      <c r="O677" s="1131"/>
      <c r="P677" s="1131"/>
      <c r="Q677" s="1131"/>
      <c r="R677" s="1131"/>
      <c r="T677" s="54" t="s">
        <v>1320</v>
      </c>
      <c r="U677" t="s">
        <v>1322</v>
      </c>
      <c r="Z677" s="1131">
        <f>C632</f>
        <v>0</v>
      </c>
      <c r="AA677" s="1131"/>
      <c r="AB677" s="1131"/>
      <c r="AC677" s="1131"/>
      <c r="AD677" s="1131"/>
      <c r="AE677" s="1131"/>
      <c r="AF677" s="1131"/>
      <c r="AG677" s="1131"/>
      <c r="AH677" s="1131"/>
      <c r="AI677" s="1131"/>
      <c r="AJ677" s="1131"/>
      <c r="AK677" s="1131"/>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981</v>
      </c>
      <c r="G678" s="1005"/>
      <c r="H678" s="1005"/>
      <c r="I678" s="1005"/>
      <c r="J678" s="1005"/>
      <c r="K678" s="1005"/>
      <c r="L678" s="1005"/>
      <c r="M678" s="1005"/>
      <c r="N678" s="1005"/>
      <c r="O678" s="1005"/>
      <c r="P678" s="1005"/>
      <c r="Q678" s="1005"/>
      <c r="R678" s="1005"/>
      <c r="T678" s="4"/>
      <c r="U678" t="s">
        <v>981</v>
      </c>
      <c r="Z678" s="1005"/>
      <c r="AA678" s="1005"/>
      <c r="AB678" s="1005"/>
      <c r="AC678" s="1005"/>
      <c r="AD678" s="1005"/>
      <c r="AE678" s="1005"/>
      <c r="AF678" s="1005"/>
      <c r="AG678" s="1005"/>
      <c r="AH678" s="1005"/>
      <c r="AI678" s="1005"/>
      <c r="AJ678" s="1005"/>
      <c r="AK678" s="1005"/>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845</v>
      </c>
      <c r="G679" s="1005"/>
      <c r="H679" s="1005"/>
      <c r="I679" s="1005"/>
      <c r="J679" s="1005"/>
      <c r="K679" s="1005"/>
      <c r="L679" s="1005"/>
      <c r="M679" s="1005"/>
      <c r="N679" s="1005"/>
      <c r="O679" s="1005"/>
      <c r="P679" s="1005"/>
      <c r="Q679" s="1005"/>
      <c r="R679" s="1005"/>
      <c r="U679" t="s">
        <v>845</v>
      </c>
      <c r="Z679" s="1004"/>
      <c r="AA679" s="1004"/>
      <c r="AB679" s="1004"/>
      <c r="AC679" s="1004"/>
      <c r="AD679" s="1004"/>
      <c r="AE679" s="1004"/>
      <c r="AF679" s="1004"/>
      <c r="AG679" s="1004"/>
      <c r="AH679" s="1004"/>
      <c r="AI679" s="1004"/>
      <c r="AJ679" s="1004"/>
      <c r="AK679" s="1004"/>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1327</v>
      </c>
      <c r="G680" s="1005"/>
      <c r="H680" s="1005"/>
      <c r="I680" s="1005"/>
      <c r="J680" s="1005"/>
      <c r="K680" s="1005"/>
      <c r="L680" s="1005"/>
      <c r="M680" s="1005"/>
      <c r="N680" s="1005"/>
      <c r="O680" s="1005"/>
      <c r="P680" s="1005"/>
      <c r="Q680" s="1005"/>
      <c r="R680" s="1005"/>
      <c r="U680" t="s">
        <v>1327</v>
      </c>
      <c r="Z680" s="1004"/>
      <c r="AA680" s="1004"/>
      <c r="AB680" s="1004"/>
      <c r="AC680" s="1004"/>
      <c r="AD680" s="1004"/>
      <c r="AE680" s="1004"/>
      <c r="AF680" s="1004"/>
      <c r="AG680" s="1004"/>
      <c r="AH680" s="1004"/>
      <c r="AI680" s="1004"/>
      <c r="AJ680" s="1004"/>
      <c r="AK680" s="1004"/>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762</v>
      </c>
      <c r="G681" s="1008"/>
      <c r="H681" s="1008"/>
      <c r="I681" s="1008"/>
      <c r="J681" s="1008"/>
      <c r="K681" s="1008"/>
      <c r="L681" s="1008"/>
      <c r="O681" s="806" t="s">
        <v>991</v>
      </c>
      <c r="P681" s="1003"/>
      <c r="Q681" s="1003"/>
      <c r="R681" s="1003"/>
      <c r="U681" t="s">
        <v>762</v>
      </c>
      <c r="Z681" s="1008"/>
      <c r="AA681" s="1008"/>
      <c r="AB681" s="1008"/>
      <c r="AC681" s="1008"/>
      <c r="AD681" s="1008"/>
      <c r="AE681" s="1008"/>
      <c r="AH681" s="806" t="s">
        <v>991</v>
      </c>
      <c r="AI681" s="1003"/>
      <c r="AJ681" s="1003"/>
      <c r="AK681" s="1003"/>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1332</v>
      </c>
      <c r="H682" s="1005"/>
      <c r="I682" s="1005"/>
      <c r="J682" s="1005"/>
      <c r="K682" s="1005"/>
      <c r="L682" s="1005"/>
      <c r="M682" s="1005"/>
      <c r="N682" s="1005"/>
      <c r="O682" s="1005"/>
      <c r="P682" s="1005"/>
      <c r="Q682" s="1005"/>
      <c r="R682" s="1005"/>
      <c r="U682" t="s">
        <v>1332</v>
      </c>
      <c r="AA682" s="1005"/>
      <c r="AB682" s="1005"/>
      <c r="AC682" s="1005"/>
      <c r="AD682" s="1005"/>
      <c r="AE682" s="1005"/>
      <c r="AF682" s="1005"/>
      <c r="AG682" s="1005"/>
      <c r="AH682" s="1005"/>
      <c r="AI682" s="1005"/>
      <c r="AJ682" s="1005"/>
      <c r="AK682" s="1005"/>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1335</v>
      </c>
      <c r="N683" s="1063" t="s">
        <v>759</v>
      </c>
      <c r="O683" s="1063"/>
      <c r="U683" t="s">
        <v>1335</v>
      </c>
      <c r="AG683" s="1063" t="s">
        <v>759</v>
      </c>
      <c r="AH683" s="1063"/>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2" t="s">
        <v>1376</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3"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06" t="s">
        <v>1377</v>
      </c>
      <c r="B686" s="1006"/>
      <c r="C686" s="1006"/>
      <c r="D686" s="1006"/>
      <c r="E686" s="1006"/>
      <c r="F686" s="1006"/>
      <c r="G686" s="1006"/>
      <c r="H686" s="1006"/>
      <c r="I686" s="1006"/>
      <c r="J686" s="1006"/>
      <c r="K686" s="1006"/>
      <c r="L686" s="1006"/>
      <c r="M686" s="1006"/>
      <c r="N686" s="1006"/>
      <c r="O686" s="1006"/>
      <c r="P686" s="1006"/>
      <c r="Q686" s="1006"/>
      <c r="R686" s="1006"/>
      <c r="S686" s="1006"/>
      <c r="T686" s="1006"/>
      <c r="U686" s="1006"/>
      <c r="V686" s="1006"/>
      <c r="W686" s="1006"/>
      <c r="X686" s="1006"/>
      <c r="Y686" s="1006"/>
      <c r="Z686" s="1006"/>
      <c r="AA686" s="1006"/>
      <c r="AB686" s="1006"/>
      <c r="AC686" s="1006"/>
      <c r="AD686" s="1006"/>
      <c r="AE686" s="1006"/>
      <c r="AF686" s="1006"/>
      <c r="AG686" s="1006"/>
      <c r="AH686" s="1006"/>
      <c r="AI686" s="1006"/>
      <c r="AJ686" s="1006"/>
      <c r="AK686" s="1006"/>
      <c r="AL686" s="1006"/>
      <c r="AM686" s="1006"/>
      <c r="AN686" s="1006"/>
      <c r="AO686" s="1006"/>
      <c r="AP686" s="1006"/>
      <c r="AQ686" s="1006"/>
      <c r="AR686" s="1006"/>
      <c r="AS686" s="1006"/>
      <c r="AT686" s="1006"/>
      <c r="BB686" s="37"/>
      <c r="BC686" s="37"/>
      <c r="BD686" s="37"/>
      <c r="BE686" s="37"/>
      <c r="BF686" s="37"/>
      <c r="BG686" s="37"/>
      <c r="BH686" s="37"/>
      <c r="BI686" s="37"/>
      <c r="BJ686" s="37"/>
      <c r="BK686" s="37"/>
      <c r="BL686" s="37"/>
      <c r="BM686" s="37"/>
      <c r="BN686" s="37"/>
      <c r="BO686" s="37"/>
      <c r="BP686" s="876"/>
      <c r="BQ686" s="877"/>
      <c r="BR686" s="878"/>
      <c r="BS686" s="878"/>
      <c r="BT686" s="878"/>
      <c r="BU686" s="878"/>
      <c r="BV686" s="878"/>
      <c r="BW686" s="878"/>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06"/>
      <c r="B687" s="1006"/>
      <c r="C687" s="1006"/>
      <c r="D687" s="1006"/>
      <c r="E687" s="1006"/>
      <c r="F687" s="1006"/>
      <c r="G687" s="1006"/>
      <c r="H687" s="1006"/>
      <c r="I687" s="1006"/>
      <c r="J687" s="1006"/>
      <c r="K687" s="1006"/>
      <c r="L687" s="1006"/>
      <c r="M687" s="1006"/>
      <c r="N687" s="1006"/>
      <c r="O687" s="1006"/>
      <c r="P687" s="1006"/>
      <c r="Q687" s="1006"/>
      <c r="R687" s="1006"/>
      <c r="S687" s="1006"/>
      <c r="T687" s="1006"/>
      <c r="U687" s="1006"/>
      <c r="V687" s="1006"/>
      <c r="W687" s="1006"/>
      <c r="X687" s="1006"/>
      <c r="Y687" s="1006"/>
      <c r="Z687" s="1006"/>
      <c r="AA687" s="1006"/>
      <c r="AB687" s="1006"/>
      <c r="AC687" s="1006"/>
      <c r="AD687" s="1006"/>
      <c r="AE687" s="1006"/>
      <c r="AF687" s="1006"/>
      <c r="AG687" s="1006"/>
      <c r="AH687" s="1006"/>
      <c r="AI687" s="1006"/>
      <c r="AJ687" s="1006"/>
      <c r="AK687" s="1006"/>
      <c r="AL687" s="1006"/>
      <c r="AM687" s="1006"/>
      <c r="AN687" s="1006"/>
      <c r="AO687" s="1006"/>
      <c r="AP687" s="1006"/>
      <c r="AQ687" s="1006"/>
      <c r="AR687" s="1006"/>
      <c r="AS687" s="1006"/>
      <c r="AT687" s="1006"/>
      <c r="BE687" s="37"/>
      <c r="BJ687" s="37"/>
      <c r="BK687" s="37"/>
      <c r="BL687" s="37"/>
      <c r="BM687" s="37"/>
      <c r="BN687" s="37"/>
      <c r="BO687" s="37"/>
      <c r="BP687" s="477" t="s">
        <v>1378</v>
      </c>
      <c r="BQ687" s="478" t="s">
        <v>1348</v>
      </c>
      <c r="BR687" s="478" t="s">
        <v>1342</v>
      </c>
      <c r="BS687" s="478" t="s">
        <v>1343</v>
      </c>
      <c r="BT687" s="478" t="s">
        <v>1344</v>
      </c>
      <c r="BU687" s="478" t="s">
        <v>1345</v>
      </c>
      <c r="BV687" s="478" t="s">
        <v>1352</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06"/>
      <c r="B688" s="1006"/>
      <c r="C688" s="1006"/>
      <c r="D688" s="1006"/>
      <c r="E688" s="1006"/>
      <c r="F688" s="1006"/>
      <c r="G688" s="1006"/>
      <c r="H688" s="1006"/>
      <c r="I688" s="1006"/>
      <c r="J688" s="1006"/>
      <c r="K688" s="1006"/>
      <c r="L688" s="1006"/>
      <c r="M688" s="1006"/>
      <c r="N688" s="1006"/>
      <c r="O688" s="1006"/>
      <c r="P688" s="1006"/>
      <c r="Q688" s="1006"/>
      <c r="R688" s="1006"/>
      <c r="S688" s="1006"/>
      <c r="T688" s="1006"/>
      <c r="U688" s="1006"/>
      <c r="V688" s="1006"/>
      <c r="W688" s="1006"/>
      <c r="X688" s="1006"/>
      <c r="Y688" s="1006"/>
      <c r="Z688" s="1006"/>
      <c r="AA688" s="1006"/>
      <c r="AB688" s="1006"/>
      <c r="AC688" s="1006"/>
      <c r="AD688" s="1006"/>
      <c r="AE688" s="1006"/>
      <c r="AF688" s="1006"/>
      <c r="AG688" s="1006"/>
      <c r="AH688" s="1006"/>
      <c r="AI688" s="1006"/>
      <c r="AJ688" s="1006"/>
      <c r="AK688" s="1006"/>
      <c r="AL688" s="1006"/>
      <c r="AM688" s="1006"/>
      <c r="AN688" s="1006"/>
      <c r="AO688" s="1006"/>
      <c r="AP688" s="1006"/>
      <c r="AQ688" s="1006"/>
      <c r="AR688" s="1006"/>
      <c r="AS688" s="1006"/>
      <c r="AT688" s="1006"/>
      <c r="BE688" s="37"/>
      <c r="BJ688" s="368"/>
      <c r="BK688" s="37"/>
      <c r="BL688" s="37"/>
      <c r="BM688" s="37"/>
      <c r="BN688" s="37"/>
      <c r="BO688" s="37"/>
      <c r="BP688" s="479" t="s">
        <v>745</v>
      </c>
      <c r="BQ688" s="480">
        <v>2724</v>
      </c>
      <c r="BR688" s="480">
        <v>2920</v>
      </c>
      <c r="BS688" s="480">
        <v>3504</v>
      </c>
      <c r="BT688" s="480">
        <v>4048</v>
      </c>
      <c r="BU688" s="480">
        <v>4516</v>
      </c>
      <c r="BV688" s="480">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791</v>
      </c>
      <c r="B689" s="3"/>
      <c r="C689" s="3" t="s">
        <v>1379</v>
      </c>
      <c r="BE689" s="37"/>
      <c r="BJ689" s="37"/>
      <c r="BK689" s="37"/>
      <c r="BL689" s="37"/>
      <c r="BM689" s="37"/>
      <c r="BN689" s="37"/>
      <c r="BO689" s="37"/>
      <c r="BP689" s="481" t="s">
        <v>749</v>
      </c>
      <c r="BQ689" s="480">
        <v>1850</v>
      </c>
      <c r="BR689" s="480">
        <v>1980</v>
      </c>
      <c r="BS689" s="480">
        <v>2376</v>
      </c>
      <c r="BT689" s="480">
        <v>2746</v>
      </c>
      <c r="BU689" s="480">
        <v>3064</v>
      </c>
      <c r="BV689" s="480">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26"/>
      <c r="C690" s="3"/>
      <c r="BE690" s="37"/>
      <c r="BJ690" s="37"/>
      <c r="BK690" s="37"/>
      <c r="BL690" s="37"/>
      <c r="BM690" s="37"/>
      <c r="BN690" s="37"/>
      <c r="BO690" s="37"/>
      <c r="BP690" s="481" t="s">
        <v>753</v>
      </c>
      <c r="BQ690" s="480">
        <v>1764</v>
      </c>
      <c r="BR690" s="480">
        <v>1890</v>
      </c>
      <c r="BS690" s="480">
        <v>2270</v>
      </c>
      <c r="BT690" s="480">
        <v>2620</v>
      </c>
      <c r="BU690" s="480">
        <v>2924</v>
      </c>
      <c r="BV690" s="480">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208" t="s">
        <v>1380</v>
      </c>
      <c r="C691" s="1209"/>
      <c r="D691" s="1209"/>
      <c r="E691" s="1209"/>
      <c r="F691" s="1210"/>
      <c r="G691" s="1208" t="s">
        <v>1381</v>
      </c>
      <c r="H691" s="1209"/>
      <c r="I691" s="1209"/>
      <c r="J691" s="1210"/>
      <c r="K691" s="1382" t="s">
        <v>1382</v>
      </c>
      <c r="L691" s="1383"/>
      <c r="M691" s="1383"/>
      <c r="N691" s="1384"/>
      <c r="O691" s="1208" t="s">
        <v>1383</v>
      </c>
      <c r="P691" s="1209"/>
      <c r="Q691" s="1209"/>
      <c r="R691" s="1209"/>
      <c r="S691" s="1210"/>
      <c r="T691" s="1208" t="s">
        <v>1384</v>
      </c>
      <c r="U691" s="1209"/>
      <c r="V691" s="1209"/>
      <c r="W691" s="1209"/>
      <c r="X691" s="1210"/>
      <c r="Y691" s="1208" t="s">
        <v>1385</v>
      </c>
      <c r="Z691" s="1209"/>
      <c r="AA691" s="1209"/>
      <c r="AB691" s="1210"/>
      <c r="AC691" s="1208" t="s">
        <v>1386</v>
      </c>
      <c r="AD691" s="1209"/>
      <c r="AE691" s="1209"/>
      <c r="AF691" s="1209"/>
      <c r="AG691" s="1210"/>
      <c r="AH691" s="1208" t="s">
        <v>1387</v>
      </c>
      <c r="AI691" s="1209"/>
      <c r="AJ691" s="1209"/>
      <c r="AK691" s="1209"/>
      <c r="AL691" s="1210"/>
      <c r="AM691" s="1208" t="s">
        <v>1388</v>
      </c>
      <c r="AN691" s="1209"/>
      <c r="AO691" s="1210"/>
      <c r="BB691" s="37"/>
      <c r="BC691" s="37"/>
      <c r="BD691" s="37"/>
      <c r="BE691" s="37"/>
      <c r="BJ691" s="37"/>
      <c r="BK691" s="37"/>
      <c r="BL691" s="37"/>
      <c r="BM691" s="37"/>
      <c r="BN691" s="37"/>
      <c r="BO691" s="37"/>
      <c r="BP691" s="481" t="s">
        <v>757</v>
      </c>
      <c r="BQ691" s="480">
        <v>1586</v>
      </c>
      <c r="BR691" s="480">
        <v>1700</v>
      </c>
      <c r="BS691" s="480">
        <v>2042</v>
      </c>
      <c r="BT691" s="480">
        <v>2358</v>
      </c>
      <c r="BU691" s="480">
        <v>2630</v>
      </c>
      <c r="BV691" s="480">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211"/>
      <c r="C692" s="1212"/>
      <c r="D692" s="1212"/>
      <c r="E692" s="1212"/>
      <c r="F692" s="1213"/>
      <c r="G692" s="1211"/>
      <c r="H692" s="1212"/>
      <c r="I692" s="1212"/>
      <c r="J692" s="1213"/>
      <c r="K692" s="1385"/>
      <c r="L692" s="1386"/>
      <c r="M692" s="1386"/>
      <c r="N692" s="1387"/>
      <c r="O692" s="1211"/>
      <c r="P692" s="1212"/>
      <c r="Q692" s="1212"/>
      <c r="R692" s="1212"/>
      <c r="S692" s="1213"/>
      <c r="T692" s="1211"/>
      <c r="U692" s="1212"/>
      <c r="V692" s="1212"/>
      <c r="W692" s="1212"/>
      <c r="X692" s="1213"/>
      <c r="Y692" s="1211"/>
      <c r="Z692" s="1212"/>
      <c r="AA692" s="1212"/>
      <c r="AB692" s="1213"/>
      <c r="AC692" s="1211"/>
      <c r="AD692" s="1212"/>
      <c r="AE692" s="1212"/>
      <c r="AF692" s="1212"/>
      <c r="AG692" s="1213"/>
      <c r="AH692" s="1211"/>
      <c r="AI692" s="1212"/>
      <c r="AJ692" s="1212"/>
      <c r="AK692" s="1212"/>
      <c r="AL692" s="1213"/>
      <c r="AM692" s="1211"/>
      <c r="AN692" s="1212"/>
      <c r="AO692" s="1213"/>
      <c r="BB692" s="37"/>
      <c r="BC692" s="37"/>
      <c r="BD692" s="37"/>
      <c r="BE692" s="37"/>
      <c r="BJ692" s="37"/>
      <c r="BK692" s="37"/>
      <c r="BL692" s="37"/>
      <c r="BM692" s="37"/>
      <c r="BN692" s="37"/>
      <c r="BO692" s="37"/>
      <c r="BP692" s="481" t="s">
        <v>761</v>
      </c>
      <c r="BQ692" s="480">
        <v>1656</v>
      </c>
      <c r="BR692" s="480">
        <v>1774</v>
      </c>
      <c r="BS692" s="480">
        <v>2130</v>
      </c>
      <c r="BT692" s="480">
        <v>2460</v>
      </c>
      <c r="BU692" s="480">
        <v>2744</v>
      </c>
      <c r="BV692" s="480">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211"/>
      <c r="C693" s="1212"/>
      <c r="D693" s="1212"/>
      <c r="E693" s="1212"/>
      <c r="F693" s="1213"/>
      <c r="G693" s="1211"/>
      <c r="H693" s="1212"/>
      <c r="I693" s="1212"/>
      <c r="J693" s="1213"/>
      <c r="K693" s="1385"/>
      <c r="L693" s="1386"/>
      <c r="M693" s="1386"/>
      <c r="N693" s="1387"/>
      <c r="O693" s="1211"/>
      <c r="P693" s="1212"/>
      <c r="Q693" s="1212"/>
      <c r="R693" s="1212"/>
      <c r="S693" s="1213"/>
      <c r="T693" s="1211"/>
      <c r="U693" s="1212"/>
      <c r="V693" s="1212"/>
      <c r="W693" s="1212"/>
      <c r="X693" s="1213"/>
      <c r="Y693" s="1211"/>
      <c r="Z693" s="1212"/>
      <c r="AA693" s="1212"/>
      <c r="AB693" s="1213"/>
      <c r="AC693" s="1211"/>
      <c r="AD693" s="1212"/>
      <c r="AE693" s="1212"/>
      <c r="AF693" s="1212"/>
      <c r="AG693" s="1213"/>
      <c r="AH693" s="1211"/>
      <c r="AI693" s="1212"/>
      <c r="AJ693" s="1212"/>
      <c r="AK693" s="1212"/>
      <c r="AL693" s="1213"/>
      <c r="AM693" s="1211"/>
      <c r="AN693" s="1212"/>
      <c r="AO693" s="1213"/>
      <c r="AX693" s="37"/>
      <c r="AY693" s="3" t="s">
        <v>1389</v>
      </c>
      <c r="AZ693" s="37"/>
      <c r="BA693" s="37"/>
      <c r="BB693" s="37"/>
      <c r="BC693" s="37"/>
      <c r="BD693" s="37"/>
      <c r="BE693" s="733" t="s">
        <v>1390</v>
      </c>
      <c r="BF693" s="734"/>
      <c r="BG693" s="734"/>
      <c r="BJ693" s="37"/>
      <c r="BK693" s="37"/>
      <c r="BL693" s="37"/>
      <c r="BM693" s="37"/>
      <c r="BN693" s="37"/>
      <c r="BO693" s="37"/>
      <c r="BP693" s="481" t="s">
        <v>766</v>
      </c>
      <c r="BQ693" s="480">
        <v>1540</v>
      </c>
      <c r="BR693" s="480">
        <v>1650</v>
      </c>
      <c r="BS693" s="480">
        <v>1980</v>
      </c>
      <c r="BT693" s="480">
        <v>2286</v>
      </c>
      <c r="BU693" s="480">
        <v>2550</v>
      </c>
      <c r="BV693" s="480">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214"/>
      <c r="C694" s="1215"/>
      <c r="D694" s="1215"/>
      <c r="E694" s="1215"/>
      <c r="F694" s="1216"/>
      <c r="G694" s="1214"/>
      <c r="H694" s="1215"/>
      <c r="I694" s="1215"/>
      <c r="J694" s="1216"/>
      <c r="K694" s="1385"/>
      <c r="L694" s="1386"/>
      <c r="M694" s="1386"/>
      <c r="N694" s="1387"/>
      <c r="O694" s="1214"/>
      <c r="P694" s="1215"/>
      <c r="Q694" s="1215"/>
      <c r="R694" s="1215"/>
      <c r="S694" s="1216"/>
      <c r="T694" s="1214"/>
      <c r="U694" s="1215"/>
      <c r="V694" s="1215"/>
      <c r="W694" s="1215"/>
      <c r="X694" s="1216"/>
      <c r="Y694" s="1214"/>
      <c r="Z694" s="1215"/>
      <c r="AA694" s="1215"/>
      <c r="AB694" s="1216"/>
      <c r="AC694" s="1214"/>
      <c r="AD694" s="1215"/>
      <c r="AE694" s="1215"/>
      <c r="AF694" s="1215"/>
      <c r="AG694" s="1216"/>
      <c r="AH694" s="1214"/>
      <c r="AI694" s="1215"/>
      <c r="AJ694" s="1215"/>
      <c r="AK694" s="1215"/>
      <c r="AL694" s="1216"/>
      <c r="AM694" s="1214"/>
      <c r="AN694" s="1215"/>
      <c r="AO694" s="1216"/>
      <c r="AV694" s="231" t="s">
        <v>1391</v>
      </c>
      <c r="AX694" s="37"/>
      <c r="AY694" s="367" t="s">
        <v>1392</v>
      </c>
      <c r="AZ694" s="376" t="s">
        <v>1393</v>
      </c>
      <c r="BA694" s="375" t="s">
        <v>1394</v>
      </c>
      <c r="BB694" s="37"/>
      <c r="BC694" s="37"/>
      <c r="BD694" s="37"/>
      <c r="BE694" s="735" t="s">
        <v>1392</v>
      </c>
      <c r="BF694" s="736" t="s">
        <v>1393</v>
      </c>
      <c r="BG694" s="737" t="s">
        <v>1394</v>
      </c>
      <c r="BJ694" s="37"/>
      <c r="BK694" s="37"/>
      <c r="BL694" s="37"/>
      <c r="BM694" s="37"/>
      <c r="BN694" s="37"/>
      <c r="BO694" s="37"/>
      <c r="BP694" s="481" t="s">
        <v>769</v>
      </c>
      <c r="BQ694" s="480">
        <v>2724</v>
      </c>
      <c r="BR694" s="480">
        <v>2920</v>
      </c>
      <c r="BS694" s="480">
        <v>3504</v>
      </c>
      <c r="BT694" s="480">
        <v>4048</v>
      </c>
      <c r="BU694" s="480">
        <v>4516</v>
      </c>
      <c r="BV694" s="480">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27" t="s">
        <v>1342</v>
      </c>
      <c r="C695" s="1028"/>
      <c r="D695" s="1028"/>
      <c r="E695" s="1028"/>
      <c r="F695" s="1029"/>
      <c r="G695" s="1030">
        <v>3</v>
      </c>
      <c r="H695" s="1031"/>
      <c r="I695" s="1031"/>
      <c r="J695" s="1032"/>
      <c r="K695" s="1033">
        <v>600</v>
      </c>
      <c r="L695" s="1034"/>
      <c r="M695" s="1034"/>
      <c r="N695" s="1035"/>
      <c r="O695" s="1036">
        <v>495</v>
      </c>
      <c r="P695" s="1037"/>
      <c r="Q695" s="1037"/>
      <c r="R695" s="1037"/>
      <c r="S695" s="1038"/>
      <c r="T695" s="1039">
        <f t="shared" ref="T695:T729" si="47">G695*O695</f>
        <v>1485</v>
      </c>
      <c r="U695" s="1040"/>
      <c r="V695" s="1040"/>
      <c r="W695" s="1040"/>
      <c r="X695" s="1041"/>
      <c r="Y695" s="1036"/>
      <c r="Z695" s="1037"/>
      <c r="AA695" s="1037"/>
      <c r="AB695" s="1038"/>
      <c r="AC695" s="1039">
        <f t="shared" ref="AC695:AC729" si="48">O695+Y695</f>
        <v>495</v>
      </c>
      <c r="AD695" s="1040"/>
      <c r="AE695" s="1040"/>
      <c r="AF695" s="1040"/>
      <c r="AG695" s="1041"/>
      <c r="AH695" s="1278">
        <v>0.3</v>
      </c>
      <c r="AI695" s="1279"/>
      <c r="AJ695" s="1279"/>
      <c r="AK695" s="1279"/>
      <c r="AL695" s="1280"/>
      <c r="AM695" s="1024">
        <f>IF($AH695&gt;0,($AC695/$AV695),"")</f>
        <v>0.3</v>
      </c>
      <c r="AN695" s="1025"/>
      <c r="AO695" s="1026"/>
      <c r="AV695" s="37">
        <f t="shared" ref="AV695:AV729" si="49">IF($G695=0,"N/A",VLOOKUP($T$189,TC_Rent,(MATCH($B695,bedrooms,FALSE))))</f>
        <v>1650</v>
      </c>
      <c r="AX695" s="37"/>
      <c r="AY695" s="879">
        <f t="shared" ref="AY695:AY718" si="50">G695</f>
        <v>3</v>
      </c>
      <c r="AZ695" s="880">
        <f t="shared" ref="AZ695:AZ718" si="51">IF($AY$730=0,"",AY695/$AY$730)</f>
        <v>0.13636363636363635</v>
      </c>
      <c r="BA695" s="881">
        <f t="shared" ref="BA695:BA718" si="52">IF(AZ695="","",AZ695*AH695)</f>
        <v>4.0909090909090902E-2</v>
      </c>
      <c r="BB695" s="37"/>
      <c r="BC695" s="37"/>
      <c r="BD695" s="37"/>
      <c r="BE695" s="738">
        <f t="shared" ref="BE695:BE718" si="53">G695</f>
        <v>3</v>
      </c>
      <c r="BF695" s="742">
        <f t="shared" ref="BF695:BF718" si="54">IF(BE695=0,"",BE695/$BE$730)</f>
        <v>0.13636363636363635</v>
      </c>
      <c r="BG695" s="743">
        <f t="shared" ref="BG695:BG718" si="55">IF(BF695="","",BF695*AM695)</f>
        <v>4.0909090909090902E-2</v>
      </c>
      <c r="BJ695" s="37"/>
      <c r="BK695" s="37"/>
      <c r="BL695" s="37"/>
      <c r="BM695" s="37"/>
      <c r="BN695" s="37"/>
      <c r="BO695" s="37"/>
      <c r="BP695" s="481" t="s">
        <v>773</v>
      </c>
      <c r="BQ695" s="480">
        <v>1540</v>
      </c>
      <c r="BR695" s="480">
        <v>1650</v>
      </c>
      <c r="BS695" s="480">
        <v>1980</v>
      </c>
      <c r="BT695" s="480">
        <v>2286</v>
      </c>
      <c r="BU695" s="480">
        <v>2550</v>
      </c>
      <c r="BV695" s="480">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27" t="s">
        <v>1342</v>
      </c>
      <c r="C696" s="1028"/>
      <c r="D696" s="1028"/>
      <c r="E696" s="1028"/>
      <c r="F696" s="1029"/>
      <c r="G696" s="1030">
        <v>4</v>
      </c>
      <c r="H696" s="1031"/>
      <c r="I696" s="1031"/>
      <c r="J696" s="1032"/>
      <c r="K696" s="1033">
        <v>600</v>
      </c>
      <c r="L696" s="1034"/>
      <c r="M696" s="1034"/>
      <c r="N696" s="1035"/>
      <c r="O696" s="1036">
        <v>660</v>
      </c>
      <c r="P696" s="1037"/>
      <c r="Q696" s="1037"/>
      <c r="R696" s="1037"/>
      <c r="S696" s="1038"/>
      <c r="T696" s="1039">
        <f t="shared" si="47"/>
        <v>2640</v>
      </c>
      <c r="U696" s="1040"/>
      <c r="V696" s="1040"/>
      <c r="W696" s="1040"/>
      <c r="X696" s="1041"/>
      <c r="Y696" s="1036"/>
      <c r="Z696" s="1037"/>
      <c r="AA696" s="1037"/>
      <c r="AB696" s="1038"/>
      <c r="AC696" s="1039">
        <f t="shared" si="48"/>
        <v>660</v>
      </c>
      <c r="AD696" s="1040"/>
      <c r="AE696" s="1040"/>
      <c r="AF696" s="1040"/>
      <c r="AG696" s="1041"/>
      <c r="AH696" s="1042">
        <v>0.4</v>
      </c>
      <c r="AI696" s="1043"/>
      <c r="AJ696" s="1043"/>
      <c r="AK696" s="1043"/>
      <c r="AL696" s="1044"/>
      <c r="AM696" s="1024">
        <f t="shared" ref="AM696:AM718" si="56">IF($AH696&gt;0,($AC696/$AV696), "")</f>
        <v>0.4</v>
      </c>
      <c r="AN696" s="1025"/>
      <c r="AO696" s="1026"/>
      <c r="AV696" s="37">
        <f t="shared" si="49"/>
        <v>1650</v>
      </c>
      <c r="AX696" s="37"/>
      <c r="AY696" s="882">
        <f t="shared" si="50"/>
        <v>4</v>
      </c>
      <c r="AZ696" s="880">
        <f t="shared" si="51"/>
        <v>0.18181818181818182</v>
      </c>
      <c r="BA696" s="881">
        <f t="shared" si="52"/>
        <v>7.2727272727272738E-2</v>
      </c>
      <c r="BB696" s="37"/>
      <c r="BC696" s="37"/>
      <c r="BD696" s="37"/>
      <c r="BE696" s="738">
        <f t="shared" si="53"/>
        <v>4</v>
      </c>
      <c r="BF696" s="742">
        <f t="shared" si="54"/>
        <v>0.18181818181818182</v>
      </c>
      <c r="BG696" s="743">
        <f t="shared" si="55"/>
        <v>7.2727272727272738E-2</v>
      </c>
      <c r="BJ696" s="37"/>
      <c r="BK696" s="37"/>
      <c r="BL696" s="37"/>
      <c r="BM696" s="37"/>
      <c r="BN696" s="37"/>
      <c r="BO696" s="37"/>
      <c r="BP696" s="481" t="s">
        <v>775</v>
      </c>
      <c r="BQ696" s="480">
        <v>2064</v>
      </c>
      <c r="BR696" s="480">
        <v>2210</v>
      </c>
      <c r="BS696" s="480">
        <v>2652</v>
      </c>
      <c r="BT696" s="480">
        <v>3064</v>
      </c>
      <c r="BU696" s="480">
        <v>3420</v>
      </c>
      <c r="BV696" s="480">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27" t="s">
        <v>1342</v>
      </c>
      <c r="C697" s="1028"/>
      <c r="D697" s="1028"/>
      <c r="E697" s="1028"/>
      <c r="F697" s="1029"/>
      <c r="G697" s="1030">
        <v>15</v>
      </c>
      <c r="H697" s="1031"/>
      <c r="I697" s="1031"/>
      <c r="J697" s="1032"/>
      <c r="K697" s="1033">
        <v>600</v>
      </c>
      <c r="L697" s="1034"/>
      <c r="M697" s="1034"/>
      <c r="N697" s="1035"/>
      <c r="O697" s="1036">
        <v>825</v>
      </c>
      <c r="P697" s="1037"/>
      <c r="Q697" s="1037"/>
      <c r="R697" s="1037"/>
      <c r="S697" s="1038"/>
      <c r="T697" s="1039">
        <f t="shared" si="47"/>
        <v>12375</v>
      </c>
      <c r="U697" s="1040"/>
      <c r="V697" s="1040"/>
      <c r="W697" s="1040"/>
      <c r="X697" s="1041"/>
      <c r="Y697" s="1036"/>
      <c r="Z697" s="1037"/>
      <c r="AA697" s="1037"/>
      <c r="AB697" s="1038"/>
      <c r="AC697" s="1039">
        <f t="shared" si="48"/>
        <v>825</v>
      </c>
      <c r="AD697" s="1040"/>
      <c r="AE697" s="1040"/>
      <c r="AF697" s="1040"/>
      <c r="AG697" s="1041"/>
      <c r="AH697" s="1042">
        <v>0.5</v>
      </c>
      <c r="AI697" s="1043"/>
      <c r="AJ697" s="1043"/>
      <c r="AK697" s="1043"/>
      <c r="AL697" s="1044"/>
      <c r="AM697" s="1024">
        <f t="shared" si="56"/>
        <v>0.5</v>
      </c>
      <c r="AN697" s="1025"/>
      <c r="AO697" s="1026"/>
      <c r="AV697" s="37">
        <f t="shared" si="49"/>
        <v>1650</v>
      </c>
      <c r="AX697" s="37"/>
      <c r="AY697" s="882">
        <f t="shared" si="50"/>
        <v>15</v>
      </c>
      <c r="AZ697" s="880">
        <f t="shared" si="51"/>
        <v>0.68181818181818177</v>
      </c>
      <c r="BA697" s="881">
        <f t="shared" si="52"/>
        <v>0.34090909090909088</v>
      </c>
      <c r="BB697" s="37"/>
      <c r="BC697" s="37"/>
      <c r="BD697" s="37"/>
      <c r="BE697" s="738">
        <f t="shared" si="53"/>
        <v>15</v>
      </c>
      <c r="BF697" s="742">
        <f t="shared" si="54"/>
        <v>0.68181818181818177</v>
      </c>
      <c r="BG697" s="743">
        <f t="shared" si="55"/>
        <v>0.34090909090909088</v>
      </c>
      <c r="BJ697" s="37"/>
      <c r="BK697" s="37"/>
      <c r="BL697" s="37"/>
      <c r="BM697" s="37"/>
      <c r="BN697" s="37"/>
      <c r="BO697" s="37"/>
      <c r="BP697" s="481" t="s">
        <v>778</v>
      </c>
      <c r="BQ697" s="480">
        <v>1540</v>
      </c>
      <c r="BR697" s="480">
        <v>1650</v>
      </c>
      <c r="BS697" s="480">
        <v>1980</v>
      </c>
      <c r="BT697" s="480">
        <v>2286</v>
      </c>
      <c r="BU697" s="480">
        <v>2550</v>
      </c>
      <c r="BV697" s="480">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27"/>
      <c r="C698" s="1028"/>
      <c r="D698" s="1028"/>
      <c r="E698" s="1028"/>
      <c r="F698" s="1029"/>
      <c r="G698" s="1030"/>
      <c r="H698" s="1031"/>
      <c r="I698" s="1031"/>
      <c r="J698" s="1032"/>
      <c r="K698" s="1033"/>
      <c r="L698" s="1034"/>
      <c r="M698" s="1034"/>
      <c r="N698" s="1035"/>
      <c r="O698" s="1036"/>
      <c r="P698" s="1037"/>
      <c r="Q698" s="1037"/>
      <c r="R698" s="1037"/>
      <c r="S698" s="1038"/>
      <c r="T698" s="1039">
        <f t="shared" si="47"/>
        <v>0</v>
      </c>
      <c r="U698" s="1040"/>
      <c r="V698" s="1040"/>
      <c r="W698" s="1040"/>
      <c r="X698" s="1041"/>
      <c r="Y698" s="1036"/>
      <c r="Z698" s="1037"/>
      <c r="AA698" s="1037"/>
      <c r="AB698" s="1038"/>
      <c r="AC698" s="1039">
        <f t="shared" si="48"/>
        <v>0</v>
      </c>
      <c r="AD698" s="1040"/>
      <c r="AE698" s="1040"/>
      <c r="AF698" s="1040"/>
      <c r="AG698" s="1041"/>
      <c r="AH698" s="1042"/>
      <c r="AI698" s="1043"/>
      <c r="AJ698" s="1043"/>
      <c r="AK698" s="1043"/>
      <c r="AL698" s="1044"/>
      <c r="AM698" s="1024" t="str">
        <f t="shared" si="56"/>
        <v/>
      </c>
      <c r="AN698" s="1025"/>
      <c r="AO698" s="1026"/>
      <c r="AV698" s="37" t="str">
        <f t="shared" si="49"/>
        <v>N/A</v>
      </c>
      <c r="AX698" s="37"/>
      <c r="AY698" s="882">
        <f t="shared" si="50"/>
        <v>0</v>
      </c>
      <c r="AZ698" s="880">
        <f t="shared" si="51"/>
        <v>0</v>
      </c>
      <c r="BA698" s="881">
        <f t="shared" si="52"/>
        <v>0</v>
      </c>
      <c r="BB698" s="37"/>
      <c r="BC698" s="37"/>
      <c r="BD698" s="37"/>
      <c r="BE698" s="738">
        <f t="shared" si="53"/>
        <v>0</v>
      </c>
      <c r="BF698" s="742" t="str">
        <f t="shared" si="54"/>
        <v/>
      </c>
      <c r="BG698" s="743" t="str">
        <f t="shared" si="55"/>
        <v/>
      </c>
      <c r="BJ698" s="37"/>
      <c r="BK698" s="37"/>
      <c r="BL698" s="37"/>
      <c r="BM698" s="37"/>
      <c r="BN698" s="37"/>
      <c r="BO698" s="37"/>
      <c r="BP698" s="481" t="s">
        <v>781</v>
      </c>
      <c r="BQ698" s="480">
        <v>1540</v>
      </c>
      <c r="BR698" s="480">
        <v>1650</v>
      </c>
      <c r="BS698" s="480">
        <v>1980</v>
      </c>
      <c r="BT698" s="480">
        <v>2286</v>
      </c>
      <c r="BU698" s="480">
        <v>2550</v>
      </c>
      <c r="BV698" s="480">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27"/>
      <c r="C699" s="1028"/>
      <c r="D699" s="1028"/>
      <c r="E699" s="1028"/>
      <c r="F699" s="1029"/>
      <c r="G699" s="1030"/>
      <c r="H699" s="1031"/>
      <c r="I699" s="1031"/>
      <c r="J699" s="1032"/>
      <c r="K699" s="1033"/>
      <c r="L699" s="1034"/>
      <c r="M699" s="1034"/>
      <c r="N699" s="1035"/>
      <c r="O699" s="1036"/>
      <c r="P699" s="1037"/>
      <c r="Q699" s="1037"/>
      <c r="R699" s="1037"/>
      <c r="S699" s="1038"/>
      <c r="T699" s="1039">
        <f t="shared" si="47"/>
        <v>0</v>
      </c>
      <c r="U699" s="1040"/>
      <c r="V699" s="1040"/>
      <c r="W699" s="1040"/>
      <c r="X699" s="1041"/>
      <c r="Y699" s="1036"/>
      <c r="Z699" s="1037"/>
      <c r="AA699" s="1037"/>
      <c r="AB699" s="1038"/>
      <c r="AC699" s="1039">
        <f t="shared" si="48"/>
        <v>0</v>
      </c>
      <c r="AD699" s="1040"/>
      <c r="AE699" s="1040"/>
      <c r="AF699" s="1040"/>
      <c r="AG699" s="1041"/>
      <c r="AH699" s="1042"/>
      <c r="AI699" s="1043"/>
      <c r="AJ699" s="1043"/>
      <c r="AK699" s="1043"/>
      <c r="AL699" s="1044"/>
      <c r="AM699" s="1024" t="str">
        <f t="shared" si="56"/>
        <v/>
      </c>
      <c r="AN699" s="1025"/>
      <c r="AO699" s="1026"/>
      <c r="AV699" s="37" t="str">
        <f t="shared" si="49"/>
        <v>N/A</v>
      </c>
      <c r="AX699" s="37"/>
      <c r="AY699" s="882">
        <f t="shared" si="50"/>
        <v>0</v>
      </c>
      <c r="AZ699" s="880">
        <f t="shared" si="51"/>
        <v>0</v>
      </c>
      <c r="BA699" s="881">
        <f t="shared" si="52"/>
        <v>0</v>
      </c>
      <c r="BB699" s="37"/>
      <c r="BC699" s="37"/>
      <c r="BD699" s="37"/>
      <c r="BE699" s="738">
        <f t="shared" si="53"/>
        <v>0</v>
      </c>
      <c r="BF699" s="742" t="str">
        <f t="shared" si="54"/>
        <v/>
      </c>
      <c r="BG699" s="743" t="str">
        <f t="shared" si="55"/>
        <v/>
      </c>
      <c r="BJ699" s="37"/>
      <c r="BK699" s="37"/>
      <c r="BL699" s="37"/>
      <c r="BM699" s="37"/>
      <c r="BN699" s="37"/>
      <c r="BO699" s="37"/>
      <c r="BP699" s="481" t="s">
        <v>783</v>
      </c>
      <c r="BQ699" s="480">
        <v>1546</v>
      </c>
      <c r="BR699" s="480">
        <v>1656</v>
      </c>
      <c r="BS699" s="480">
        <v>1986</v>
      </c>
      <c r="BT699" s="480">
        <v>2296</v>
      </c>
      <c r="BU699" s="480">
        <v>2562</v>
      </c>
      <c r="BV699" s="480">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27"/>
      <c r="C700" s="1028"/>
      <c r="D700" s="1028"/>
      <c r="E700" s="1028"/>
      <c r="F700" s="1029"/>
      <c r="G700" s="1030"/>
      <c r="H700" s="1031"/>
      <c r="I700" s="1031"/>
      <c r="J700" s="1032"/>
      <c r="K700" s="1033"/>
      <c r="L700" s="1034"/>
      <c r="M700" s="1034"/>
      <c r="N700" s="1035"/>
      <c r="O700" s="1036"/>
      <c r="P700" s="1037"/>
      <c r="Q700" s="1037"/>
      <c r="R700" s="1037"/>
      <c r="S700" s="1038"/>
      <c r="T700" s="1039">
        <f t="shared" si="47"/>
        <v>0</v>
      </c>
      <c r="U700" s="1040"/>
      <c r="V700" s="1040"/>
      <c r="W700" s="1040"/>
      <c r="X700" s="1041"/>
      <c r="Y700" s="1036"/>
      <c r="Z700" s="1037"/>
      <c r="AA700" s="1037"/>
      <c r="AB700" s="1038"/>
      <c r="AC700" s="1039">
        <f t="shared" si="48"/>
        <v>0</v>
      </c>
      <c r="AD700" s="1040"/>
      <c r="AE700" s="1040"/>
      <c r="AF700" s="1040"/>
      <c r="AG700" s="1041"/>
      <c r="AH700" s="1042"/>
      <c r="AI700" s="1043"/>
      <c r="AJ700" s="1043"/>
      <c r="AK700" s="1043"/>
      <c r="AL700" s="1044"/>
      <c r="AM700" s="1024" t="str">
        <f t="shared" si="56"/>
        <v/>
      </c>
      <c r="AN700" s="1025"/>
      <c r="AO700" s="1026"/>
      <c r="AV700" s="37" t="str">
        <f t="shared" si="49"/>
        <v>N/A</v>
      </c>
      <c r="AX700" s="37"/>
      <c r="AY700" s="882">
        <f t="shared" si="50"/>
        <v>0</v>
      </c>
      <c r="AZ700" s="880">
        <f t="shared" si="51"/>
        <v>0</v>
      </c>
      <c r="BA700" s="881">
        <f t="shared" si="52"/>
        <v>0</v>
      </c>
      <c r="BB700" s="37"/>
      <c r="BC700" s="37"/>
      <c r="BD700" s="37"/>
      <c r="BE700" s="738">
        <f t="shared" si="53"/>
        <v>0</v>
      </c>
      <c r="BF700" s="742" t="str">
        <f t="shared" si="54"/>
        <v/>
      </c>
      <c r="BG700" s="743" t="str">
        <f t="shared" si="55"/>
        <v/>
      </c>
      <c r="BJ700" s="37"/>
      <c r="BK700" s="37"/>
      <c r="BL700" s="37"/>
      <c r="BM700" s="37"/>
      <c r="BN700" s="37"/>
      <c r="BO700" s="37"/>
      <c r="BP700" s="481" t="s">
        <v>786</v>
      </c>
      <c r="BQ700" s="480">
        <v>1540</v>
      </c>
      <c r="BR700" s="480">
        <v>1650</v>
      </c>
      <c r="BS700" s="480">
        <v>1980</v>
      </c>
      <c r="BT700" s="480">
        <v>2286</v>
      </c>
      <c r="BU700" s="480">
        <v>2550</v>
      </c>
      <c r="BV700" s="480">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27"/>
      <c r="C701" s="1028"/>
      <c r="D701" s="1028"/>
      <c r="E701" s="1028"/>
      <c r="F701" s="1029"/>
      <c r="G701" s="1030"/>
      <c r="H701" s="1031"/>
      <c r="I701" s="1031"/>
      <c r="J701" s="1032"/>
      <c r="K701" s="1033"/>
      <c r="L701" s="1034"/>
      <c r="M701" s="1034"/>
      <c r="N701" s="1035"/>
      <c r="O701" s="1036"/>
      <c r="P701" s="1037"/>
      <c r="Q701" s="1037"/>
      <c r="R701" s="1037"/>
      <c r="S701" s="1038"/>
      <c r="T701" s="1039">
        <f t="shared" si="47"/>
        <v>0</v>
      </c>
      <c r="U701" s="1040"/>
      <c r="V701" s="1040"/>
      <c r="W701" s="1040"/>
      <c r="X701" s="1041"/>
      <c r="Y701" s="1036"/>
      <c r="Z701" s="1037"/>
      <c r="AA701" s="1037"/>
      <c r="AB701" s="1038"/>
      <c r="AC701" s="1039">
        <f t="shared" si="48"/>
        <v>0</v>
      </c>
      <c r="AD701" s="1040"/>
      <c r="AE701" s="1040"/>
      <c r="AF701" s="1040"/>
      <c r="AG701" s="1041"/>
      <c r="AH701" s="1042"/>
      <c r="AI701" s="1043"/>
      <c r="AJ701" s="1043"/>
      <c r="AK701" s="1043"/>
      <c r="AL701" s="1044"/>
      <c r="AM701" s="1024" t="str">
        <f t="shared" si="56"/>
        <v/>
      </c>
      <c r="AN701" s="1025"/>
      <c r="AO701" s="1026"/>
      <c r="AV701" s="37" t="str">
        <f t="shared" si="49"/>
        <v>N/A</v>
      </c>
      <c r="AX701" s="37"/>
      <c r="AY701" s="882">
        <f t="shared" si="50"/>
        <v>0</v>
      </c>
      <c r="AZ701" s="880">
        <f t="shared" si="51"/>
        <v>0</v>
      </c>
      <c r="BA701" s="881">
        <f t="shared" si="52"/>
        <v>0</v>
      </c>
      <c r="BB701" s="37"/>
      <c r="BC701" s="37"/>
      <c r="BD701" s="37"/>
      <c r="BE701" s="738">
        <f t="shared" si="53"/>
        <v>0</v>
      </c>
      <c r="BF701" s="742" t="str">
        <f t="shared" si="54"/>
        <v/>
      </c>
      <c r="BG701" s="743" t="str">
        <f t="shared" si="55"/>
        <v/>
      </c>
      <c r="BJ701" s="37"/>
      <c r="BK701" s="37"/>
      <c r="BL701" s="37"/>
      <c r="BM701" s="37"/>
      <c r="BN701" s="37"/>
      <c r="BO701" s="37"/>
      <c r="BP701" s="481" t="s">
        <v>788</v>
      </c>
      <c r="BQ701" s="480">
        <v>1540</v>
      </c>
      <c r="BR701" s="480">
        <v>1650</v>
      </c>
      <c r="BS701" s="480">
        <v>1980</v>
      </c>
      <c r="BT701" s="480">
        <v>2286</v>
      </c>
      <c r="BU701" s="480">
        <v>2550</v>
      </c>
      <c r="BV701" s="480">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27"/>
      <c r="C702" s="1028"/>
      <c r="D702" s="1028"/>
      <c r="E702" s="1028"/>
      <c r="F702" s="1029"/>
      <c r="G702" s="1030"/>
      <c r="H702" s="1031"/>
      <c r="I702" s="1031"/>
      <c r="J702" s="1032"/>
      <c r="K702" s="1033"/>
      <c r="L702" s="1034"/>
      <c r="M702" s="1034"/>
      <c r="N702" s="1035"/>
      <c r="O702" s="1036"/>
      <c r="P702" s="1037"/>
      <c r="Q702" s="1037"/>
      <c r="R702" s="1037"/>
      <c r="S702" s="1038"/>
      <c r="T702" s="1039">
        <f t="shared" si="47"/>
        <v>0</v>
      </c>
      <c r="U702" s="1040"/>
      <c r="V702" s="1040"/>
      <c r="W702" s="1040"/>
      <c r="X702" s="1041"/>
      <c r="Y702" s="1036"/>
      <c r="Z702" s="1037"/>
      <c r="AA702" s="1037"/>
      <c r="AB702" s="1038"/>
      <c r="AC702" s="1039">
        <f t="shared" si="48"/>
        <v>0</v>
      </c>
      <c r="AD702" s="1040"/>
      <c r="AE702" s="1040"/>
      <c r="AF702" s="1040"/>
      <c r="AG702" s="1041"/>
      <c r="AH702" s="1042"/>
      <c r="AI702" s="1043"/>
      <c r="AJ702" s="1043"/>
      <c r="AK702" s="1043"/>
      <c r="AL702" s="1044"/>
      <c r="AM702" s="1024" t="str">
        <f t="shared" si="56"/>
        <v/>
      </c>
      <c r="AN702" s="1025"/>
      <c r="AO702" s="1026"/>
      <c r="AV702" s="37" t="str">
        <f t="shared" si="49"/>
        <v>N/A</v>
      </c>
      <c r="AX702" s="37"/>
      <c r="AY702" s="882">
        <f t="shared" si="50"/>
        <v>0</v>
      </c>
      <c r="AZ702" s="880">
        <f t="shared" si="51"/>
        <v>0</v>
      </c>
      <c r="BA702" s="881">
        <f t="shared" si="52"/>
        <v>0</v>
      </c>
      <c r="BB702" s="37"/>
      <c r="BC702" s="37"/>
      <c r="BD702" s="37"/>
      <c r="BE702" s="738">
        <f t="shared" si="53"/>
        <v>0</v>
      </c>
      <c r="BF702" s="742" t="str">
        <f t="shared" si="54"/>
        <v/>
      </c>
      <c r="BG702" s="743" t="str">
        <f t="shared" si="55"/>
        <v/>
      </c>
      <c r="BJ702" s="37"/>
      <c r="BK702" s="37"/>
      <c r="BL702" s="37"/>
      <c r="BM702" s="37"/>
      <c r="BN702" s="37"/>
      <c r="BO702" s="37"/>
      <c r="BP702" s="481" t="s">
        <v>790</v>
      </c>
      <c r="BQ702" s="480">
        <v>1540</v>
      </c>
      <c r="BR702" s="480">
        <v>1650</v>
      </c>
      <c r="BS702" s="480">
        <v>1980</v>
      </c>
      <c r="BT702" s="480">
        <v>2286</v>
      </c>
      <c r="BU702" s="480">
        <v>2550</v>
      </c>
      <c r="BV702" s="480">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27"/>
      <c r="C703" s="1028"/>
      <c r="D703" s="1028"/>
      <c r="E703" s="1028"/>
      <c r="F703" s="1029"/>
      <c r="G703" s="1030"/>
      <c r="H703" s="1031"/>
      <c r="I703" s="1031"/>
      <c r="J703" s="1032"/>
      <c r="K703" s="1033"/>
      <c r="L703" s="1034"/>
      <c r="M703" s="1034"/>
      <c r="N703" s="1035"/>
      <c r="O703" s="1036"/>
      <c r="P703" s="1037"/>
      <c r="Q703" s="1037"/>
      <c r="R703" s="1037"/>
      <c r="S703" s="1038"/>
      <c r="T703" s="1039">
        <f t="shared" si="47"/>
        <v>0</v>
      </c>
      <c r="U703" s="1040"/>
      <c r="V703" s="1040"/>
      <c r="W703" s="1040"/>
      <c r="X703" s="1041"/>
      <c r="Y703" s="1036"/>
      <c r="Z703" s="1037"/>
      <c r="AA703" s="1037"/>
      <c r="AB703" s="1038"/>
      <c r="AC703" s="1039">
        <f t="shared" si="48"/>
        <v>0</v>
      </c>
      <c r="AD703" s="1040"/>
      <c r="AE703" s="1040"/>
      <c r="AF703" s="1040"/>
      <c r="AG703" s="1041"/>
      <c r="AH703" s="1042"/>
      <c r="AI703" s="1043"/>
      <c r="AJ703" s="1043"/>
      <c r="AK703" s="1043"/>
      <c r="AL703" s="1044"/>
      <c r="AM703" s="1024" t="str">
        <f t="shared" si="56"/>
        <v/>
      </c>
      <c r="AN703" s="1025"/>
      <c r="AO703" s="1026"/>
      <c r="AV703" s="37" t="str">
        <f t="shared" si="49"/>
        <v>N/A</v>
      </c>
      <c r="AX703" s="37"/>
      <c r="AY703" s="882">
        <f t="shared" si="50"/>
        <v>0</v>
      </c>
      <c r="AZ703" s="880">
        <f t="shared" si="51"/>
        <v>0</v>
      </c>
      <c r="BA703" s="881">
        <f t="shared" si="52"/>
        <v>0</v>
      </c>
      <c r="BB703" s="37"/>
      <c r="BC703" s="37"/>
      <c r="BD703" s="37"/>
      <c r="BE703" s="738">
        <f t="shared" si="53"/>
        <v>0</v>
      </c>
      <c r="BF703" s="742" t="str">
        <f t="shared" si="54"/>
        <v/>
      </c>
      <c r="BG703" s="743" t="str">
        <f t="shared" si="55"/>
        <v/>
      </c>
      <c r="BJ703" s="37"/>
      <c r="BK703" s="37"/>
      <c r="BL703" s="37"/>
      <c r="BM703" s="37"/>
      <c r="BN703" s="37"/>
      <c r="BO703" s="37"/>
      <c r="BP703" s="481" t="s">
        <v>793</v>
      </c>
      <c r="BQ703" s="480">
        <v>1540</v>
      </c>
      <c r="BR703" s="480">
        <v>1650</v>
      </c>
      <c r="BS703" s="480">
        <v>1980</v>
      </c>
      <c r="BT703" s="480">
        <v>2286</v>
      </c>
      <c r="BU703" s="480">
        <v>2550</v>
      </c>
      <c r="BV703" s="480">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27"/>
      <c r="C704" s="1028"/>
      <c r="D704" s="1028"/>
      <c r="E704" s="1028"/>
      <c r="F704" s="1029"/>
      <c r="G704" s="1030"/>
      <c r="H704" s="1031"/>
      <c r="I704" s="1031"/>
      <c r="J704" s="1032"/>
      <c r="K704" s="1033"/>
      <c r="L704" s="1034"/>
      <c r="M704" s="1034"/>
      <c r="N704" s="1035"/>
      <c r="O704" s="1036"/>
      <c r="P704" s="1037"/>
      <c r="Q704" s="1037"/>
      <c r="R704" s="1037"/>
      <c r="S704" s="1038"/>
      <c r="T704" s="1039">
        <f t="shared" si="47"/>
        <v>0</v>
      </c>
      <c r="U704" s="1040"/>
      <c r="V704" s="1040"/>
      <c r="W704" s="1040"/>
      <c r="X704" s="1041"/>
      <c r="Y704" s="1036"/>
      <c r="Z704" s="1037"/>
      <c r="AA704" s="1037"/>
      <c r="AB704" s="1038"/>
      <c r="AC704" s="1039">
        <f t="shared" si="48"/>
        <v>0</v>
      </c>
      <c r="AD704" s="1040"/>
      <c r="AE704" s="1040"/>
      <c r="AF704" s="1040"/>
      <c r="AG704" s="1041"/>
      <c r="AH704" s="1042"/>
      <c r="AI704" s="1043"/>
      <c r="AJ704" s="1043"/>
      <c r="AK704" s="1043"/>
      <c r="AL704" s="1044"/>
      <c r="AM704" s="1024" t="str">
        <f t="shared" si="56"/>
        <v/>
      </c>
      <c r="AN704" s="1025"/>
      <c r="AO704" s="1026"/>
      <c r="AV704" s="37" t="str">
        <f t="shared" si="49"/>
        <v>N/A</v>
      </c>
      <c r="AX704" s="37"/>
      <c r="AY704" s="882">
        <f t="shared" si="50"/>
        <v>0</v>
      </c>
      <c r="AZ704" s="880">
        <f t="shared" si="51"/>
        <v>0</v>
      </c>
      <c r="BA704" s="881">
        <f t="shared" si="52"/>
        <v>0</v>
      </c>
      <c r="BB704" s="37"/>
      <c r="BC704" s="37"/>
      <c r="BD704" s="37"/>
      <c r="BE704" s="738">
        <f t="shared" si="53"/>
        <v>0</v>
      </c>
      <c r="BF704" s="742" t="str">
        <f t="shared" si="54"/>
        <v/>
      </c>
      <c r="BG704" s="743" t="str">
        <f t="shared" si="55"/>
        <v/>
      </c>
      <c r="BJ704" s="37"/>
      <c r="BK704" s="37"/>
      <c r="BL704" s="37"/>
      <c r="BM704" s="37"/>
      <c r="BN704" s="37"/>
      <c r="BO704" s="37"/>
      <c r="BP704" s="481" t="s">
        <v>797</v>
      </c>
      <c r="BQ704" s="480">
        <v>1540</v>
      </c>
      <c r="BR704" s="480">
        <v>1650</v>
      </c>
      <c r="BS704" s="480">
        <v>1980</v>
      </c>
      <c r="BT704" s="480">
        <v>2286</v>
      </c>
      <c r="BU704" s="480">
        <v>2550</v>
      </c>
      <c r="BV704" s="480">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27"/>
      <c r="C705" s="1028"/>
      <c r="D705" s="1028"/>
      <c r="E705" s="1028"/>
      <c r="F705" s="1029"/>
      <c r="G705" s="1030"/>
      <c r="H705" s="1031"/>
      <c r="I705" s="1031"/>
      <c r="J705" s="1032"/>
      <c r="K705" s="1033"/>
      <c r="L705" s="1034"/>
      <c r="M705" s="1034"/>
      <c r="N705" s="1035"/>
      <c r="O705" s="1036"/>
      <c r="P705" s="1037"/>
      <c r="Q705" s="1037"/>
      <c r="R705" s="1037"/>
      <c r="S705" s="1038"/>
      <c r="T705" s="1039">
        <f t="shared" si="47"/>
        <v>0</v>
      </c>
      <c r="U705" s="1040"/>
      <c r="V705" s="1040"/>
      <c r="W705" s="1040"/>
      <c r="X705" s="1041"/>
      <c r="Y705" s="1036"/>
      <c r="Z705" s="1037"/>
      <c r="AA705" s="1037"/>
      <c r="AB705" s="1038"/>
      <c r="AC705" s="1039">
        <f t="shared" si="48"/>
        <v>0</v>
      </c>
      <c r="AD705" s="1040"/>
      <c r="AE705" s="1040"/>
      <c r="AF705" s="1040"/>
      <c r="AG705" s="1041"/>
      <c r="AH705" s="1042"/>
      <c r="AI705" s="1043"/>
      <c r="AJ705" s="1043"/>
      <c r="AK705" s="1043"/>
      <c r="AL705" s="1044"/>
      <c r="AM705" s="1024" t="str">
        <f t="shared" si="56"/>
        <v/>
      </c>
      <c r="AN705" s="1025"/>
      <c r="AO705" s="1026"/>
      <c r="AV705" s="37" t="str">
        <f t="shared" si="49"/>
        <v>N/A</v>
      </c>
      <c r="AX705" s="37"/>
      <c r="AY705" s="882">
        <f t="shared" si="50"/>
        <v>0</v>
      </c>
      <c r="AZ705" s="880">
        <f t="shared" si="51"/>
        <v>0</v>
      </c>
      <c r="BA705" s="881">
        <f t="shared" si="52"/>
        <v>0</v>
      </c>
      <c r="BB705" s="37"/>
      <c r="BC705" s="37"/>
      <c r="BD705" s="37"/>
      <c r="BE705" s="738">
        <f t="shared" si="53"/>
        <v>0</v>
      </c>
      <c r="BF705" s="742" t="str">
        <f t="shared" si="54"/>
        <v/>
      </c>
      <c r="BG705" s="743" t="str">
        <f t="shared" si="55"/>
        <v/>
      </c>
      <c r="BJ705" s="37"/>
      <c r="BK705" s="37"/>
      <c r="BL705" s="37"/>
      <c r="BM705" s="37"/>
      <c r="BN705" s="37"/>
      <c r="BO705" s="37"/>
      <c r="BP705" s="481" t="s">
        <v>800</v>
      </c>
      <c r="BQ705" s="480">
        <v>1540</v>
      </c>
      <c r="BR705" s="480">
        <v>1650</v>
      </c>
      <c r="BS705" s="480">
        <v>1980</v>
      </c>
      <c r="BT705" s="480">
        <v>2286</v>
      </c>
      <c r="BU705" s="480">
        <v>2550</v>
      </c>
      <c r="BV705" s="480">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27"/>
      <c r="C706" s="1028"/>
      <c r="D706" s="1028"/>
      <c r="E706" s="1028"/>
      <c r="F706" s="1029"/>
      <c r="G706" s="1030"/>
      <c r="H706" s="1031"/>
      <c r="I706" s="1031"/>
      <c r="J706" s="1032"/>
      <c r="K706" s="1033"/>
      <c r="L706" s="1034"/>
      <c r="M706" s="1034"/>
      <c r="N706" s="1035"/>
      <c r="O706" s="1036"/>
      <c r="P706" s="1037"/>
      <c r="Q706" s="1037"/>
      <c r="R706" s="1037"/>
      <c r="S706" s="1038"/>
      <c r="T706" s="1039">
        <f t="shared" si="47"/>
        <v>0</v>
      </c>
      <c r="U706" s="1040"/>
      <c r="V706" s="1040"/>
      <c r="W706" s="1040"/>
      <c r="X706" s="1041"/>
      <c r="Y706" s="1036"/>
      <c r="Z706" s="1037"/>
      <c r="AA706" s="1037"/>
      <c r="AB706" s="1038"/>
      <c r="AC706" s="1039">
        <f t="shared" si="48"/>
        <v>0</v>
      </c>
      <c r="AD706" s="1040"/>
      <c r="AE706" s="1040"/>
      <c r="AF706" s="1040"/>
      <c r="AG706" s="1041"/>
      <c r="AH706" s="1042"/>
      <c r="AI706" s="1043"/>
      <c r="AJ706" s="1043"/>
      <c r="AK706" s="1043"/>
      <c r="AL706" s="1044"/>
      <c r="AM706" s="1024" t="str">
        <f t="shared" si="56"/>
        <v/>
      </c>
      <c r="AN706" s="1025"/>
      <c r="AO706" s="1026"/>
      <c r="AV706" s="37" t="str">
        <f t="shared" si="49"/>
        <v>N/A</v>
      </c>
      <c r="AX706" s="37"/>
      <c r="AY706" s="882">
        <f t="shared" si="50"/>
        <v>0</v>
      </c>
      <c r="AZ706" s="880">
        <f t="shared" si="51"/>
        <v>0</v>
      </c>
      <c r="BA706" s="881">
        <f t="shared" si="52"/>
        <v>0</v>
      </c>
      <c r="BB706" s="37"/>
      <c r="BC706" s="37"/>
      <c r="BD706" s="37"/>
      <c r="BE706" s="738">
        <f t="shared" si="53"/>
        <v>0</v>
      </c>
      <c r="BF706" s="742" t="str">
        <f t="shared" si="54"/>
        <v/>
      </c>
      <c r="BG706" s="743" t="str">
        <f t="shared" si="55"/>
        <v/>
      </c>
      <c r="BJ706" s="37"/>
      <c r="BK706" s="37"/>
      <c r="BL706" s="37"/>
      <c r="BM706" s="37"/>
      <c r="BN706" s="37"/>
      <c r="BO706" s="37"/>
      <c r="BP706" s="481" t="s">
        <v>806</v>
      </c>
      <c r="BQ706" s="480">
        <v>2426</v>
      </c>
      <c r="BR706" s="480">
        <v>2600</v>
      </c>
      <c r="BS706" s="480">
        <v>3120</v>
      </c>
      <c r="BT706" s="480">
        <v>3606</v>
      </c>
      <c r="BU706" s="480">
        <v>4022</v>
      </c>
      <c r="BV706" s="480">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27"/>
      <c r="C707" s="1028"/>
      <c r="D707" s="1028"/>
      <c r="E707" s="1028"/>
      <c r="F707" s="1029"/>
      <c r="G707" s="1030"/>
      <c r="H707" s="1031"/>
      <c r="I707" s="1031"/>
      <c r="J707" s="1032"/>
      <c r="K707" s="1033"/>
      <c r="L707" s="1034"/>
      <c r="M707" s="1034"/>
      <c r="N707" s="1035"/>
      <c r="O707" s="1036"/>
      <c r="P707" s="1037"/>
      <c r="Q707" s="1037"/>
      <c r="R707" s="1037"/>
      <c r="S707" s="1038"/>
      <c r="T707" s="1039">
        <f t="shared" si="47"/>
        <v>0</v>
      </c>
      <c r="U707" s="1040"/>
      <c r="V707" s="1040"/>
      <c r="W707" s="1040"/>
      <c r="X707" s="1041"/>
      <c r="Y707" s="1036"/>
      <c r="Z707" s="1037"/>
      <c r="AA707" s="1037"/>
      <c r="AB707" s="1038"/>
      <c r="AC707" s="1039">
        <f t="shared" si="48"/>
        <v>0</v>
      </c>
      <c r="AD707" s="1040"/>
      <c r="AE707" s="1040"/>
      <c r="AF707" s="1040"/>
      <c r="AG707" s="1041"/>
      <c r="AH707" s="1042"/>
      <c r="AI707" s="1043"/>
      <c r="AJ707" s="1043"/>
      <c r="AK707" s="1043"/>
      <c r="AL707" s="1044"/>
      <c r="AM707" s="1024" t="str">
        <f t="shared" si="56"/>
        <v/>
      </c>
      <c r="AN707" s="1025"/>
      <c r="AO707" s="1026"/>
      <c r="AV707" s="37" t="str">
        <f t="shared" si="49"/>
        <v>N/A</v>
      </c>
      <c r="AX707" s="37"/>
      <c r="AY707" s="882">
        <f t="shared" si="50"/>
        <v>0</v>
      </c>
      <c r="AZ707" s="880">
        <f t="shared" si="51"/>
        <v>0</v>
      </c>
      <c r="BA707" s="881">
        <f t="shared" si="52"/>
        <v>0</v>
      </c>
      <c r="BB707" s="37"/>
      <c r="BC707" s="37"/>
      <c r="BD707" s="37"/>
      <c r="BE707" s="738">
        <f t="shared" si="53"/>
        <v>0</v>
      </c>
      <c r="BF707" s="742" t="str">
        <f t="shared" si="54"/>
        <v/>
      </c>
      <c r="BG707" s="743" t="str">
        <f t="shared" si="55"/>
        <v/>
      </c>
      <c r="BJ707" s="37"/>
      <c r="BK707" s="37"/>
      <c r="BL707" s="37"/>
      <c r="BM707" s="37"/>
      <c r="BN707" s="37"/>
      <c r="BO707" s="37"/>
      <c r="BP707" s="481" t="s">
        <v>809</v>
      </c>
      <c r="BQ707" s="480">
        <v>1540</v>
      </c>
      <c r="BR707" s="480">
        <v>1650</v>
      </c>
      <c r="BS707" s="480">
        <v>1980</v>
      </c>
      <c r="BT707" s="480">
        <v>2286</v>
      </c>
      <c r="BU707" s="480">
        <v>2550</v>
      </c>
      <c r="BV707" s="480">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27"/>
      <c r="C708" s="1028"/>
      <c r="D708" s="1028"/>
      <c r="E708" s="1028"/>
      <c r="F708" s="1029"/>
      <c r="G708" s="1030"/>
      <c r="H708" s="1031"/>
      <c r="I708" s="1031"/>
      <c r="J708" s="1032"/>
      <c r="K708" s="1033"/>
      <c r="L708" s="1034"/>
      <c r="M708" s="1034"/>
      <c r="N708" s="1035"/>
      <c r="O708" s="1036"/>
      <c r="P708" s="1037"/>
      <c r="Q708" s="1037"/>
      <c r="R708" s="1037"/>
      <c r="S708" s="1038"/>
      <c r="T708" s="1039">
        <f t="shared" si="47"/>
        <v>0</v>
      </c>
      <c r="U708" s="1040"/>
      <c r="V708" s="1040"/>
      <c r="W708" s="1040"/>
      <c r="X708" s="1041"/>
      <c r="Y708" s="1036"/>
      <c r="Z708" s="1037"/>
      <c r="AA708" s="1037"/>
      <c r="AB708" s="1038"/>
      <c r="AC708" s="1039">
        <f t="shared" si="48"/>
        <v>0</v>
      </c>
      <c r="AD708" s="1040"/>
      <c r="AE708" s="1040"/>
      <c r="AF708" s="1040"/>
      <c r="AG708" s="1041"/>
      <c r="AH708" s="1042"/>
      <c r="AI708" s="1043"/>
      <c r="AJ708" s="1043"/>
      <c r="AK708" s="1043"/>
      <c r="AL708" s="1044"/>
      <c r="AM708" s="1024" t="str">
        <f t="shared" si="56"/>
        <v/>
      </c>
      <c r="AN708" s="1025"/>
      <c r="AO708" s="1026"/>
      <c r="AV708" s="37" t="str">
        <f t="shared" si="49"/>
        <v>N/A</v>
      </c>
      <c r="AX708" s="37"/>
      <c r="AY708" s="882">
        <f t="shared" si="50"/>
        <v>0</v>
      </c>
      <c r="AZ708" s="880">
        <f t="shared" si="51"/>
        <v>0</v>
      </c>
      <c r="BA708" s="881">
        <f t="shared" si="52"/>
        <v>0</v>
      </c>
      <c r="BB708" s="37"/>
      <c r="BC708" s="37"/>
      <c r="BD708" s="37"/>
      <c r="BE708" s="738">
        <f t="shared" si="53"/>
        <v>0</v>
      </c>
      <c r="BF708" s="742" t="str">
        <f t="shared" si="54"/>
        <v/>
      </c>
      <c r="BG708" s="743" t="str">
        <f t="shared" si="55"/>
        <v/>
      </c>
      <c r="BJ708" s="37"/>
      <c r="BK708" s="37"/>
      <c r="BL708" s="37"/>
      <c r="BM708" s="37"/>
      <c r="BN708" s="37"/>
      <c r="BO708" s="37"/>
      <c r="BP708" s="481" t="s">
        <v>812</v>
      </c>
      <c r="BQ708" s="480">
        <v>3426</v>
      </c>
      <c r="BR708" s="480">
        <v>3672</v>
      </c>
      <c r="BS708" s="480">
        <v>4406</v>
      </c>
      <c r="BT708" s="480">
        <v>5090</v>
      </c>
      <c r="BU708" s="480">
        <v>5680</v>
      </c>
      <c r="BV708" s="480">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27"/>
      <c r="C709" s="1028"/>
      <c r="D709" s="1028"/>
      <c r="E709" s="1028"/>
      <c r="F709" s="1029"/>
      <c r="G709" s="1030"/>
      <c r="H709" s="1031"/>
      <c r="I709" s="1031"/>
      <c r="J709" s="1032"/>
      <c r="K709" s="1033"/>
      <c r="L709" s="1034"/>
      <c r="M709" s="1034"/>
      <c r="N709" s="1035"/>
      <c r="O709" s="1036"/>
      <c r="P709" s="1037"/>
      <c r="Q709" s="1037"/>
      <c r="R709" s="1037"/>
      <c r="S709" s="1038"/>
      <c r="T709" s="1039">
        <f t="shared" si="47"/>
        <v>0</v>
      </c>
      <c r="U709" s="1040"/>
      <c r="V709" s="1040"/>
      <c r="W709" s="1040"/>
      <c r="X709" s="1041"/>
      <c r="Y709" s="1036"/>
      <c r="Z709" s="1037"/>
      <c r="AA709" s="1037"/>
      <c r="AB709" s="1038"/>
      <c r="AC709" s="1039">
        <f t="shared" si="48"/>
        <v>0</v>
      </c>
      <c r="AD709" s="1040"/>
      <c r="AE709" s="1040"/>
      <c r="AF709" s="1040"/>
      <c r="AG709" s="1041"/>
      <c r="AH709" s="1042"/>
      <c r="AI709" s="1043"/>
      <c r="AJ709" s="1043"/>
      <c r="AK709" s="1043"/>
      <c r="AL709" s="1044"/>
      <c r="AM709" s="1024" t="str">
        <f t="shared" si="56"/>
        <v/>
      </c>
      <c r="AN709" s="1025"/>
      <c r="AO709" s="1026"/>
      <c r="AV709" s="37" t="str">
        <f t="shared" si="49"/>
        <v>N/A</v>
      </c>
      <c r="AX709" s="37"/>
      <c r="AY709" s="882">
        <f t="shared" si="50"/>
        <v>0</v>
      </c>
      <c r="AZ709" s="880">
        <f t="shared" si="51"/>
        <v>0</v>
      </c>
      <c r="BA709" s="881">
        <f t="shared" si="52"/>
        <v>0</v>
      </c>
      <c r="BB709" s="37"/>
      <c r="BC709" s="37"/>
      <c r="BD709" s="37"/>
      <c r="BE709" s="738">
        <f t="shared" si="53"/>
        <v>0</v>
      </c>
      <c r="BF709" s="742" t="str">
        <f t="shared" si="54"/>
        <v/>
      </c>
      <c r="BG709" s="743" t="str">
        <f t="shared" si="55"/>
        <v/>
      </c>
      <c r="BJ709" s="37"/>
      <c r="BK709" s="37"/>
      <c r="BL709" s="37"/>
      <c r="BM709" s="37"/>
      <c r="BN709" s="37"/>
      <c r="BO709" s="37"/>
      <c r="BP709" s="481" t="s">
        <v>815</v>
      </c>
      <c r="BQ709" s="480">
        <v>1540</v>
      </c>
      <c r="BR709" s="480">
        <v>1650</v>
      </c>
      <c r="BS709" s="480">
        <v>1980</v>
      </c>
      <c r="BT709" s="480">
        <v>2286</v>
      </c>
      <c r="BU709" s="480">
        <v>2550</v>
      </c>
      <c r="BV709" s="480">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27"/>
      <c r="C710" s="1028"/>
      <c r="D710" s="1028"/>
      <c r="E710" s="1028"/>
      <c r="F710" s="1029"/>
      <c r="G710" s="1030"/>
      <c r="H710" s="1031"/>
      <c r="I710" s="1031"/>
      <c r="J710" s="1032"/>
      <c r="K710" s="1033"/>
      <c r="L710" s="1034"/>
      <c r="M710" s="1034"/>
      <c r="N710" s="1035"/>
      <c r="O710" s="1036"/>
      <c r="P710" s="1037"/>
      <c r="Q710" s="1037"/>
      <c r="R710" s="1037"/>
      <c r="S710" s="1038"/>
      <c r="T710" s="1039">
        <f t="shared" si="47"/>
        <v>0</v>
      </c>
      <c r="U710" s="1040"/>
      <c r="V710" s="1040"/>
      <c r="W710" s="1040"/>
      <c r="X710" s="1041"/>
      <c r="Y710" s="1036"/>
      <c r="Z710" s="1037"/>
      <c r="AA710" s="1037"/>
      <c r="AB710" s="1038"/>
      <c r="AC710" s="1039">
        <f t="shared" si="48"/>
        <v>0</v>
      </c>
      <c r="AD710" s="1040"/>
      <c r="AE710" s="1040"/>
      <c r="AF710" s="1040"/>
      <c r="AG710" s="1041"/>
      <c r="AH710" s="1042"/>
      <c r="AI710" s="1043"/>
      <c r="AJ710" s="1043"/>
      <c r="AK710" s="1043"/>
      <c r="AL710" s="1044"/>
      <c r="AM710" s="1024" t="str">
        <f t="shared" si="56"/>
        <v/>
      </c>
      <c r="AN710" s="1025"/>
      <c r="AO710" s="1026"/>
      <c r="AV710" s="37" t="str">
        <f t="shared" si="49"/>
        <v>N/A</v>
      </c>
      <c r="AX710" s="37"/>
      <c r="AY710" s="882">
        <f t="shared" si="50"/>
        <v>0</v>
      </c>
      <c r="AZ710" s="880">
        <f t="shared" si="51"/>
        <v>0</v>
      </c>
      <c r="BA710" s="881">
        <f t="shared" si="52"/>
        <v>0</v>
      </c>
      <c r="BB710" s="37"/>
      <c r="BC710" s="37"/>
      <c r="BD710" s="37"/>
      <c r="BE710" s="738">
        <f t="shared" si="53"/>
        <v>0</v>
      </c>
      <c r="BF710" s="742" t="str">
        <f t="shared" si="54"/>
        <v/>
      </c>
      <c r="BG710" s="743" t="str">
        <f t="shared" si="55"/>
        <v/>
      </c>
      <c r="BJ710" s="37"/>
      <c r="BK710" s="37"/>
      <c r="BL710" s="37"/>
      <c r="BM710" s="37"/>
      <c r="BN710" s="37"/>
      <c r="BO710" s="37"/>
      <c r="BP710" s="481" t="s">
        <v>817</v>
      </c>
      <c r="BQ710" s="480">
        <v>1582</v>
      </c>
      <c r="BR710" s="480">
        <v>1696</v>
      </c>
      <c r="BS710" s="480">
        <v>2034</v>
      </c>
      <c r="BT710" s="480">
        <v>2350</v>
      </c>
      <c r="BU710" s="480">
        <v>2622</v>
      </c>
      <c r="BV710" s="480">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27"/>
      <c r="C711" s="1028"/>
      <c r="D711" s="1028"/>
      <c r="E711" s="1028"/>
      <c r="F711" s="1029"/>
      <c r="G711" s="1030"/>
      <c r="H711" s="1031"/>
      <c r="I711" s="1031"/>
      <c r="J711" s="1032"/>
      <c r="K711" s="1033"/>
      <c r="L711" s="1034"/>
      <c r="M711" s="1034"/>
      <c r="N711" s="1035"/>
      <c r="O711" s="1036"/>
      <c r="P711" s="1037"/>
      <c r="Q711" s="1037"/>
      <c r="R711" s="1037"/>
      <c r="S711" s="1038"/>
      <c r="T711" s="1039">
        <f t="shared" si="47"/>
        <v>0</v>
      </c>
      <c r="U711" s="1040"/>
      <c r="V711" s="1040"/>
      <c r="W711" s="1040"/>
      <c r="X711" s="1041"/>
      <c r="Y711" s="1036"/>
      <c r="Z711" s="1037"/>
      <c r="AA711" s="1037"/>
      <c r="AB711" s="1038"/>
      <c r="AC711" s="1039">
        <f t="shared" si="48"/>
        <v>0</v>
      </c>
      <c r="AD711" s="1040"/>
      <c r="AE711" s="1040"/>
      <c r="AF711" s="1040"/>
      <c r="AG711" s="1041"/>
      <c r="AH711" s="1042"/>
      <c r="AI711" s="1043"/>
      <c r="AJ711" s="1043"/>
      <c r="AK711" s="1043"/>
      <c r="AL711" s="1044"/>
      <c r="AM711" s="1024" t="str">
        <f t="shared" si="56"/>
        <v/>
      </c>
      <c r="AN711" s="1025"/>
      <c r="AO711" s="1026"/>
      <c r="AV711" s="37" t="str">
        <f t="shared" si="49"/>
        <v>N/A</v>
      </c>
      <c r="AX711" s="37"/>
      <c r="AY711" s="882">
        <f t="shared" si="50"/>
        <v>0</v>
      </c>
      <c r="AZ711" s="880">
        <f t="shared" si="51"/>
        <v>0</v>
      </c>
      <c r="BA711" s="881">
        <f t="shared" si="52"/>
        <v>0</v>
      </c>
      <c r="BB711" s="37"/>
      <c r="BC711" s="37"/>
      <c r="BD711" s="37"/>
      <c r="BE711" s="738">
        <f t="shared" si="53"/>
        <v>0</v>
      </c>
      <c r="BF711" s="742" t="str">
        <f t="shared" si="54"/>
        <v/>
      </c>
      <c r="BG711" s="743" t="str">
        <f t="shared" si="55"/>
        <v/>
      </c>
      <c r="BJ711" s="37"/>
      <c r="BK711" s="37"/>
      <c r="BL711" s="37"/>
      <c r="BM711" s="37"/>
      <c r="BN711" s="37"/>
      <c r="BO711" s="37"/>
      <c r="BP711" s="481" t="s">
        <v>820</v>
      </c>
      <c r="BQ711" s="480">
        <v>1540</v>
      </c>
      <c r="BR711" s="480">
        <v>1650</v>
      </c>
      <c r="BS711" s="480">
        <v>1980</v>
      </c>
      <c r="BT711" s="480">
        <v>2286</v>
      </c>
      <c r="BU711" s="480">
        <v>2550</v>
      </c>
      <c r="BV711" s="480">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27"/>
      <c r="C712" s="1028"/>
      <c r="D712" s="1028"/>
      <c r="E712" s="1028"/>
      <c r="F712" s="1029"/>
      <c r="G712" s="1030"/>
      <c r="H712" s="1031"/>
      <c r="I712" s="1031"/>
      <c r="J712" s="1032"/>
      <c r="K712" s="1033"/>
      <c r="L712" s="1034"/>
      <c r="M712" s="1034"/>
      <c r="N712" s="1035"/>
      <c r="O712" s="1036"/>
      <c r="P712" s="1037"/>
      <c r="Q712" s="1037"/>
      <c r="R712" s="1037"/>
      <c r="S712" s="1038"/>
      <c r="T712" s="1039">
        <f t="shared" si="47"/>
        <v>0</v>
      </c>
      <c r="U712" s="1040"/>
      <c r="V712" s="1040"/>
      <c r="W712" s="1040"/>
      <c r="X712" s="1041"/>
      <c r="Y712" s="1036"/>
      <c r="Z712" s="1037"/>
      <c r="AA712" s="1037"/>
      <c r="AB712" s="1038"/>
      <c r="AC712" s="1039">
        <f t="shared" si="48"/>
        <v>0</v>
      </c>
      <c r="AD712" s="1040"/>
      <c r="AE712" s="1040"/>
      <c r="AF712" s="1040"/>
      <c r="AG712" s="1041"/>
      <c r="AH712" s="1042"/>
      <c r="AI712" s="1043"/>
      <c r="AJ712" s="1043"/>
      <c r="AK712" s="1043"/>
      <c r="AL712" s="1044"/>
      <c r="AM712" s="1024" t="str">
        <f t="shared" si="56"/>
        <v/>
      </c>
      <c r="AN712" s="1025"/>
      <c r="AO712" s="1026"/>
      <c r="AV712" s="37" t="str">
        <f t="shared" si="49"/>
        <v>N/A</v>
      </c>
      <c r="AX712" s="37"/>
      <c r="AY712" s="882">
        <f t="shared" si="50"/>
        <v>0</v>
      </c>
      <c r="AZ712" s="880">
        <f t="shared" si="51"/>
        <v>0</v>
      </c>
      <c r="BA712" s="881">
        <f t="shared" si="52"/>
        <v>0</v>
      </c>
      <c r="BB712" s="37"/>
      <c r="BC712" s="37"/>
      <c r="BD712" s="37"/>
      <c r="BE712" s="738">
        <f t="shared" si="53"/>
        <v>0</v>
      </c>
      <c r="BF712" s="742" t="str">
        <f t="shared" si="54"/>
        <v/>
      </c>
      <c r="BG712" s="743" t="str">
        <f t="shared" si="55"/>
        <v/>
      </c>
      <c r="BJ712" s="37"/>
      <c r="BK712" s="37"/>
      <c r="BL712" s="37"/>
      <c r="BM712" s="37"/>
      <c r="BN712" s="37"/>
      <c r="BO712" s="37"/>
      <c r="BP712" s="481" t="s">
        <v>823</v>
      </c>
      <c r="BQ712" s="480">
        <v>1540</v>
      </c>
      <c r="BR712" s="480">
        <v>1650</v>
      </c>
      <c r="BS712" s="480">
        <v>1980</v>
      </c>
      <c r="BT712" s="480">
        <v>2286</v>
      </c>
      <c r="BU712" s="480">
        <v>2550</v>
      </c>
      <c r="BV712" s="480">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27"/>
      <c r="C713" s="1028"/>
      <c r="D713" s="1028"/>
      <c r="E713" s="1028"/>
      <c r="F713" s="1029"/>
      <c r="G713" s="1030"/>
      <c r="H713" s="1031"/>
      <c r="I713" s="1031"/>
      <c r="J713" s="1032"/>
      <c r="K713" s="1033"/>
      <c r="L713" s="1034"/>
      <c r="M713" s="1034"/>
      <c r="N713" s="1035"/>
      <c r="O713" s="1036"/>
      <c r="P713" s="1037"/>
      <c r="Q713" s="1037"/>
      <c r="R713" s="1037"/>
      <c r="S713" s="1038"/>
      <c r="T713" s="1039">
        <f t="shared" si="47"/>
        <v>0</v>
      </c>
      <c r="U713" s="1040"/>
      <c r="V713" s="1040"/>
      <c r="W713" s="1040"/>
      <c r="X713" s="1041"/>
      <c r="Y713" s="1036"/>
      <c r="Z713" s="1037"/>
      <c r="AA713" s="1037"/>
      <c r="AB713" s="1038"/>
      <c r="AC713" s="1039">
        <f t="shared" si="48"/>
        <v>0</v>
      </c>
      <c r="AD713" s="1040"/>
      <c r="AE713" s="1040"/>
      <c r="AF713" s="1040"/>
      <c r="AG713" s="1041"/>
      <c r="AH713" s="1042"/>
      <c r="AI713" s="1043"/>
      <c r="AJ713" s="1043"/>
      <c r="AK713" s="1043"/>
      <c r="AL713" s="1044"/>
      <c r="AM713" s="1024" t="str">
        <f t="shared" si="56"/>
        <v/>
      </c>
      <c r="AN713" s="1025"/>
      <c r="AO713" s="1026"/>
      <c r="AV713" s="37" t="str">
        <f t="shared" si="49"/>
        <v>N/A</v>
      </c>
      <c r="AX713" s="37"/>
      <c r="AY713" s="882">
        <f t="shared" si="50"/>
        <v>0</v>
      </c>
      <c r="AZ713" s="880">
        <f t="shared" si="51"/>
        <v>0</v>
      </c>
      <c r="BA713" s="881">
        <f t="shared" si="52"/>
        <v>0</v>
      </c>
      <c r="BB713" s="37"/>
      <c r="BC713" s="37"/>
      <c r="BD713" s="37"/>
      <c r="BE713" s="738">
        <f t="shared" si="53"/>
        <v>0</v>
      </c>
      <c r="BF713" s="742" t="str">
        <f t="shared" si="54"/>
        <v/>
      </c>
      <c r="BG713" s="743" t="str">
        <f t="shared" si="55"/>
        <v/>
      </c>
      <c r="BJ713" s="37"/>
      <c r="BK713" s="37"/>
      <c r="BL713" s="37"/>
      <c r="BM713" s="37"/>
      <c r="BN713" s="37"/>
      <c r="BO713" s="37"/>
      <c r="BP713" s="481" t="s">
        <v>825</v>
      </c>
      <c r="BQ713" s="480">
        <v>1634</v>
      </c>
      <c r="BR713" s="480">
        <v>1752</v>
      </c>
      <c r="BS713" s="480">
        <v>2102</v>
      </c>
      <c r="BT713" s="480">
        <v>2430</v>
      </c>
      <c r="BU713" s="480">
        <v>2710</v>
      </c>
      <c r="BV713" s="480">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27"/>
      <c r="C714" s="1028"/>
      <c r="D714" s="1028"/>
      <c r="E714" s="1028"/>
      <c r="F714" s="1029"/>
      <c r="G714" s="1030"/>
      <c r="H714" s="1031"/>
      <c r="I714" s="1031"/>
      <c r="J714" s="1032"/>
      <c r="K714" s="1033"/>
      <c r="L714" s="1034"/>
      <c r="M714" s="1034"/>
      <c r="N714" s="1035"/>
      <c r="O714" s="1036"/>
      <c r="P714" s="1037"/>
      <c r="Q714" s="1037"/>
      <c r="R714" s="1037"/>
      <c r="S714" s="1038"/>
      <c r="T714" s="1039">
        <f t="shared" si="47"/>
        <v>0</v>
      </c>
      <c r="U714" s="1040"/>
      <c r="V714" s="1040"/>
      <c r="W714" s="1040"/>
      <c r="X714" s="1041"/>
      <c r="Y714" s="1036"/>
      <c r="Z714" s="1037"/>
      <c r="AA714" s="1037"/>
      <c r="AB714" s="1038"/>
      <c r="AC714" s="1039">
        <f t="shared" si="48"/>
        <v>0</v>
      </c>
      <c r="AD714" s="1040"/>
      <c r="AE714" s="1040"/>
      <c r="AF714" s="1040"/>
      <c r="AG714" s="1041"/>
      <c r="AH714" s="1042"/>
      <c r="AI714" s="1043"/>
      <c r="AJ714" s="1043"/>
      <c r="AK714" s="1043"/>
      <c r="AL714" s="1044"/>
      <c r="AM714" s="1024" t="str">
        <f t="shared" si="56"/>
        <v/>
      </c>
      <c r="AN714" s="1025"/>
      <c r="AO714" s="1026"/>
      <c r="AV714" s="37" t="str">
        <f t="shared" si="49"/>
        <v>N/A</v>
      </c>
      <c r="AX714" s="37"/>
      <c r="AY714" s="882">
        <f t="shared" si="50"/>
        <v>0</v>
      </c>
      <c r="AZ714" s="880">
        <f t="shared" si="51"/>
        <v>0</v>
      </c>
      <c r="BA714" s="881">
        <f t="shared" si="52"/>
        <v>0</v>
      </c>
      <c r="BB714" s="37"/>
      <c r="BC714" s="37"/>
      <c r="BD714" s="37"/>
      <c r="BE714" s="738">
        <f t="shared" si="53"/>
        <v>0</v>
      </c>
      <c r="BF714" s="742" t="str">
        <f t="shared" si="54"/>
        <v/>
      </c>
      <c r="BG714" s="743" t="str">
        <f t="shared" si="55"/>
        <v/>
      </c>
      <c r="BJ714" s="37"/>
      <c r="BK714" s="37"/>
      <c r="BL714" s="37"/>
      <c r="BM714" s="37"/>
      <c r="BN714" s="37"/>
      <c r="BO714" s="37"/>
      <c r="BP714" s="481" t="s">
        <v>828</v>
      </c>
      <c r="BQ714" s="480">
        <v>2316</v>
      </c>
      <c r="BR714" s="480">
        <v>2482</v>
      </c>
      <c r="BS714" s="480">
        <v>2980</v>
      </c>
      <c r="BT714" s="480">
        <v>3442</v>
      </c>
      <c r="BU714" s="480">
        <v>3840</v>
      </c>
      <c r="BV714" s="480">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27"/>
      <c r="C715" s="1028"/>
      <c r="D715" s="1028"/>
      <c r="E715" s="1028"/>
      <c r="F715" s="1029"/>
      <c r="G715" s="1030"/>
      <c r="H715" s="1031"/>
      <c r="I715" s="1031"/>
      <c r="J715" s="1032"/>
      <c r="K715" s="1033"/>
      <c r="L715" s="1034"/>
      <c r="M715" s="1034"/>
      <c r="N715" s="1035"/>
      <c r="O715" s="1036"/>
      <c r="P715" s="1037"/>
      <c r="Q715" s="1037"/>
      <c r="R715" s="1037"/>
      <c r="S715" s="1038"/>
      <c r="T715" s="1039">
        <f t="shared" si="47"/>
        <v>0</v>
      </c>
      <c r="U715" s="1040"/>
      <c r="V715" s="1040"/>
      <c r="W715" s="1040"/>
      <c r="X715" s="1041"/>
      <c r="Y715" s="1036"/>
      <c r="Z715" s="1037"/>
      <c r="AA715" s="1037"/>
      <c r="AB715" s="1038"/>
      <c r="AC715" s="1039">
        <f t="shared" si="48"/>
        <v>0</v>
      </c>
      <c r="AD715" s="1040"/>
      <c r="AE715" s="1040"/>
      <c r="AF715" s="1040"/>
      <c r="AG715" s="1041"/>
      <c r="AH715" s="1042"/>
      <c r="AI715" s="1043"/>
      <c r="AJ715" s="1043"/>
      <c r="AK715" s="1043"/>
      <c r="AL715" s="1044"/>
      <c r="AM715" s="1024" t="str">
        <f t="shared" si="56"/>
        <v/>
      </c>
      <c r="AN715" s="1025"/>
      <c r="AO715" s="1026"/>
      <c r="AV715" s="37" t="str">
        <f t="shared" si="49"/>
        <v>N/A</v>
      </c>
      <c r="AX715" s="37"/>
      <c r="AY715" s="882">
        <f t="shared" si="50"/>
        <v>0</v>
      </c>
      <c r="AZ715" s="880">
        <f t="shared" si="51"/>
        <v>0</v>
      </c>
      <c r="BA715" s="881">
        <f t="shared" si="52"/>
        <v>0</v>
      </c>
      <c r="BB715" s="37"/>
      <c r="BC715" s="37"/>
      <c r="BD715" s="37"/>
      <c r="BE715" s="738">
        <f t="shared" si="53"/>
        <v>0</v>
      </c>
      <c r="BF715" s="742" t="str">
        <f t="shared" si="54"/>
        <v/>
      </c>
      <c r="BG715" s="743" t="str">
        <f t="shared" si="55"/>
        <v/>
      </c>
      <c r="BH715" s="37"/>
      <c r="BI715" s="37"/>
      <c r="BJ715" s="37"/>
      <c r="BK715" s="37"/>
      <c r="BL715" s="37"/>
      <c r="BM715" s="37"/>
      <c r="BN715" s="37"/>
      <c r="BO715" s="37"/>
      <c r="BP715" s="481" t="s">
        <v>832</v>
      </c>
      <c r="BQ715" s="480">
        <v>2570</v>
      </c>
      <c r="BR715" s="480">
        <v>2752</v>
      </c>
      <c r="BS715" s="480">
        <v>3304</v>
      </c>
      <c r="BT715" s="480">
        <v>3816</v>
      </c>
      <c r="BU715" s="480">
        <v>4256</v>
      </c>
      <c r="BV715" s="480">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27"/>
      <c r="C716" s="1028"/>
      <c r="D716" s="1028"/>
      <c r="E716" s="1028"/>
      <c r="F716" s="1029"/>
      <c r="G716" s="1030"/>
      <c r="H716" s="1031"/>
      <c r="I716" s="1031"/>
      <c r="J716" s="1032"/>
      <c r="K716" s="1033"/>
      <c r="L716" s="1034"/>
      <c r="M716" s="1034"/>
      <c r="N716" s="1035"/>
      <c r="O716" s="1036"/>
      <c r="P716" s="1037"/>
      <c r="Q716" s="1037"/>
      <c r="R716" s="1037"/>
      <c r="S716" s="1038"/>
      <c r="T716" s="1039">
        <f t="shared" si="47"/>
        <v>0</v>
      </c>
      <c r="U716" s="1040"/>
      <c r="V716" s="1040"/>
      <c r="W716" s="1040"/>
      <c r="X716" s="1041"/>
      <c r="Y716" s="1036"/>
      <c r="Z716" s="1037"/>
      <c r="AA716" s="1037"/>
      <c r="AB716" s="1038"/>
      <c r="AC716" s="1039">
        <f t="shared" si="48"/>
        <v>0</v>
      </c>
      <c r="AD716" s="1040"/>
      <c r="AE716" s="1040"/>
      <c r="AF716" s="1040"/>
      <c r="AG716" s="1041"/>
      <c r="AH716" s="1042"/>
      <c r="AI716" s="1043"/>
      <c r="AJ716" s="1043"/>
      <c r="AK716" s="1043"/>
      <c r="AL716" s="1044"/>
      <c r="AM716" s="1024" t="str">
        <f t="shared" si="56"/>
        <v/>
      </c>
      <c r="AN716" s="1025"/>
      <c r="AO716" s="1026"/>
      <c r="AV716" s="37" t="str">
        <f t="shared" si="49"/>
        <v>N/A</v>
      </c>
      <c r="AX716" s="37"/>
      <c r="AY716" s="882">
        <f t="shared" si="50"/>
        <v>0</v>
      </c>
      <c r="AZ716" s="880">
        <f t="shared" si="51"/>
        <v>0</v>
      </c>
      <c r="BA716" s="881">
        <f t="shared" si="52"/>
        <v>0</v>
      </c>
      <c r="BB716" s="37"/>
      <c r="BC716" s="37"/>
      <c r="BD716" s="37"/>
      <c r="BE716" s="738">
        <f t="shared" si="53"/>
        <v>0</v>
      </c>
      <c r="BF716" s="742" t="str">
        <f t="shared" si="54"/>
        <v/>
      </c>
      <c r="BG716" s="743" t="str">
        <f t="shared" si="55"/>
        <v/>
      </c>
      <c r="BH716" s="37"/>
      <c r="BI716" s="37"/>
      <c r="BJ716" s="37"/>
      <c r="BK716" s="37"/>
      <c r="BL716" s="37"/>
      <c r="BM716" s="37"/>
      <c r="BN716" s="37"/>
      <c r="BO716" s="37"/>
      <c r="BP716" s="481" t="s">
        <v>837</v>
      </c>
      <c r="BQ716" s="480">
        <v>1824</v>
      </c>
      <c r="BR716" s="480">
        <v>1954</v>
      </c>
      <c r="BS716" s="480">
        <v>2344</v>
      </c>
      <c r="BT716" s="480">
        <v>2710</v>
      </c>
      <c r="BU716" s="480">
        <v>3022</v>
      </c>
      <c r="BV716" s="480">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27"/>
      <c r="C717" s="1028"/>
      <c r="D717" s="1028"/>
      <c r="E717" s="1028"/>
      <c r="F717" s="1029"/>
      <c r="G717" s="1030"/>
      <c r="H717" s="1031"/>
      <c r="I717" s="1031"/>
      <c r="J717" s="1032"/>
      <c r="K717" s="1033"/>
      <c r="L717" s="1034"/>
      <c r="M717" s="1034"/>
      <c r="N717" s="1035"/>
      <c r="O717" s="1036"/>
      <c r="P717" s="1037"/>
      <c r="Q717" s="1037"/>
      <c r="R717" s="1037"/>
      <c r="S717" s="1038"/>
      <c r="T717" s="1039">
        <f t="shared" si="47"/>
        <v>0</v>
      </c>
      <c r="U717" s="1040"/>
      <c r="V717" s="1040"/>
      <c r="W717" s="1040"/>
      <c r="X717" s="1041"/>
      <c r="Y717" s="1036"/>
      <c r="Z717" s="1037"/>
      <c r="AA717" s="1037"/>
      <c r="AB717" s="1038"/>
      <c r="AC717" s="1039">
        <f t="shared" si="48"/>
        <v>0</v>
      </c>
      <c r="AD717" s="1040"/>
      <c r="AE717" s="1040"/>
      <c r="AF717" s="1040"/>
      <c r="AG717" s="1041"/>
      <c r="AH717" s="1042"/>
      <c r="AI717" s="1043"/>
      <c r="AJ717" s="1043"/>
      <c r="AK717" s="1043"/>
      <c r="AL717" s="1044"/>
      <c r="AM717" s="1024" t="str">
        <f t="shared" si="56"/>
        <v/>
      </c>
      <c r="AN717" s="1025"/>
      <c r="AO717" s="1026"/>
      <c r="AV717" s="37" t="str">
        <f t="shared" si="49"/>
        <v>N/A</v>
      </c>
      <c r="AX717" s="37"/>
      <c r="AY717" s="882">
        <f t="shared" si="50"/>
        <v>0</v>
      </c>
      <c r="AZ717" s="880">
        <f t="shared" si="51"/>
        <v>0</v>
      </c>
      <c r="BA717" s="881">
        <f t="shared" si="52"/>
        <v>0</v>
      </c>
      <c r="BB717" s="37"/>
      <c r="BC717" s="37"/>
      <c r="BD717" s="37"/>
      <c r="BE717" s="738">
        <f t="shared" si="53"/>
        <v>0</v>
      </c>
      <c r="BF717" s="742" t="str">
        <f t="shared" si="54"/>
        <v/>
      </c>
      <c r="BG717" s="743" t="str">
        <f t="shared" si="55"/>
        <v/>
      </c>
      <c r="BH717" s="37"/>
      <c r="BI717" s="37"/>
      <c r="BJ717" s="37"/>
      <c r="BK717" s="37"/>
      <c r="BL717" s="37"/>
      <c r="BM717" s="37"/>
      <c r="BN717" s="37"/>
      <c r="BO717" s="37"/>
      <c r="BP717" s="481" t="s">
        <v>840</v>
      </c>
      <c r="BQ717" s="480">
        <v>2762</v>
      </c>
      <c r="BR717" s="480">
        <v>2958</v>
      </c>
      <c r="BS717" s="480">
        <v>3552</v>
      </c>
      <c r="BT717" s="480">
        <v>4102</v>
      </c>
      <c r="BU717" s="480">
        <v>4576</v>
      </c>
      <c r="BV717" s="480">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27"/>
      <c r="C718" s="1028"/>
      <c r="D718" s="1028"/>
      <c r="E718" s="1028"/>
      <c r="F718" s="1029"/>
      <c r="G718" s="1030"/>
      <c r="H718" s="1031"/>
      <c r="I718" s="1031"/>
      <c r="J718" s="1032"/>
      <c r="K718" s="1033"/>
      <c r="L718" s="1034"/>
      <c r="M718" s="1034"/>
      <c r="N718" s="1035"/>
      <c r="O718" s="1036"/>
      <c r="P718" s="1037"/>
      <c r="Q718" s="1037"/>
      <c r="R718" s="1037"/>
      <c r="S718" s="1038"/>
      <c r="T718" s="1039">
        <f t="shared" si="47"/>
        <v>0</v>
      </c>
      <c r="U718" s="1040"/>
      <c r="V718" s="1040"/>
      <c r="W718" s="1040"/>
      <c r="X718" s="1041"/>
      <c r="Y718" s="1036"/>
      <c r="Z718" s="1037"/>
      <c r="AA718" s="1037"/>
      <c r="AB718" s="1038"/>
      <c r="AC718" s="1039">
        <f t="shared" si="48"/>
        <v>0</v>
      </c>
      <c r="AD718" s="1040"/>
      <c r="AE718" s="1040"/>
      <c r="AF718" s="1040"/>
      <c r="AG718" s="1041"/>
      <c r="AH718" s="1042"/>
      <c r="AI718" s="1043"/>
      <c r="AJ718" s="1043"/>
      <c r="AK718" s="1043"/>
      <c r="AL718" s="1044"/>
      <c r="AM718" s="1024" t="str">
        <f t="shared" si="56"/>
        <v/>
      </c>
      <c r="AN718" s="1025"/>
      <c r="AO718" s="1026"/>
      <c r="AV718" s="37" t="str">
        <f t="shared" si="49"/>
        <v>N/A</v>
      </c>
      <c r="AX718" s="37"/>
      <c r="AY718" s="882">
        <f t="shared" si="50"/>
        <v>0</v>
      </c>
      <c r="AZ718" s="880">
        <f t="shared" si="51"/>
        <v>0</v>
      </c>
      <c r="BA718" s="881">
        <f t="shared" si="52"/>
        <v>0</v>
      </c>
      <c r="BB718" s="37"/>
      <c r="BC718" s="37"/>
      <c r="BD718" s="37"/>
      <c r="BE718" s="738">
        <f t="shared" si="53"/>
        <v>0</v>
      </c>
      <c r="BF718" s="742" t="str">
        <f t="shared" si="54"/>
        <v/>
      </c>
      <c r="BG718" s="743" t="str">
        <f t="shared" si="55"/>
        <v/>
      </c>
      <c r="BJ718" s="37"/>
      <c r="BK718" s="37"/>
      <c r="BL718" s="37"/>
      <c r="BM718" s="37"/>
      <c r="BN718" s="37"/>
      <c r="BO718" s="37"/>
      <c r="BP718" s="481" t="s">
        <v>842</v>
      </c>
      <c r="BQ718" s="480">
        <v>2064</v>
      </c>
      <c r="BR718" s="480">
        <v>2210</v>
      </c>
      <c r="BS718" s="480">
        <v>2652</v>
      </c>
      <c r="BT718" s="480">
        <v>3064</v>
      </c>
      <c r="BU718" s="480">
        <v>3420</v>
      </c>
      <c r="BV718" s="480">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27"/>
      <c r="C719" s="1028"/>
      <c r="D719" s="1028"/>
      <c r="E719" s="1028"/>
      <c r="F719" s="1029"/>
      <c r="G719" s="1030"/>
      <c r="H719" s="1031"/>
      <c r="I719" s="1031"/>
      <c r="J719" s="1032"/>
      <c r="K719" s="1033"/>
      <c r="L719" s="1034"/>
      <c r="M719" s="1034"/>
      <c r="N719" s="1035"/>
      <c r="O719" s="1036"/>
      <c r="P719" s="1037"/>
      <c r="Q719" s="1037"/>
      <c r="R719" s="1037"/>
      <c r="S719" s="1038"/>
      <c r="T719" s="1039">
        <f t="shared" ref="T719:T728" si="57">G719*O719</f>
        <v>0</v>
      </c>
      <c r="U719" s="1040"/>
      <c r="V719" s="1040"/>
      <c r="W719" s="1040"/>
      <c r="X719" s="1041"/>
      <c r="Y719" s="1036"/>
      <c r="Z719" s="1037"/>
      <c r="AA719" s="1037"/>
      <c r="AB719" s="1038"/>
      <c r="AC719" s="1039">
        <f t="shared" ref="AC719:AC728" si="58">O719+Y719</f>
        <v>0</v>
      </c>
      <c r="AD719" s="1040"/>
      <c r="AE719" s="1040"/>
      <c r="AF719" s="1040"/>
      <c r="AG719" s="1041"/>
      <c r="AH719" s="1042"/>
      <c r="AI719" s="1043"/>
      <c r="AJ719" s="1043"/>
      <c r="AK719" s="1043"/>
      <c r="AL719" s="1044"/>
      <c r="AM719" s="1024" t="str">
        <f t="shared" ref="AM719:AM728" si="59">IF($AH719&gt;0,($AC719/$AV719), "")</f>
        <v/>
      </c>
      <c r="AN719" s="1025"/>
      <c r="AO719" s="1026"/>
      <c r="AV719" s="37" t="str">
        <f t="shared" si="49"/>
        <v>N/A</v>
      </c>
      <c r="AY719" s="882">
        <f t="shared" ref="AY719:AY728" si="60">G719</f>
        <v>0</v>
      </c>
      <c r="AZ719" s="880">
        <f t="shared" ref="AZ719:AZ727" si="61">IF($AY$730=0,"",AY719/$AY$730)</f>
        <v>0</v>
      </c>
      <c r="BA719" s="881">
        <f t="shared" ref="BA719:BA728" si="62">IF(AZ719="","",AZ719*AH719)</f>
        <v>0</v>
      </c>
      <c r="BB719" s="37"/>
      <c r="BC719" s="37"/>
      <c r="BD719" s="37"/>
      <c r="BE719" s="738">
        <f t="shared" ref="BE719:BE728" si="63">G719</f>
        <v>0</v>
      </c>
      <c r="BF719" s="742" t="str">
        <f t="shared" ref="BF719:BF728" si="64">IF(BE719=0,"",BE719/$BE$730)</f>
        <v/>
      </c>
      <c r="BG719" s="743" t="str">
        <f t="shared" ref="BG719:BG728" si="65">IF(BF719="","",BF719*AM719)</f>
        <v/>
      </c>
      <c r="BJ719" s="37"/>
      <c r="BK719" s="37"/>
      <c r="BL719" s="37"/>
      <c r="BM719" s="37"/>
      <c r="BN719" s="37"/>
      <c r="BO719" s="37"/>
      <c r="BP719" s="481" t="s">
        <v>844</v>
      </c>
      <c r="BQ719" s="480">
        <v>1612</v>
      </c>
      <c r="BR719" s="480">
        <v>1726</v>
      </c>
      <c r="BS719" s="480">
        <v>2072</v>
      </c>
      <c r="BT719" s="480">
        <v>2394</v>
      </c>
      <c r="BU719" s="480">
        <v>2672</v>
      </c>
      <c r="BV719" s="480">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27"/>
      <c r="C720" s="1028"/>
      <c r="D720" s="1028"/>
      <c r="E720" s="1028"/>
      <c r="F720" s="1029"/>
      <c r="G720" s="1030"/>
      <c r="H720" s="1031"/>
      <c r="I720" s="1031"/>
      <c r="J720" s="1032"/>
      <c r="K720" s="1033"/>
      <c r="L720" s="1034"/>
      <c r="M720" s="1034"/>
      <c r="N720" s="1035"/>
      <c r="O720" s="1036"/>
      <c r="P720" s="1037"/>
      <c r="Q720" s="1037"/>
      <c r="R720" s="1037"/>
      <c r="S720" s="1038"/>
      <c r="T720" s="1039">
        <f t="shared" si="57"/>
        <v>0</v>
      </c>
      <c r="U720" s="1040"/>
      <c r="V720" s="1040"/>
      <c r="W720" s="1040"/>
      <c r="X720" s="1041"/>
      <c r="Y720" s="1036"/>
      <c r="Z720" s="1037"/>
      <c r="AA720" s="1037"/>
      <c r="AB720" s="1038"/>
      <c r="AC720" s="1039">
        <f t="shared" si="58"/>
        <v>0</v>
      </c>
      <c r="AD720" s="1040"/>
      <c r="AE720" s="1040"/>
      <c r="AF720" s="1040"/>
      <c r="AG720" s="1041"/>
      <c r="AH720" s="1042"/>
      <c r="AI720" s="1043"/>
      <c r="AJ720" s="1043"/>
      <c r="AK720" s="1043"/>
      <c r="AL720" s="1044"/>
      <c r="AM720" s="1024" t="str">
        <f t="shared" si="59"/>
        <v/>
      </c>
      <c r="AN720" s="1025"/>
      <c r="AO720" s="1026"/>
      <c r="AV720" s="37" t="str">
        <f t="shared" si="49"/>
        <v>N/A</v>
      </c>
      <c r="AY720" s="882">
        <f t="shared" si="60"/>
        <v>0</v>
      </c>
      <c r="AZ720" s="880">
        <f t="shared" si="61"/>
        <v>0</v>
      </c>
      <c r="BA720" s="881">
        <f t="shared" si="62"/>
        <v>0</v>
      </c>
      <c r="BB720" s="37"/>
      <c r="BC720" s="37"/>
      <c r="BD720" s="37"/>
      <c r="BE720" s="738">
        <f t="shared" si="63"/>
        <v>0</v>
      </c>
      <c r="BF720" s="742" t="str">
        <f t="shared" si="64"/>
        <v/>
      </c>
      <c r="BG720" s="743" t="str">
        <f t="shared" si="65"/>
        <v/>
      </c>
      <c r="BJ720" s="37"/>
      <c r="BK720" s="37"/>
      <c r="BL720" s="37"/>
      <c r="BM720" s="37"/>
      <c r="BN720" s="37"/>
      <c r="BO720" s="37"/>
      <c r="BP720" s="481" t="s">
        <v>848</v>
      </c>
      <c r="BQ720" s="480">
        <v>1794</v>
      </c>
      <c r="BR720" s="480">
        <v>1922</v>
      </c>
      <c r="BS720" s="480">
        <v>2304</v>
      </c>
      <c r="BT720" s="480">
        <v>2664</v>
      </c>
      <c r="BU720" s="480">
        <v>2972</v>
      </c>
      <c r="BV720" s="480">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27"/>
      <c r="C721" s="1028"/>
      <c r="D721" s="1028"/>
      <c r="E721" s="1028"/>
      <c r="F721" s="1029"/>
      <c r="G721" s="1030"/>
      <c r="H721" s="1031"/>
      <c r="I721" s="1031"/>
      <c r="J721" s="1032"/>
      <c r="K721" s="1033"/>
      <c r="L721" s="1034"/>
      <c r="M721" s="1034"/>
      <c r="N721" s="1035"/>
      <c r="O721" s="1036"/>
      <c r="P721" s="1037"/>
      <c r="Q721" s="1037"/>
      <c r="R721" s="1037"/>
      <c r="S721" s="1038"/>
      <c r="T721" s="1039">
        <f t="shared" si="57"/>
        <v>0</v>
      </c>
      <c r="U721" s="1040"/>
      <c r="V721" s="1040"/>
      <c r="W721" s="1040"/>
      <c r="X721" s="1041"/>
      <c r="Y721" s="1036"/>
      <c r="Z721" s="1037"/>
      <c r="AA721" s="1037"/>
      <c r="AB721" s="1038"/>
      <c r="AC721" s="1039">
        <f t="shared" si="58"/>
        <v>0</v>
      </c>
      <c r="AD721" s="1040"/>
      <c r="AE721" s="1040"/>
      <c r="AF721" s="1040"/>
      <c r="AG721" s="1041"/>
      <c r="AH721" s="1042"/>
      <c r="AI721" s="1043"/>
      <c r="AJ721" s="1043"/>
      <c r="AK721" s="1043"/>
      <c r="AL721" s="1044"/>
      <c r="AM721" s="1024" t="str">
        <f t="shared" si="59"/>
        <v/>
      </c>
      <c r="AN721" s="1025"/>
      <c r="AO721" s="1026"/>
      <c r="AV721" s="37" t="str">
        <f t="shared" si="49"/>
        <v>N/A</v>
      </c>
      <c r="AY721" s="882">
        <f t="shared" si="60"/>
        <v>0</v>
      </c>
      <c r="AZ721" s="880">
        <f t="shared" si="61"/>
        <v>0</v>
      </c>
      <c r="BA721" s="881">
        <f t="shared" si="62"/>
        <v>0</v>
      </c>
      <c r="BB721" s="37"/>
      <c r="BC721" s="37"/>
      <c r="BD721" s="37"/>
      <c r="BE721" s="738">
        <f t="shared" si="63"/>
        <v>0</v>
      </c>
      <c r="BF721" s="742" t="str">
        <f t="shared" si="64"/>
        <v/>
      </c>
      <c r="BG721" s="743" t="str">
        <f t="shared" si="65"/>
        <v/>
      </c>
      <c r="BJ721" s="37"/>
      <c r="BK721" s="37"/>
      <c r="BL721" s="37"/>
      <c r="BM721" s="37"/>
      <c r="BN721" s="37"/>
      <c r="BO721" s="37"/>
      <c r="BP721" s="481" t="s">
        <v>853</v>
      </c>
      <c r="BQ721" s="480">
        <v>2064</v>
      </c>
      <c r="BR721" s="480">
        <v>2210</v>
      </c>
      <c r="BS721" s="480">
        <v>2652</v>
      </c>
      <c r="BT721" s="480">
        <v>3064</v>
      </c>
      <c r="BU721" s="480">
        <v>3420</v>
      </c>
      <c r="BV721" s="480">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27"/>
      <c r="C722" s="1028"/>
      <c r="D722" s="1028"/>
      <c r="E722" s="1028"/>
      <c r="F722" s="1029"/>
      <c r="G722" s="1030"/>
      <c r="H722" s="1031"/>
      <c r="I722" s="1031"/>
      <c r="J722" s="1032"/>
      <c r="K722" s="1033"/>
      <c r="L722" s="1034"/>
      <c r="M722" s="1034"/>
      <c r="N722" s="1035"/>
      <c r="O722" s="1036"/>
      <c r="P722" s="1037"/>
      <c r="Q722" s="1037"/>
      <c r="R722" s="1037"/>
      <c r="S722" s="1038"/>
      <c r="T722" s="1039">
        <f t="shared" si="57"/>
        <v>0</v>
      </c>
      <c r="U722" s="1040"/>
      <c r="V722" s="1040"/>
      <c r="W722" s="1040"/>
      <c r="X722" s="1041"/>
      <c r="Y722" s="1036"/>
      <c r="Z722" s="1037"/>
      <c r="AA722" s="1037"/>
      <c r="AB722" s="1038"/>
      <c r="AC722" s="1039">
        <f t="shared" si="58"/>
        <v>0</v>
      </c>
      <c r="AD722" s="1040"/>
      <c r="AE722" s="1040"/>
      <c r="AF722" s="1040"/>
      <c r="AG722" s="1041"/>
      <c r="AH722" s="1042"/>
      <c r="AI722" s="1043"/>
      <c r="AJ722" s="1043"/>
      <c r="AK722" s="1043"/>
      <c r="AL722" s="1044"/>
      <c r="AM722" s="1024" t="str">
        <f t="shared" si="59"/>
        <v/>
      </c>
      <c r="AN722" s="1025"/>
      <c r="AO722" s="1026"/>
      <c r="AV722" s="37" t="str">
        <f t="shared" si="49"/>
        <v>N/A</v>
      </c>
      <c r="AY722" s="882">
        <f t="shared" si="60"/>
        <v>0</v>
      </c>
      <c r="AZ722" s="880">
        <f t="shared" si="61"/>
        <v>0</v>
      </c>
      <c r="BA722" s="881">
        <f t="shared" si="62"/>
        <v>0</v>
      </c>
      <c r="BB722" s="37"/>
      <c r="BC722" s="37"/>
      <c r="BD722" s="37"/>
      <c r="BE722" s="738">
        <f t="shared" si="63"/>
        <v>0</v>
      </c>
      <c r="BF722" s="742" t="str">
        <f t="shared" si="64"/>
        <v/>
      </c>
      <c r="BG722" s="743" t="str">
        <f t="shared" si="65"/>
        <v/>
      </c>
      <c r="BJ722" s="37"/>
      <c r="BK722" s="37"/>
      <c r="BL722" s="37"/>
      <c r="BM722" s="37"/>
      <c r="BN722" s="37"/>
      <c r="BO722" s="37"/>
      <c r="BP722" s="481" t="s">
        <v>858</v>
      </c>
      <c r="BQ722" s="480">
        <v>2142</v>
      </c>
      <c r="BR722" s="480">
        <v>2296</v>
      </c>
      <c r="BS722" s="480">
        <v>2754</v>
      </c>
      <c r="BT722" s="480">
        <v>3182</v>
      </c>
      <c r="BU722" s="480">
        <v>3550</v>
      </c>
      <c r="BV722" s="480">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27"/>
      <c r="C723" s="1028"/>
      <c r="D723" s="1028"/>
      <c r="E723" s="1028"/>
      <c r="F723" s="1029"/>
      <c r="G723" s="1030"/>
      <c r="H723" s="1031"/>
      <c r="I723" s="1031"/>
      <c r="J723" s="1032"/>
      <c r="K723" s="1033"/>
      <c r="L723" s="1034"/>
      <c r="M723" s="1034"/>
      <c r="N723" s="1035"/>
      <c r="O723" s="1036"/>
      <c r="P723" s="1037"/>
      <c r="Q723" s="1037"/>
      <c r="R723" s="1037"/>
      <c r="S723" s="1038"/>
      <c r="T723" s="1039">
        <f t="shared" si="57"/>
        <v>0</v>
      </c>
      <c r="U723" s="1040"/>
      <c r="V723" s="1040"/>
      <c r="W723" s="1040"/>
      <c r="X723" s="1041"/>
      <c r="Y723" s="1036"/>
      <c r="Z723" s="1037"/>
      <c r="AA723" s="1037"/>
      <c r="AB723" s="1038"/>
      <c r="AC723" s="1039">
        <f t="shared" si="58"/>
        <v>0</v>
      </c>
      <c r="AD723" s="1040"/>
      <c r="AE723" s="1040"/>
      <c r="AF723" s="1040"/>
      <c r="AG723" s="1041"/>
      <c r="AH723" s="1042"/>
      <c r="AI723" s="1043"/>
      <c r="AJ723" s="1043"/>
      <c r="AK723" s="1043"/>
      <c r="AL723" s="1044"/>
      <c r="AM723" s="1024" t="str">
        <f t="shared" si="59"/>
        <v/>
      </c>
      <c r="AN723" s="1025"/>
      <c r="AO723" s="1026"/>
      <c r="AV723" s="37" t="str">
        <f t="shared" si="49"/>
        <v>N/A</v>
      </c>
      <c r="AY723" s="882">
        <f t="shared" si="60"/>
        <v>0</v>
      </c>
      <c r="AZ723" s="880">
        <f t="shared" si="61"/>
        <v>0</v>
      </c>
      <c r="BA723" s="881">
        <f t="shared" si="62"/>
        <v>0</v>
      </c>
      <c r="BB723" s="37"/>
      <c r="BC723" s="37"/>
      <c r="BD723" s="37"/>
      <c r="BE723" s="738">
        <f t="shared" si="63"/>
        <v>0</v>
      </c>
      <c r="BF723" s="742" t="str">
        <f t="shared" si="64"/>
        <v/>
      </c>
      <c r="BG723" s="743" t="str">
        <f t="shared" si="65"/>
        <v/>
      </c>
      <c r="BJ723" s="37"/>
      <c r="BK723" s="37"/>
      <c r="BL723" s="37"/>
      <c r="BM723" s="37"/>
      <c r="BN723" s="37"/>
      <c r="BO723" s="37"/>
      <c r="BP723" s="481" t="s">
        <v>862</v>
      </c>
      <c r="BQ723" s="480">
        <v>1794</v>
      </c>
      <c r="BR723" s="480">
        <v>1922</v>
      </c>
      <c r="BS723" s="480">
        <v>2304</v>
      </c>
      <c r="BT723" s="480">
        <v>2664</v>
      </c>
      <c r="BU723" s="480">
        <v>2972</v>
      </c>
      <c r="BV723" s="480">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27"/>
      <c r="C724" s="1028"/>
      <c r="D724" s="1028"/>
      <c r="E724" s="1028"/>
      <c r="F724" s="1029"/>
      <c r="G724" s="1030"/>
      <c r="H724" s="1031"/>
      <c r="I724" s="1031"/>
      <c r="J724" s="1032"/>
      <c r="K724" s="1033"/>
      <c r="L724" s="1034"/>
      <c r="M724" s="1034"/>
      <c r="N724" s="1035"/>
      <c r="O724" s="1036"/>
      <c r="P724" s="1037"/>
      <c r="Q724" s="1037"/>
      <c r="R724" s="1037"/>
      <c r="S724" s="1038"/>
      <c r="T724" s="1039">
        <f t="shared" si="57"/>
        <v>0</v>
      </c>
      <c r="U724" s="1040"/>
      <c r="V724" s="1040"/>
      <c r="W724" s="1040"/>
      <c r="X724" s="1041"/>
      <c r="Y724" s="1036"/>
      <c r="Z724" s="1037"/>
      <c r="AA724" s="1037"/>
      <c r="AB724" s="1038"/>
      <c r="AC724" s="1039">
        <f t="shared" si="58"/>
        <v>0</v>
      </c>
      <c r="AD724" s="1040"/>
      <c r="AE724" s="1040"/>
      <c r="AF724" s="1040"/>
      <c r="AG724" s="1041"/>
      <c r="AH724" s="1042"/>
      <c r="AI724" s="1043"/>
      <c r="AJ724" s="1043"/>
      <c r="AK724" s="1043"/>
      <c r="AL724" s="1044"/>
      <c r="AM724" s="1024" t="str">
        <f t="shared" si="59"/>
        <v/>
      </c>
      <c r="AN724" s="1025"/>
      <c r="AO724" s="1026"/>
      <c r="AV724" s="37" t="str">
        <f t="shared" si="49"/>
        <v>N/A</v>
      </c>
      <c r="AY724" s="882">
        <f t="shared" si="60"/>
        <v>0</v>
      </c>
      <c r="AZ724" s="880">
        <f t="shared" si="61"/>
        <v>0</v>
      </c>
      <c r="BA724" s="881">
        <f t="shared" si="62"/>
        <v>0</v>
      </c>
      <c r="BB724" s="37"/>
      <c r="BC724" s="37"/>
      <c r="BD724" s="37"/>
      <c r="BE724" s="738">
        <f t="shared" si="63"/>
        <v>0</v>
      </c>
      <c r="BF724" s="742" t="str">
        <f t="shared" si="64"/>
        <v/>
      </c>
      <c r="BG724" s="743" t="str">
        <f t="shared" si="65"/>
        <v/>
      </c>
      <c r="BJ724" s="37"/>
      <c r="BK724" s="37"/>
      <c r="BL724" s="37"/>
      <c r="BM724" s="37"/>
      <c r="BN724" s="37"/>
      <c r="BO724" s="37"/>
      <c r="BP724" s="481" t="s">
        <v>868</v>
      </c>
      <c r="BQ724" s="480">
        <v>2652</v>
      </c>
      <c r="BR724" s="480">
        <v>2840</v>
      </c>
      <c r="BS724" s="480">
        <v>3410</v>
      </c>
      <c r="BT724" s="480">
        <v>3940</v>
      </c>
      <c r="BU724" s="480">
        <v>4394</v>
      </c>
      <c r="BV724" s="480">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27"/>
      <c r="C725" s="1028"/>
      <c r="D725" s="1028"/>
      <c r="E725" s="1028"/>
      <c r="F725" s="1029"/>
      <c r="G725" s="1030"/>
      <c r="H725" s="1031"/>
      <c r="I725" s="1031"/>
      <c r="J725" s="1032"/>
      <c r="K725" s="1033"/>
      <c r="L725" s="1034"/>
      <c r="M725" s="1034"/>
      <c r="N725" s="1035"/>
      <c r="O725" s="1036"/>
      <c r="P725" s="1037"/>
      <c r="Q725" s="1037"/>
      <c r="R725" s="1037"/>
      <c r="S725" s="1038"/>
      <c r="T725" s="1039">
        <f t="shared" si="57"/>
        <v>0</v>
      </c>
      <c r="U725" s="1040"/>
      <c r="V725" s="1040"/>
      <c r="W725" s="1040"/>
      <c r="X725" s="1041"/>
      <c r="Y725" s="1036"/>
      <c r="Z725" s="1037"/>
      <c r="AA725" s="1037"/>
      <c r="AB725" s="1038"/>
      <c r="AC725" s="1039">
        <f t="shared" si="58"/>
        <v>0</v>
      </c>
      <c r="AD725" s="1040"/>
      <c r="AE725" s="1040"/>
      <c r="AF725" s="1040"/>
      <c r="AG725" s="1041"/>
      <c r="AH725" s="1042"/>
      <c r="AI725" s="1043"/>
      <c r="AJ725" s="1043"/>
      <c r="AK725" s="1043"/>
      <c r="AL725" s="1044"/>
      <c r="AM725" s="1024" t="str">
        <f t="shared" si="59"/>
        <v/>
      </c>
      <c r="AN725" s="1025"/>
      <c r="AO725" s="1026"/>
      <c r="AV725" s="37" t="str">
        <f t="shared" si="49"/>
        <v>N/A</v>
      </c>
      <c r="AY725" s="882">
        <f t="shared" si="60"/>
        <v>0</v>
      </c>
      <c r="AZ725" s="880">
        <f t="shared" si="61"/>
        <v>0</v>
      </c>
      <c r="BA725" s="881">
        <f t="shared" si="62"/>
        <v>0</v>
      </c>
      <c r="BB725" s="37"/>
      <c r="BC725" s="37"/>
      <c r="BD725" s="37"/>
      <c r="BE725" s="738">
        <f t="shared" si="63"/>
        <v>0</v>
      </c>
      <c r="BF725" s="742" t="str">
        <f t="shared" si="64"/>
        <v/>
      </c>
      <c r="BG725" s="743" t="str">
        <f t="shared" si="65"/>
        <v/>
      </c>
      <c r="BJ725" s="37"/>
      <c r="BK725" s="37"/>
      <c r="BL725" s="37"/>
      <c r="BM725" s="37"/>
      <c r="BN725" s="37"/>
      <c r="BO725" s="37"/>
      <c r="BP725" s="481" t="s">
        <v>872</v>
      </c>
      <c r="BQ725" s="480">
        <v>3426</v>
      </c>
      <c r="BR725" s="480">
        <v>3672</v>
      </c>
      <c r="BS725" s="480">
        <v>4406</v>
      </c>
      <c r="BT725" s="480">
        <v>5090</v>
      </c>
      <c r="BU725" s="480">
        <v>5680</v>
      </c>
      <c r="BV725" s="480">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27"/>
      <c r="C726" s="1028"/>
      <c r="D726" s="1028"/>
      <c r="E726" s="1028"/>
      <c r="F726" s="1029"/>
      <c r="G726" s="1030"/>
      <c r="H726" s="1031"/>
      <c r="I726" s="1031"/>
      <c r="J726" s="1032"/>
      <c r="K726" s="1033"/>
      <c r="L726" s="1034"/>
      <c r="M726" s="1034"/>
      <c r="N726" s="1035"/>
      <c r="O726" s="1036"/>
      <c r="P726" s="1037"/>
      <c r="Q726" s="1037"/>
      <c r="R726" s="1037"/>
      <c r="S726" s="1038"/>
      <c r="T726" s="1039">
        <f t="shared" si="57"/>
        <v>0</v>
      </c>
      <c r="U726" s="1040"/>
      <c r="V726" s="1040"/>
      <c r="W726" s="1040"/>
      <c r="X726" s="1041"/>
      <c r="Y726" s="1036"/>
      <c r="Z726" s="1037"/>
      <c r="AA726" s="1037"/>
      <c r="AB726" s="1038"/>
      <c r="AC726" s="1039">
        <f t="shared" si="58"/>
        <v>0</v>
      </c>
      <c r="AD726" s="1040"/>
      <c r="AE726" s="1040"/>
      <c r="AF726" s="1040"/>
      <c r="AG726" s="1041"/>
      <c r="AH726" s="1042"/>
      <c r="AI726" s="1043"/>
      <c r="AJ726" s="1043"/>
      <c r="AK726" s="1043"/>
      <c r="AL726" s="1044"/>
      <c r="AM726" s="1024" t="str">
        <f t="shared" si="59"/>
        <v/>
      </c>
      <c r="AN726" s="1025"/>
      <c r="AO726" s="1026"/>
      <c r="AV726" s="37" t="str">
        <f t="shared" si="49"/>
        <v>N/A</v>
      </c>
      <c r="AY726" s="882">
        <f t="shared" si="60"/>
        <v>0</v>
      </c>
      <c r="AZ726" s="880">
        <f t="shared" si="61"/>
        <v>0</v>
      </c>
      <c r="BA726" s="881">
        <f t="shared" si="62"/>
        <v>0</v>
      </c>
      <c r="BB726" s="37"/>
      <c r="BC726" s="37"/>
      <c r="BD726" s="37"/>
      <c r="BE726" s="738">
        <f t="shared" si="63"/>
        <v>0</v>
      </c>
      <c r="BF726" s="742" t="str">
        <f t="shared" si="64"/>
        <v/>
      </c>
      <c r="BG726" s="743" t="str">
        <f t="shared" si="65"/>
        <v/>
      </c>
      <c r="BJ726" s="37"/>
      <c r="BK726" s="37"/>
      <c r="BL726" s="37"/>
      <c r="BM726" s="37"/>
      <c r="BN726" s="37"/>
      <c r="BO726" s="37"/>
      <c r="BP726" s="481" t="s">
        <v>877</v>
      </c>
      <c r="BQ726" s="480">
        <v>1686</v>
      </c>
      <c r="BR726" s="480">
        <v>1808</v>
      </c>
      <c r="BS726" s="480">
        <v>2170</v>
      </c>
      <c r="BT726" s="480">
        <v>2506</v>
      </c>
      <c r="BU726" s="480">
        <v>2796</v>
      </c>
      <c r="BV726" s="480">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27"/>
      <c r="C727" s="1028"/>
      <c r="D727" s="1028"/>
      <c r="E727" s="1028"/>
      <c r="F727" s="1029"/>
      <c r="G727" s="1030"/>
      <c r="H727" s="1031"/>
      <c r="I727" s="1031"/>
      <c r="J727" s="1032"/>
      <c r="K727" s="1033"/>
      <c r="L727" s="1034"/>
      <c r="M727" s="1034"/>
      <c r="N727" s="1035"/>
      <c r="O727" s="1036"/>
      <c r="P727" s="1037"/>
      <c r="Q727" s="1037"/>
      <c r="R727" s="1037"/>
      <c r="S727" s="1038"/>
      <c r="T727" s="1039">
        <f t="shared" si="57"/>
        <v>0</v>
      </c>
      <c r="U727" s="1040"/>
      <c r="V727" s="1040"/>
      <c r="W727" s="1040"/>
      <c r="X727" s="1041"/>
      <c r="Y727" s="1036"/>
      <c r="Z727" s="1037"/>
      <c r="AA727" s="1037"/>
      <c r="AB727" s="1038"/>
      <c r="AC727" s="1039">
        <f t="shared" si="58"/>
        <v>0</v>
      </c>
      <c r="AD727" s="1040"/>
      <c r="AE727" s="1040"/>
      <c r="AF727" s="1040"/>
      <c r="AG727" s="1041"/>
      <c r="AH727" s="1042"/>
      <c r="AI727" s="1043"/>
      <c r="AJ727" s="1043"/>
      <c r="AK727" s="1043"/>
      <c r="AL727" s="1044"/>
      <c r="AM727" s="1024" t="str">
        <f t="shared" si="59"/>
        <v/>
      </c>
      <c r="AN727" s="1025"/>
      <c r="AO727" s="1026"/>
      <c r="AV727" s="37" t="str">
        <f t="shared" si="49"/>
        <v>N/A</v>
      </c>
      <c r="AY727" s="882">
        <f t="shared" si="60"/>
        <v>0</v>
      </c>
      <c r="AZ727" s="880">
        <f t="shared" si="61"/>
        <v>0</v>
      </c>
      <c r="BA727" s="881">
        <f t="shared" si="62"/>
        <v>0</v>
      </c>
      <c r="BB727" s="37"/>
      <c r="BC727" s="37"/>
      <c r="BD727" s="37"/>
      <c r="BE727" s="738">
        <f t="shared" si="63"/>
        <v>0</v>
      </c>
      <c r="BF727" s="742" t="str">
        <f t="shared" si="64"/>
        <v/>
      </c>
      <c r="BG727" s="743" t="str">
        <f t="shared" si="65"/>
        <v/>
      </c>
      <c r="BJ727" s="37"/>
      <c r="BK727" s="37"/>
      <c r="BL727" s="37"/>
      <c r="BM727" s="37"/>
      <c r="BN727" s="37"/>
      <c r="BO727" s="37"/>
      <c r="BP727" s="481" t="s">
        <v>881</v>
      </c>
      <c r="BQ727" s="480">
        <v>2230</v>
      </c>
      <c r="BR727" s="480">
        <v>2388</v>
      </c>
      <c r="BS727" s="480">
        <v>2864</v>
      </c>
      <c r="BT727" s="480">
        <v>3310</v>
      </c>
      <c r="BU727" s="480">
        <v>3692</v>
      </c>
      <c r="BV727" s="480">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27"/>
      <c r="C728" s="1028"/>
      <c r="D728" s="1028"/>
      <c r="E728" s="1028"/>
      <c r="F728" s="1029"/>
      <c r="G728" s="1030"/>
      <c r="H728" s="1031"/>
      <c r="I728" s="1031"/>
      <c r="J728" s="1032"/>
      <c r="K728" s="1033"/>
      <c r="L728" s="1034"/>
      <c r="M728" s="1034"/>
      <c r="N728" s="1035"/>
      <c r="O728" s="1036"/>
      <c r="P728" s="1037"/>
      <c r="Q728" s="1037"/>
      <c r="R728" s="1037"/>
      <c r="S728" s="1038"/>
      <c r="T728" s="1039">
        <f t="shared" si="57"/>
        <v>0</v>
      </c>
      <c r="U728" s="1040"/>
      <c r="V728" s="1040"/>
      <c r="W728" s="1040"/>
      <c r="X728" s="1041"/>
      <c r="Y728" s="1036"/>
      <c r="Z728" s="1037"/>
      <c r="AA728" s="1037"/>
      <c r="AB728" s="1038"/>
      <c r="AC728" s="1039">
        <f t="shared" si="58"/>
        <v>0</v>
      </c>
      <c r="AD728" s="1040"/>
      <c r="AE728" s="1040"/>
      <c r="AF728" s="1040"/>
      <c r="AG728" s="1041"/>
      <c r="AH728" s="1042"/>
      <c r="AI728" s="1043"/>
      <c r="AJ728" s="1043"/>
      <c r="AK728" s="1043"/>
      <c r="AL728" s="1044"/>
      <c r="AM728" s="1024" t="str">
        <f t="shared" si="59"/>
        <v/>
      </c>
      <c r="AN728" s="1025"/>
      <c r="AO728" s="1026"/>
      <c r="AV728" s="37" t="str">
        <f t="shared" si="49"/>
        <v>N/A</v>
      </c>
      <c r="AY728" s="882">
        <f t="shared" si="60"/>
        <v>0</v>
      </c>
      <c r="AZ728" s="880">
        <f>IF($AY$730=0,"",AY728/$AY$730)</f>
        <v>0</v>
      </c>
      <c r="BA728" s="881">
        <f t="shared" si="62"/>
        <v>0</v>
      </c>
      <c r="BB728" s="37"/>
      <c r="BC728" s="37"/>
      <c r="BD728" s="37"/>
      <c r="BE728" s="738">
        <f t="shared" si="63"/>
        <v>0</v>
      </c>
      <c r="BF728" s="742" t="str">
        <f t="shared" si="64"/>
        <v/>
      </c>
      <c r="BG728" s="743" t="str">
        <f t="shared" si="65"/>
        <v/>
      </c>
      <c r="BJ728" s="37"/>
      <c r="BK728" s="37"/>
      <c r="BL728" s="37"/>
      <c r="BM728" s="37"/>
      <c r="BN728" s="37"/>
      <c r="BO728" s="37"/>
      <c r="BP728" s="481" t="s">
        <v>885</v>
      </c>
      <c r="BQ728" s="480">
        <v>3426</v>
      </c>
      <c r="BR728" s="480">
        <v>3672</v>
      </c>
      <c r="BS728" s="480">
        <v>4406</v>
      </c>
      <c r="BT728" s="480">
        <v>5090</v>
      </c>
      <c r="BU728" s="480">
        <v>5680</v>
      </c>
      <c r="BV728" s="480">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27"/>
      <c r="C729" s="1028"/>
      <c r="D729" s="1028"/>
      <c r="E729" s="1028"/>
      <c r="F729" s="1029"/>
      <c r="G729" s="1030"/>
      <c r="H729" s="1031"/>
      <c r="I729" s="1031"/>
      <c r="J729" s="1032"/>
      <c r="K729" s="1033"/>
      <c r="L729" s="1034"/>
      <c r="M729" s="1034"/>
      <c r="N729" s="1035"/>
      <c r="O729" s="1036"/>
      <c r="P729" s="1037"/>
      <c r="Q729" s="1037"/>
      <c r="R729" s="1037"/>
      <c r="S729" s="1038"/>
      <c r="T729" s="1039">
        <f t="shared" si="47"/>
        <v>0</v>
      </c>
      <c r="U729" s="1040"/>
      <c r="V729" s="1040"/>
      <c r="W729" s="1040"/>
      <c r="X729" s="1041"/>
      <c r="Y729" s="1036"/>
      <c r="Z729" s="1037"/>
      <c r="AA729" s="1037"/>
      <c r="AB729" s="1038"/>
      <c r="AC729" s="1039">
        <f t="shared" si="48"/>
        <v>0</v>
      </c>
      <c r="AD729" s="1040"/>
      <c r="AE729" s="1040"/>
      <c r="AF729" s="1040"/>
      <c r="AG729" s="1041"/>
      <c r="AH729" s="1042"/>
      <c r="AI729" s="1043"/>
      <c r="AJ729" s="1043"/>
      <c r="AK729" s="1043"/>
      <c r="AL729" s="1044"/>
      <c r="AM729" s="1024" t="str">
        <f>IF($AH729&gt;0,($AC729/$AV729), "")</f>
        <v/>
      </c>
      <c r="AN729" s="1025"/>
      <c r="AO729" s="1026"/>
      <c r="AV729" s="37" t="str">
        <f t="shared" si="49"/>
        <v>N/A</v>
      </c>
      <c r="AX729" s="37"/>
      <c r="AY729" s="883">
        <f>G729</f>
        <v>0</v>
      </c>
      <c r="AZ729" s="880">
        <f>IF($AY$730=0,"",AY729/$AY$730)</f>
        <v>0</v>
      </c>
      <c r="BA729" s="881">
        <f>IF(AZ729="","",AZ729*AH719)</f>
        <v>0</v>
      </c>
      <c r="BB729" s="37"/>
      <c r="BC729" s="37"/>
      <c r="BD729" s="37"/>
      <c r="BE729" s="741">
        <f>G729</f>
        <v>0</v>
      </c>
      <c r="BF729" s="742" t="str">
        <f>IF(BE729=0,"",BE729/$BE$730)</f>
        <v/>
      </c>
      <c r="BG729" s="743" t="str">
        <f>IF(BF729="","",BF729*AM719)</f>
        <v/>
      </c>
      <c r="BJ729" s="37"/>
      <c r="BK729" s="37"/>
      <c r="BL729" s="37"/>
      <c r="BM729" s="37"/>
      <c r="BN729" s="37"/>
      <c r="BO729" s="37"/>
      <c r="BP729" s="481" t="s">
        <v>890</v>
      </c>
      <c r="BQ729" s="480">
        <v>2846</v>
      </c>
      <c r="BR729" s="480">
        <v>3050</v>
      </c>
      <c r="BS729" s="480">
        <v>3660</v>
      </c>
      <c r="BT729" s="480">
        <v>4228</v>
      </c>
      <c r="BU729" s="480">
        <v>4716</v>
      </c>
      <c r="BV729" s="480">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050" t="s">
        <v>1395</v>
      </c>
      <c r="C730" s="1051"/>
      <c r="D730" s="1051"/>
      <c r="E730" s="1051"/>
      <c r="F730" s="1053"/>
      <c r="G730" s="1241">
        <f>SUM(G695:J729)</f>
        <v>22</v>
      </c>
      <c r="H730" s="1242"/>
      <c r="I730" s="1242"/>
      <c r="J730" s="1243"/>
      <c r="O730" s="350" t="s">
        <v>1396</v>
      </c>
      <c r="P730" s="146"/>
      <c r="Q730" s="146"/>
      <c r="R730" s="146"/>
      <c r="S730" s="729"/>
      <c r="T730" s="1039">
        <f>SUM(T695:X729)</f>
        <v>16500</v>
      </c>
      <c r="U730" s="1040"/>
      <c r="V730" s="1040"/>
      <c r="W730" s="1040"/>
      <c r="X730" s="1041"/>
      <c r="AC730" s="730" t="s">
        <v>1397</v>
      </c>
      <c r="AD730" s="731"/>
      <c r="AE730" s="731"/>
      <c r="AF730" s="731"/>
      <c r="AG730" s="732"/>
      <c r="AH730" s="1423">
        <f>BA730</f>
        <v>0.45454545454545453</v>
      </c>
      <c r="AI730" s="1424"/>
      <c r="AJ730" s="1424"/>
      <c r="AK730" s="1424"/>
      <c r="AL730" s="1425"/>
      <c r="AM730" s="1423">
        <f>IFERROR(BG730,0)</f>
        <v>0.45454545454545453</v>
      </c>
      <c r="AN730" s="1424"/>
      <c r="AO730" s="1425"/>
      <c r="AX730" s="55" t="s">
        <v>1398</v>
      </c>
      <c r="AY730" s="369">
        <f>SUM(AY695:AY729)</f>
        <v>22</v>
      </c>
      <c r="AZ730" s="370">
        <f>SUM(AZ695:AZ729)</f>
        <v>1</v>
      </c>
      <c r="BA730" s="370">
        <f>SUM(BA695:BA729)</f>
        <v>0.45454545454545453</v>
      </c>
      <c r="BB730" s="37"/>
      <c r="BC730" s="37"/>
      <c r="BD730" s="37"/>
      <c r="BE730" s="739">
        <f>SUM(BE695:BE729)</f>
        <v>22</v>
      </c>
      <c r="BF730" s="740">
        <f>SUM(BF695:BF729)</f>
        <v>1</v>
      </c>
      <c r="BG730" s="740">
        <f>SUM(BG695:BG729)</f>
        <v>0.45454545454545453</v>
      </c>
      <c r="BJ730" s="37"/>
      <c r="BK730" s="37"/>
      <c r="BL730" s="37"/>
      <c r="BM730" s="37"/>
      <c r="BN730" s="37"/>
      <c r="BO730" s="37"/>
      <c r="BP730" s="481" t="s">
        <v>896</v>
      </c>
      <c r="BQ730" s="480">
        <v>3226</v>
      </c>
      <c r="BR730" s="480">
        <v>3456</v>
      </c>
      <c r="BS730" s="480">
        <v>4146</v>
      </c>
      <c r="BT730" s="480">
        <v>4792</v>
      </c>
      <c r="BU730" s="480">
        <v>5344</v>
      </c>
      <c r="BV730" s="480">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057" t="s">
        <v>1399</v>
      </c>
      <c r="D731" s="1057"/>
      <c r="E731" s="1057"/>
      <c r="F731" s="1057"/>
      <c r="G731" s="1057"/>
      <c r="H731" s="1057"/>
      <c r="I731" s="1057"/>
      <c r="J731" s="1057"/>
      <c r="K731" s="1057"/>
      <c r="L731" s="1057"/>
      <c r="M731" s="1057"/>
      <c r="N731" s="1057"/>
      <c r="O731" s="1057"/>
      <c r="P731" s="1057"/>
      <c r="Q731" s="1057"/>
      <c r="R731" s="1057"/>
      <c r="S731" s="1057"/>
      <c r="T731" s="1057"/>
      <c r="U731" s="1057"/>
      <c r="V731" s="1057"/>
      <c r="W731" s="1057"/>
      <c r="X731" s="1057"/>
      <c r="Y731" s="1057"/>
      <c r="Z731" s="1057"/>
      <c r="AA731" s="1057"/>
      <c r="AB731" s="1057"/>
      <c r="AC731" s="1057"/>
      <c r="AD731" s="1057"/>
      <c r="AE731" s="1057"/>
      <c r="AF731" s="1057"/>
      <c r="AG731" s="1057"/>
      <c r="AH731" s="1057"/>
      <c r="AL731" s="37"/>
      <c r="AM731" s="37"/>
      <c r="BA731" s="37"/>
      <c r="BB731" s="37"/>
      <c r="BC731" s="37"/>
      <c r="BD731" s="37"/>
      <c r="BE731" s="37"/>
      <c r="BF731" s="37"/>
      <c r="BJ731" s="37"/>
      <c r="BK731" s="37"/>
      <c r="BL731" s="37"/>
      <c r="BM731" s="37"/>
      <c r="BN731" s="37"/>
      <c r="BO731" s="37"/>
      <c r="BP731" s="481" t="s">
        <v>901</v>
      </c>
      <c r="BQ731" s="480">
        <v>3170</v>
      </c>
      <c r="BR731" s="480">
        <v>3396</v>
      </c>
      <c r="BS731" s="480">
        <v>4074</v>
      </c>
      <c r="BT731" s="480">
        <v>4708</v>
      </c>
      <c r="BU731" s="480">
        <v>5252</v>
      </c>
      <c r="BV731" s="480">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057"/>
      <c r="D732" s="1057"/>
      <c r="E732" s="1057"/>
      <c r="F732" s="1057"/>
      <c r="G732" s="1057"/>
      <c r="H732" s="1057"/>
      <c r="I732" s="1057"/>
      <c r="J732" s="1057"/>
      <c r="K732" s="1057"/>
      <c r="L732" s="1057"/>
      <c r="M732" s="1057"/>
      <c r="N732" s="1057"/>
      <c r="O732" s="1057"/>
      <c r="P732" s="1057"/>
      <c r="Q732" s="1057"/>
      <c r="R732" s="1057"/>
      <c r="S732" s="1057"/>
      <c r="T732" s="1057"/>
      <c r="U732" s="1057"/>
      <c r="V732" s="1057"/>
      <c r="W732" s="1057"/>
      <c r="X732" s="1057"/>
      <c r="Y732" s="1057"/>
      <c r="Z732" s="1057"/>
      <c r="AA732" s="1057"/>
      <c r="AB732" s="1057"/>
      <c r="AC732" s="1057"/>
      <c r="AD732" s="1057"/>
      <c r="AE732" s="1057"/>
      <c r="AF732" s="1057"/>
      <c r="AG732" s="1057"/>
      <c r="AH732" s="1057"/>
      <c r="AL732" s="37"/>
      <c r="AM732" s="37"/>
      <c r="BA732" s="37"/>
      <c r="BB732" s="37"/>
      <c r="BC732" s="37"/>
      <c r="BD732" s="37"/>
      <c r="BE732" s="37"/>
      <c r="BF732" s="37"/>
      <c r="BJ732" s="37"/>
      <c r="BK732" s="37"/>
      <c r="BL732" s="37"/>
      <c r="BM732" s="37"/>
      <c r="BN732" s="37"/>
      <c r="BO732" s="37"/>
      <c r="BP732" s="481" t="s">
        <v>906</v>
      </c>
      <c r="BQ732" s="480">
        <v>1560</v>
      </c>
      <c r="BR732" s="480">
        <v>1670</v>
      </c>
      <c r="BS732" s="480">
        <v>2004</v>
      </c>
      <c r="BT732" s="480">
        <v>2316</v>
      </c>
      <c r="BU732" s="480">
        <v>2584</v>
      </c>
      <c r="BV732" s="480">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1400</v>
      </c>
      <c r="D733" s="806"/>
      <c r="E733" s="806"/>
      <c r="F733" s="806"/>
      <c r="G733" s="807"/>
      <c r="H733" s="807"/>
      <c r="I733" s="807"/>
      <c r="J733" s="807"/>
      <c r="K733" s="806"/>
      <c r="L733" s="806"/>
      <c r="M733" s="806"/>
      <c r="N733" s="806"/>
      <c r="O733" s="1185">
        <f>CQ628</f>
        <v>22</v>
      </c>
      <c r="P733" s="1185"/>
      <c r="Q733" s="1185"/>
      <c r="R733" s="1185"/>
      <c r="S733" s="808"/>
      <c r="T733" s="808"/>
      <c r="U733" s="232" t="s">
        <v>1401</v>
      </c>
      <c r="V733" s="806"/>
      <c r="W733" s="806"/>
      <c r="X733" s="806"/>
      <c r="Y733" s="807"/>
      <c r="Z733" s="807"/>
      <c r="AA733" s="807"/>
      <c r="AB733" s="807"/>
      <c r="AC733" s="806"/>
      <c r="AD733" s="806"/>
      <c r="AE733" s="806"/>
      <c r="AF733" s="806"/>
      <c r="AG733" s="1245"/>
      <c r="AH733" s="1245"/>
      <c r="AI733" s="1245"/>
      <c r="AJ733" s="1245"/>
      <c r="AK733" s="37"/>
      <c r="AL733" s="37"/>
      <c r="AM733" s="37"/>
      <c r="BA733" s="37"/>
      <c r="BB733" s="37"/>
      <c r="BC733" s="37"/>
      <c r="BD733" s="37"/>
      <c r="BE733" s="37"/>
      <c r="BF733" s="37"/>
      <c r="BJ733" s="37"/>
      <c r="BK733" s="37"/>
      <c r="BL733" s="37"/>
      <c r="BM733" s="37"/>
      <c r="BN733" s="37"/>
      <c r="BO733" s="37"/>
      <c r="BP733" s="481" t="s">
        <v>912</v>
      </c>
      <c r="BQ733" s="480">
        <v>1540</v>
      </c>
      <c r="BR733" s="480">
        <v>1650</v>
      </c>
      <c r="BS733" s="480">
        <v>1980</v>
      </c>
      <c r="BT733" s="480">
        <v>2286</v>
      </c>
      <c r="BU733" s="480">
        <v>2550</v>
      </c>
      <c r="BV733" s="480">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481" t="str">
        <f>IF(G730&lt;&gt;AG433,"! Total Low-Income Units in the Unit Mix Table above does not match the number of Total Low-Income Units on row #"&amp;TEXT(ROW(AG433),"#"),"")</f>
        <v/>
      </c>
      <c r="D734" s="1481"/>
      <c r="E734" s="1481"/>
      <c r="F734" s="1481"/>
      <c r="G734" s="1481"/>
      <c r="H734" s="1481"/>
      <c r="I734" s="1481"/>
      <c r="J734" s="1481"/>
      <c r="K734" s="1481"/>
      <c r="L734" s="1481"/>
      <c r="M734" s="1481"/>
      <c r="N734" s="1481"/>
      <c r="O734" s="1481"/>
      <c r="P734" s="1481"/>
      <c r="Q734" s="1481"/>
      <c r="R734" s="1481"/>
      <c r="S734" s="1481"/>
      <c r="T734" s="1481"/>
      <c r="U734" s="1481"/>
      <c r="V734" s="1481"/>
      <c r="W734" s="1481"/>
      <c r="X734" s="1481"/>
      <c r="Y734" s="1481"/>
      <c r="Z734" s="1481"/>
      <c r="AA734" s="1481"/>
      <c r="AB734" s="1481"/>
      <c r="AC734" s="1481"/>
      <c r="AD734" s="1481"/>
      <c r="AE734" s="1481"/>
      <c r="AF734" s="1481"/>
      <c r="AG734" s="1481"/>
      <c r="AH734" s="1481"/>
      <c r="AI734" s="1481"/>
      <c r="AJ734" s="1481"/>
      <c r="AK734" s="1481"/>
      <c r="AL734" s="1481"/>
      <c r="AM734" s="1481"/>
      <c r="AN734" s="1481"/>
      <c r="BA734" s="37"/>
      <c r="BB734" s="37"/>
      <c r="BC734" s="37"/>
      <c r="BD734" s="37"/>
      <c r="BE734" s="37"/>
      <c r="BF734" s="37"/>
      <c r="BJ734" s="37"/>
      <c r="BK734" s="37"/>
      <c r="BL734" s="37"/>
      <c r="BM734" s="37"/>
      <c r="BN734" s="37"/>
      <c r="BO734" s="37"/>
      <c r="BP734" s="481" t="s">
        <v>915</v>
      </c>
      <c r="BQ734" s="480">
        <v>1540</v>
      </c>
      <c r="BR734" s="480">
        <v>1650</v>
      </c>
      <c r="BS734" s="480">
        <v>1980</v>
      </c>
      <c r="BT734" s="480">
        <v>2286</v>
      </c>
      <c r="BU734" s="480">
        <v>2550</v>
      </c>
      <c r="BV734" s="480">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4"/>
      <c r="C735" s="1481"/>
      <c r="D735" s="1481"/>
      <c r="E735" s="1481"/>
      <c r="F735" s="1481"/>
      <c r="G735" s="1481"/>
      <c r="H735" s="1481"/>
      <c r="I735" s="1481"/>
      <c r="J735" s="1481"/>
      <c r="K735" s="1481"/>
      <c r="L735" s="1481"/>
      <c r="M735" s="1481"/>
      <c r="N735" s="1481"/>
      <c r="O735" s="1481"/>
      <c r="P735" s="1481"/>
      <c r="Q735" s="1481"/>
      <c r="R735" s="1481"/>
      <c r="S735" s="1481"/>
      <c r="T735" s="1481"/>
      <c r="U735" s="1481"/>
      <c r="V735" s="1481"/>
      <c r="W735" s="1481"/>
      <c r="X735" s="1481"/>
      <c r="Y735" s="1481"/>
      <c r="Z735" s="1481"/>
      <c r="AA735" s="1481"/>
      <c r="AB735" s="1481"/>
      <c r="AC735" s="1481"/>
      <c r="AD735" s="1481"/>
      <c r="AE735" s="1481"/>
      <c r="AF735" s="1481"/>
      <c r="AG735" s="1481"/>
      <c r="AH735" s="1481"/>
      <c r="AI735" s="1481"/>
      <c r="AJ735" s="1481"/>
      <c r="AK735" s="1481"/>
      <c r="AL735" s="1481"/>
      <c r="AM735" s="1481"/>
      <c r="AN735" s="1481"/>
      <c r="BA735" s="37"/>
      <c r="BB735" s="37"/>
      <c r="BC735" s="37"/>
      <c r="BD735" s="37"/>
      <c r="BE735" s="37"/>
      <c r="BF735" s="37"/>
      <c r="BJ735" s="37"/>
      <c r="BK735" s="37"/>
      <c r="BL735" s="37"/>
      <c r="BM735" s="37"/>
      <c r="BN735" s="37"/>
      <c r="BO735" s="37"/>
      <c r="BP735" s="481" t="s">
        <v>920</v>
      </c>
      <c r="BQ735" s="480">
        <v>2202</v>
      </c>
      <c r="BR735" s="480">
        <v>2360</v>
      </c>
      <c r="BS735" s="480">
        <v>2832</v>
      </c>
      <c r="BT735" s="480">
        <v>3270</v>
      </c>
      <c r="BU735" s="480">
        <v>3650</v>
      </c>
      <c r="BV735" s="480">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09" t="s">
        <v>1402</v>
      </c>
      <c r="C736" s="405"/>
      <c r="D736" s="405"/>
      <c r="E736" s="405"/>
      <c r="F736" s="405"/>
      <c r="G736" s="406"/>
      <c r="H736" s="406"/>
      <c r="I736" s="406"/>
      <c r="J736" s="406"/>
      <c r="K736" s="405"/>
      <c r="L736" s="405"/>
      <c r="M736" s="405"/>
      <c r="N736" s="405"/>
      <c r="O736" s="405"/>
      <c r="P736" s="327"/>
      <c r="Q736" s="327"/>
      <c r="R736" s="327"/>
      <c r="S736" s="327"/>
      <c r="T736" s="327"/>
      <c r="U736" s="295"/>
      <c r="V736" s="295"/>
      <c r="W736" s="295"/>
      <c r="X736" s="295"/>
      <c r="Y736" s="405"/>
      <c r="Z736" s="1429" t="s">
        <v>325</v>
      </c>
      <c r="AA736" s="1429"/>
      <c r="AB736" s="1429"/>
      <c r="AF736" s="295"/>
      <c r="AG736" s="307"/>
      <c r="AH736" s="307"/>
      <c r="AL736" s="37"/>
      <c r="AM736" s="37"/>
      <c r="BA736" s="37"/>
      <c r="BB736" s="37"/>
      <c r="BC736" s="37"/>
      <c r="BD736" s="37"/>
      <c r="BE736" s="37"/>
      <c r="BF736" s="37"/>
      <c r="BJ736" s="37"/>
      <c r="BK736" s="37"/>
      <c r="BL736" s="37"/>
      <c r="BM736" s="37"/>
      <c r="BN736" s="37"/>
      <c r="BO736" s="37"/>
      <c r="BP736" s="481" t="s">
        <v>925</v>
      </c>
      <c r="BQ736" s="480">
        <v>2422</v>
      </c>
      <c r="BR736" s="480">
        <v>2594</v>
      </c>
      <c r="BS736" s="480">
        <v>3112</v>
      </c>
      <c r="BT736" s="480">
        <v>3596</v>
      </c>
      <c r="BU736" s="480">
        <v>4012</v>
      </c>
      <c r="BV736" s="480">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31" t="s">
        <v>1403</v>
      </c>
      <c r="C737" s="931"/>
      <c r="D737" s="931"/>
      <c r="E737" s="931"/>
      <c r="F737" s="931"/>
      <c r="G737" s="931"/>
      <c r="H737" s="931"/>
      <c r="I737" s="931"/>
      <c r="J737" s="931"/>
      <c r="K737" s="931"/>
      <c r="L737" s="931"/>
      <c r="M737" s="931"/>
      <c r="N737" s="931"/>
      <c r="O737" s="931"/>
      <c r="P737" s="931"/>
      <c r="Q737" s="931"/>
      <c r="R737" s="931"/>
      <c r="S737" s="931"/>
      <c r="T737" s="931"/>
      <c r="U737" s="931"/>
      <c r="V737" s="931"/>
      <c r="W737" s="931"/>
      <c r="X737" s="931"/>
      <c r="Y737" s="931"/>
      <c r="Z737" s="931"/>
      <c r="AA737" s="931"/>
      <c r="AB737" s="931"/>
      <c r="AC737" s="931"/>
      <c r="AD737" s="931"/>
      <c r="AE737" s="931"/>
      <c r="AF737" s="931"/>
      <c r="AG737" s="931"/>
      <c r="AH737" s="931"/>
      <c r="AI737" s="931"/>
      <c r="AJ737" s="931"/>
      <c r="AK737" s="931"/>
      <c r="AL737" s="931"/>
      <c r="AM737" s="37"/>
      <c r="BA737" s="37"/>
      <c r="BB737" s="37"/>
      <c r="BC737" s="37"/>
      <c r="BD737" s="37"/>
      <c r="BE737" s="37"/>
      <c r="BF737" s="37"/>
      <c r="BJ737" s="37"/>
      <c r="BK737" s="37"/>
      <c r="BL737" s="37"/>
      <c r="BM737" s="37"/>
      <c r="BN737" s="37"/>
      <c r="BO737" s="37"/>
      <c r="BP737" s="481" t="s">
        <v>928</v>
      </c>
      <c r="BQ737" s="480">
        <v>1594</v>
      </c>
      <c r="BR737" s="480">
        <v>1708</v>
      </c>
      <c r="BS737" s="480">
        <v>2050</v>
      </c>
      <c r="BT737" s="480">
        <v>2368</v>
      </c>
      <c r="BU737" s="480">
        <v>2642</v>
      </c>
      <c r="BV737" s="480">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31"/>
      <c r="C738" s="931"/>
      <c r="D738" s="931"/>
      <c r="E738" s="931"/>
      <c r="F738" s="931"/>
      <c r="G738" s="931"/>
      <c r="H738" s="931"/>
      <c r="I738" s="931"/>
      <c r="J738" s="931"/>
      <c r="K738" s="931"/>
      <c r="L738" s="931"/>
      <c r="M738" s="931"/>
      <c r="N738" s="931"/>
      <c r="O738" s="931"/>
      <c r="P738" s="931"/>
      <c r="Q738" s="931"/>
      <c r="R738" s="931"/>
      <c r="S738" s="931"/>
      <c r="T738" s="931"/>
      <c r="U738" s="931"/>
      <c r="V738" s="931"/>
      <c r="W738" s="931"/>
      <c r="X738" s="931"/>
      <c r="Y738" s="931"/>
      <c r="Z738" s="931"/>
      <c r="AA738" s="931"/>
      <c r="AB738" s="931"/>
      <c r="AC738" s="931"/>
      <c r="AD738" s="931"/>
      <c r="AE738" s="931"/>
      <c r="AF738" s="931"/>
      <c r="AG738" s="931"/>
      <c r="AH738" s="931"/>
      <c r="AI738" s="931"/>
      <c r="AJ738" s="931"/>
      <c r="AK738" s="931"/>
      <c r="AL738" s="931"/>
      <c r="AM738" s="37"/>
      <c r="BE738" s="37"/>
      <c r="BF738" s="37"/>
      <c r="BJ738" s="37"/>
      <c r="BK738" s="37"/>
      <c r="BL738" s="37"/>
      <c r="BM738" s="37"/>
      <c r="BN738" s="37"/>
      <c r="BO738" s="37"/>
      <c r="BP738" s="481" t="s">
        <v>933</v>
      </c>
      <c r="BQ738" s="480">
        <v>1540</v>
      </c>
      <c r="BR738" s="480">
        <v>1650</v>
      </c>
      <c r="BS738" s="480">
        <v>1980</v>
      </c>
      <c r="BT738" s="480">
        <v>2286</v>
      </c>
      <c r="BU738" s="480">
        <v>2550</v>
      </c>
      <c r="BV738" s="480">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826</v>
      </c>
      <c r="B739" s="55"/>
      <c r="C739" s="56" t="s">
        <v>1404</v>
      </c>
      <c r="D739" s="804"/>
      <c r="E739" s="804"/>
      <c r="F739" s="804"/>
      <c r="G739" s="804"/>
      <c r="H739" s="804"/>
      <c r="I739" s="804"/>
      <c r="J739" s="804"/>
      <c r="K739" s="804"/>
      <c r="L739" s="804"/>
      <c r="M739" s="804"/>
      <c r="N739" s="804"/>
      <c r="O739" s="804"/>
      <c r="P739" s="804"/>
      <c r="Q739" s="804"/>
      <c r="R739" s="804"/>
      <c r="S739" s="804"/>
      <c r="T739" s="804"/>
      <c r="U739" s="804"/>
      <c r="V739" s="804"/>
      <c r="W739" s="804"/>
      <c r="X739" s="804"/>
      <c r="Y739" s="804"/>
      <c r="Z739" s="804"/>
      <c r="AA739" s="804"/>
      <c r="AB739" s="804"/>
      <c r="AC739" s="804"/>
      <c r="AD739" s="804"/>
      <c r="AE739" s="804"/>
      <c r="AF739" s="804"/>
      <c r="AG739" s="804"/>
      <c r="AH739" s="804"/>
      <c r="AI739" s="804"/>
      <c r="AJ739" s="804"/>
      <c r="AK739" s="804"/>
      <c r="AM739" s="37"/>
      <c r="AT739" s="37"/>
      <c r="AU739" s="37"/>
      <c r="AV739" s="37"/>
      <c r="AW739" s="37"/>
      <c r="AX739" s="37"/>
      <c r="AY739" s="37"/>
      <c r="AZ739" s="37"/>
      <c r="BA739" s="37"/>
      <c r="BB739" s="37"/>
      <c r="BC739" s="37"/>
      <c r="BD739" s="37"/>
      <c r="BE739" s="37"/>
      <c r="BF739" s="37"/>
      <c r="BJ739" s="37"/>
      <c r="BK739" s="37"/>
      <c r="BL739" s="37"/>
      <c r="BM739" s="37"/>
      <c r="BN739" s="37"/>
      <c r="BO739" s="37"/>
      <c r="BP739" s="481" t="s">
        <v>937</v>
      </c>
      <c r="BQ739" s="480">
        <v>1540</v>
      </c>
      <c r="BR739" s="480">
        <v>1650</v>
      </c>
      <c r="BS739" s="480">
        <v>1980</v>
      </c>
      <c r="BT739" s="480">
        <v>2286</v>
      </c>
      <c r="BU739" s="480">
        <v>2550</v>
      </c>
      <c r="BV739" s="480">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31" t="s">
        <v>1405</v>
      </c>
      <c r="D740" s="931"/>
      <c r="E740" s="931"/>
      <c r="F740" s="931"/>
      <c r="G740" s="931"/>
      <c r="H740" s="931"/>
      <c r="I740" s="931"/>
      <c r="J740" s="931"/>
      <c r="K740" s="931"/>
      <c r="L740" s="931"/>
      <c r="M740" s="931"/>
      <c r="N740" s="931"/>
      <c r="O740" s="931"/>
      <c r="P740" s="931"/>
      <c r="Q740" s="931"/>
      <c r="R740" s="931"/>
      <c r="S740" s="931"/>
      <c r="T740" s="931"/>
      <c r="U740" s="931"/>
      <c r="V740" s="931"/>
      <c r="W740" s="931"/>
      <c r="X740" s="931"/>
      <c r="Y740" s="931"/>
      <c r="Z740" s="931"/>
      <c r="AA740" s="931"/>
      <c r="AB740" s="931"/>
      <c r="AC740" s="931"/>
      <c r="AD740" s="931"/>
      <c r="AE740" s="931"/>
      <c r="AF740" s="931"/>
      <c r="AG740" s="931"/>
      <c r="AH740" s="931"/>
      <c r="AI740" s="931"/>
      <c r="AJ740" s="931"/>
      <c r="AK740" s="931"/>
      <c r="AL740" s="931"/>
      <c r="AM740" s="931"/>
      <c r="AT740" s="37"/>
      <c r="AU740" s="37"/>
      <c r="AV740" s="37"/>
      <c r="AW740" s="37"/>
      <c r="AX740" s="37"/>
      <c r="AY740" s="37"/>
      <c r="AZ740" s="37"/>
      <c r="BA740" s="37"/>
      <c r="BB740" s="37"/>
      <c r="BC740" s="37"/>
      <c r="BD740" s="37"/>
      <c r="BE740" s="37"/>
      <c r="BF740" s="37"/>
      <c r="BJ740" s="37"/>
      <c r="BK740" s="37"/>
      <c r="BL740" s="37"/>
      <c r="BM740" s="37"/>
      <c r="BN740" s="37"/>
      <c r="BO740" s="37"/>
      <c r="BP740" s="481" t="s">
        <v>940</v>
      </c>
      <c r="BQ740" s="480">
        <v>1540</v>
      </c>
      <c r="BR740" s="480">
        <v>1650</v>
      </c>
      <c r="BS740" s="480">
        <v>1980</v>
      </c>
      <c r="BT740" s="480">
        <v>2286</v>
      </c>
      <c r="BU740" s="480">
        <v>2550</v>
      </c>
      <c r="BV740" s="480">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31"/>
      <c r="D741" s="931"/>
      <c r="E741" s="931"/>
      <c r="F741" s="931"/>
      <c r="G741" s="931"/>
      <c r="H741" s="931"/>
      <c r="I741" s="931"/>
      <c r="J741" s="931"/>
      <c r="K741" s="931"/>
      <c r="L741" s="931"/>
      <c r="M741" s="931"/>
      <c r="N741" s="931"/>
      <c r="O741" s="931"/>
      <c r="P741" s="931"/>
      <c r="Q741" s="931"/>
      <c r="R741" s="931"/>
      <c r="S741" s="931"/>
      <c r="T741" s="931"/>
      <c r="U741" s="931"/>
      <c r="V741" s="931"/>
      <c r="W741" s="931"/>
      <c r="X741" s="931"/>
      <c r="Y741" s="931"/>
      <c r="Z741" s="931"/>
      <c r="AA741" s="931"/>
      <c r="AB741" s="931"/>
      <c r="AC741" s="931"/>
      <c r="AD741" s="931"/>
      <c r="AE741" s="931"/>
      <c r="AF741" s="931"/>
      <c r="AG741" s="931"/>
      <c r="AH741" s="931"/>
      <c r="AI741" s="931"/>
      <c r="AJ741" s="931"/>
      <c r="AK741" s="931"/>
      <c r="AL741" s="931"/>
      <c r="AM741" s="931"/>
      <c r="AT741" s="37"/>
      <c r="AU741" s="37"/>
      <c r="AV741" s="37"/>
      <c r="AW741" s="37"/>
      <c r="AX741" s="37"/>
      <c r="AY741" s="37"/>
      <c r="AZ741" s="37"/>
      <c r="BA741" s="37"/>
      <c r="BB741" s="37"/>
      <c r="BC741" s="37"/>
      <c r="BD741" s="37"/>
      <c r="BE741" s="37"/>
      <c r="BF741" s="37"/>
      <c r="BJ741" s="37"/>
      <c r="BK741" s="37"/>
      <c r="BL741" s="37"/>
      <c r="BM741" s="37"/>
      <c r="BN741" s="37"/>
      <c r="BO741" s="37"/>
      <c r="BP741" s="481" t="s">
        <v>944</v>
      </c>
      <c r="BQ741" s="480">
        <v>1540</v>
      </c>
      <c r="BR741" s="480">
        <v>1650</v>
      </c>
      <c r="BS741" s="480">
        <v>1980</v>
      </c>
      <c r="BT741" s="480">
        <v>2286</v>
      </c>
      <c r="BU741" s="480">
        <v>2550</v>
      </c>
      <c r="BV741" s="480">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31"/>
      <c r="D742" s="931"/>
      <c r="E742" s="931"/>
      <c r="F742" s="931"/>
      <c r="G742" s="931"/>
      <c r="H742" s="931"/>
      <c r="I742" s="931"/>
      <c r="J742" s="931"/>
      <c r="K742" s="931"/>
      <c r="L742" s="931"/>
      <c r="M742" s="931"/>
      <c r="N742" s="931"/>
      <c r="O742" s="931"/>
      <c r="P742" s="931"/>
      <c r="Q742" s="931"/>
      <c r="R742" s="931"/>
      <c r="S742" s="931"/>
      <c r="T742" s="931"/>
      <c r="U742" s="931"/>
      <c r="V742" s="931"/>
      <c r="W742" s="931"/>
      <c r="X742" s="931"/>
      <c r="Y742" s="931"/>
      <c r="Z742" s="931"/>
      <c r="AA742" s="931"/>
      <c r="AB742" s="931"/>
      <c r="AC742" s="931"/>
      <c r="AD742" s="931"/>
      <c r="AE742" s="931"/>
      <c r="AF742" s="931"/>
      <c r="AG742" s="931"/>
      <c r="AH742" s="931"/>
      <c r="AI742" s="931"/>
      <c r="AJ742" s="931"/>
      <c r="AK742" s="931"/>
      <c r="AL742" s="931"/>
      <c r="AM742" s="931"/>
      <c r="AT742" s="37"/>
      <c r="AU742" s="37"/>
      <c r="AV742" s="37"/>
      <c r="AW742" s="37"/>
      <c r="AX742" s="37"/>
      <c r="AY742" s="37"/>
      <c r="AZ742" s="37"/>
      <c r="BA742" s="37"/>
      <c r="BB742" s="37"/>
      <c r="BC742" s="37"/>
      <c r="BD742" s="37"/>
      <c r="BE742" s="37"/>
      <c r="BF742" s="37"/>
      <c r="BJ742" s="37"/>
      <c r="BK742" s="37"/>
      <c r="BL742" s="37"/>
      <c r="BM742" s="37"/>
      <c r="BN742" s="37"/>
      <c r="BO742" s="37"/>
      <c r="BP742" s="481" t="s">
        <v>946</v>
      </c>
      <c r="BQ742" s="480">
        <v>1694</v>
      </c>
      <c r="BR742" s="480">
        <v>1816</v>
      </c>
      <c r="BS742" s="480">
        <v>2180</v>
      </c>
      <c r="BT742" s="480">
        <v>2520</v>
      </c>
      <c r="BU742" s="480">
        <v>2810</v>
      </c>
      <c r="BV742" s="480">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31"/>
      <c r="D743" s="931"/>
      <c r="E743" s="931"/>
      <c r="F743" s="931"/>
      <c r="G743" s="931"/>
      <c r="H743" s="931"/>
      <c r="I743" s="931"/>
      <c r="J743" s="931"/>
      <c r="K743" s="931"/>
      <c r="L743" s="931"/>
      <c r="M743" s="931"/>
      <c r="N743" s="931"/>
      <c r="O743" s="931"/>
      <c r="P743" s="931"/>
      <c r="Q743" s="931"/>
      <c r="R743" s="931"/>
      <c r="S743" s="931"/>
      <c r="T743" s="931"/>
      <c r="U743" s="931"/>
      <c r="V743" s="931"/>
      <c r="W743" s="931"/>
      <c r="X743" s="931"/>
      <c r="Y743" s="931"/>
      <c r="Z743" s="931"/>
      <c r="AA743" s="931"/>
      <c r="AB743" s="931"/>
      <c r="AC743" s="931"/>
      <c r="AD743" s="931"/>
      <c r="AE743" s="931"/>
      <c r="AF743" s="931"/>
      <c r="AG743" s="931"/>
      <c r="AH743" s="931"/>
      <c r="AI743" s="931"/>
      <c r="AJ743" s="931"/>
      <c r="AK743" s="931"/>
      <c r="AL743" s="931"/>
      <c r="AM743" s="931"/>
      <c r="AT743" s="37"/>
      <c r="AU743" s="37"/>
      <c r="AV743" s="37"/>
      <c r="AW743" s="37"/>
      <c r="AX743" s="37"/>
      <c r="AY743" s="37"/>
      <c r="AZ743" s="37"/>
      <c r="BA743" s="37"/>
      <c r="BB743" s="37"/>
      <c r="BC743" s="37"/>
      <c r="BD743" s="37"/>
      <c r="BE743" s="37"/>
      <c r="BF743" s="37"/>
      <c r="BJ743" s="37"/>
      <c r="BK743" s="37"/>
      <c r="BL743" s="37"/>
      <c r="BM743" s="37"/>
      <c r="BN743" s="37"/>
      <c r="BO743" s="37"/>
      <c r="BP743" s="481" t="s">
        <v>948</v>
      </c>
      <c r="BQ743" s="480">
        <v>2462</v>
      </c>
      <c r="BR743" s="480">
        <v>2638</v>
      </c>
      <c r="BS743" s="480">
        <v>3166</v>
      </c>
      <c r="BT743" s="480">
        <v>3658</v>
      </c>
      <c r="BU743" s="480">
        <v>4082</v>
      </c>
      <c r="BV743" s="480">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31"/>
      <c r="D744" s="931"/>
      <c r="E744" s="931"/>
      <c r="F744" s="931"/>
      <c r="G744" s="931"/>
      <c r="H744" s="931"/>
      <c r="I744" s="931"/>
      <c r="J744" s="931"/>
      <c r="K744" s="931"/>
      <c r="L744" s="931"/>
      <c r="M744" s="931"/>
      <c r="N744" s="931"/>
      <c r="O744" s="931"/>
      <c r="P744" s="931"/>
      <c r="Q744" s="931"/>
      <c r="R744" s="931"/>
      <c r="S744" s="931"/>
      <c r="T744" s="931"/>
      <c r="U744" s="931"/>
      <c r="V744" s="931"/>
      <c r="W744" s="931"/>
      <c r="X744" s="931"/>
      <c r="Y744" s="931"/>
      <c r="Z744" s="931"/>
      <c r="AA744" s="931"/>
      <c r="AB744" s="931"/>
      <c r="AC744" s="931"/>
      <c r="AD744" s="931"/>
      <c r="AE744" s="931"/>
      <c r="AF744" s="931"/>
      <c r="AG744" s="931"/>
      <c r="AH744" s="931"/>
      <c r="AI744" s="931"/>
      <c r="AJ744" s="931"/>
      <c r="AK744" s="931"/>
      <c r="AL744" s="931"/>
      <c r="AM744" s="931"/>
      <c r="AT744" s="37"/>
      <c r="AU744" s="37"/>
      <c r="AV744" s="37"/>
      <c r="AW744" s="37"/>
      <c r="AX744" s="37"/>
      <c r="AY744" s="37"/>
      <c r="AZ744" s="37"/>
      <c r="BA744" s="37"/>
      <c r="BB744" s="37"/>
      <c r="BC744" s="37"/>
      <c r="BD744" s="37"/>
      <c r="BE744" s="37"/>
      <c r="BF744" s="37"/>
      <c r="BJ744" s="37"/>
      <c r="BK744" s="37"/>
      <c r="BL744" s="37"/>
      <c r="BM744" s="37"/>
      <c r="BN744" s="37"/>
      <c r="BO744" s="37"/>
      <c r="BP744" s="481" t="s">
        <v>954</v>
      </c>
      <c r="BQ744" s="480">
        <v>2020</v>
      </c>
      <c r="BR744" s="480">
        <v>2162</v>
      </c>
      <c r="BS744" s="480">
        <v>2594</v>
      </c>
      <c r="BT744" s="480">
        <v>2998</v>
      </c>
      <c r="BU744" s="480">
        <v>3344</v>
      </c>
      <c r="BV744" s="480">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31"/>
      <c r="D745" s="931"/>
      <c r="E745" s="931"/>
      <c r="F745" s="931"/>
      <c r="G745" s="931"/>
      <c r="H745" s="931"/>
      <c r="I745" s="931"/>
      <c r="J745" s="931"/>
      <c r="K745" s="931"/>
      <c r="L745" s="931"/>
      <c r="M745" s="931"/>
      <c r="N745" s="931"/>
      <c r="O745" s="931"/>
      <c r="P745" s="931"/>
      <c r="Q745" s="931"/>
      <c r="R745" s="931"/>
      <c r="S745" s="931"/>
      <c r="T745" s="931"/>
      <c r="U745" s="931"/>
      <c r="V745" s="931"/>
      <c r="W745" s="931"/>
      <c r="X745" s="931"/>
      <c r="Y745" s="931"/>
      <c r="Z745" s="931"/>
      <c r="AA745" s="931"/>
      <c r="AB745" s="931"/>
      <c r="AC745" s="931"/>
      <c r="AD745" s="931"/>
      <c r="AE745" s="931"/>
      <c r="AF745" s="931"/>
      <c r="AG745" s="931"/>
      <c r="AH745" s="931"/>
      <c r="AI745" s="931"/>
      <c r="AJ745" s="931"/>
      <c r="AK745" s="931"/>
      <c r="AL745" s="931"/>
      <c r="AM745" s="931"/>
      <c r="AT745" s="37"/>
      <c r="AU745" s="37"/>
      <c r="AV745" s="37"/>
      <c r="AW745" s="37"/>
      <c r="AX745" s="37"/>
      <c r="AY745" s="37"/>
      <c r="AZ745" s="37"/>
      <c r="BA745" s="37"/>
      <c r="BB745" s="37"/>
      <c r="BC745" s="37"/>
      <c r="BD745" s="37"/>
      <c r="BE745" s="37"/>
      <c r="BF745" s="37"/>
      <c r="BJ745" s="37"/>
      <c r="BK745" s="37"/>
      <c r="BL745" s="37"/>
      <c r="BM745" s="37"/>
      <c r="BN745" s="37"/>
      <c r="BO745" s="37"/>
      <c r="BP745" s="481" t="s">
        <v>958</v>
      </c>
      <c r="BQ745" s="480">
        <v>1540</v>
      </c>
      <c r="BR745" s="480">
        <v>1650</v>
      </c>
      <c r="BS745" s="480">
        <v>1980</v>
      </c>
      <c r="BT745" s="480">
        <v>2286</v>
      </c>
      <c r="BU745" s="480">
        <v>2550</v>
      </c>
      <c r="BV745" s="480">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31"/>
      <c r="D746" s="931"/>
      <c r="E746" s="931"/>
      <c r="F746" s="931"/>
      <c r="G746" s="931"/>
      <c r="H746" s="931"/>
      <c r="I746" s="931"/>
      <c r="J746" s="931"/>
      <c r="K746" s="931"/>
      <c r="L746" s="931"/>
      <c r="M746" s="931"/>
      <c r="N746" s="931"/>
      <c r="O746" s="931"/>
      <c r="P746" s="931"/>
      <c r="Q746" s="931"/>
      <c r="R746" s="931"/>
      <c r="S746" s="931"/>
      <c r="T746" s="931"/>
      <c r="U746" s="931"/>
      <c r="V746" s="931"/>
      <c r="W746" s="931"/>
      <c r="X746" s="931"/>
      <c r="Y746" s="931"/>
      <c r="Z746" s="931"/>
      <c r="AA746" s="931"/>
      <c r="AB746" s="931"/>
      <c r="AC746" s="931"/>
      <c r="AD746" s="931"/>
      <c r="AE746" s="931"/>
      <c r="AF746" s="931"/>
      <c r="AG746" s="931"/>
      <c r="AH746" s="931"/>
      <c r="AI746" s="931"/>
      <c r="AJ746" s="931"/>
      <c r="AK746" s="931"/>
      <c r="AL746" s="931"/>
      <c r="AM746" s="931"/>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31"/>
      <c r="D747" s="931"/>
      <c r="E747" s="931"/>
      <c r="F747" s="931"/>
      <c r="G747" s="931"/>
      <c r="H747" s="931"/>
      <c r="I747" s="931"/>
      <c r="J747" s="931"/>
      <c r="K747" s="931"/>
      <c r="L747" s="931"/>
      <c r="M747" s="931"/>
      <c r="N747" s="931"/>
      <c r="O747" s="931"/>
      <c r="P747" s="931"/>
      <c r="Q747" s="931"/>
      <c r="R747" s="931"/>
      <c r="S747" s="931"/>
      <c r="T747" s="931"/>
      <c r="U747" s="931"/>
      <c r="V747" s="931"/>
      <c r="W747" s="931"/>
      <c r="X747" s="931"/>
      <c r="Y747" s="931"/>
      <c r="Z747" s="931"/>
      <c r="AA747" s="931"/>
      <c r="AB747" s="931"/>
      <c r="AC747" s="931"/>
      <c r="AD747" s="931"/>
      <c r="AE747" s="931"/>
      <c r="AF747" s="931"/>
      <c r="AG747" s="931"/>
      <c r="AH747" s="931"/>
      <c r="AI747" s="931"/>
      <c r="AJ747" s="931"/>
      <c r="AK747" s="931"/>
      <c r="AL747" s="931"/>
      <c r="AM747" s="931"/>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4"/>
      <c r="BQ747" s="267"/>
      <c r="BR747" s="884"/>
      <c r="BS747" s="884"/>
      <c r="BT747" s="884"/>
      <c r="BU747" s="884"/>
      <c r="BV747" s="884"/>
      <c r="BW747" s="884"/>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208" t="s">
        <v>1380</v>
      </c>
      <c r="K748" s="1209"/>
      <c r="L748" s="1209"/>
      <c r="M748" s="1209"/>
      <c r="N748" s="1210"/>
      <c r="O748" s="1170" t="s">
        <v>1381</v>
      </c>
      <c r="P748" s="1170"/>
      <c r="Q748" s="1170"/>
      <c r="R748" s="1170"/>
      <c r="S748" s="1170"/>
      <c r="T748" s="1382" t="s">
        <v>1382</v>
      </c>
      <c r="U748" s="1383"/>
      <c r="V748" s="1383"/>
      <c r="W748" s="1384"/>
      <c r="X748" s="1208" t="s">
        <v>1383</v>
      </c>
      <c r="Y748" s="1209"/>
      <c r="Z748" s="1209"/>
      <c r="AA748" s="1209"/>
      <c r="AB748" s="1210"/>
      <c r="AC748" s="1208" t="s">
        <v>1384</v>
      </c>
      <c r="AD748" s="1209"/>
      <c r="AE748" s="1209"/>
      <c r="AF748" s="1209"/>
      <c r="AG748" s="1210"/>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211"/>
      <c r="K749" s="1212"/>
      <c r="L749" s="1212"/>
      <c r="M749" s="1212"/>
      <c r="N749" s="1213"/>
      <c r="O749" s="1170"/>
      <c r="P749" s="1170"/>
      <c r="Q749" s="1170"/>
      <c r="R749" s="1170"/>
      <c r="S749" s="1170"/>
      <c r="T749" s="1385"/>
      <c r="U749" s="1386"/>
      <c r="V749" s="1386"/>
      <c r="W749" s="1387"/>
      <c r="X749" s="1211"/>
      <c r="Y749" s="1212"/>
      <c r="Z749" s="1212"/>
      <c r="AA749" s="1212"/>
      <c r="AB749" s="1213"/>
      <c r="AC749" s="1211"/>
      <c r="AD749" s="1212"/>
      <c r="AE749" s="1212"/>
      <c r="AF749" s="1212"/>
      <c r="AG749" s="1213"/>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211"/>
      <c r="K750" s="1212"/>
      <c r="L750" s="1212"/>
      <c r="M750" s="1212"/>
      <c r="N750" s="1213"/>
      <c r="O750" s="1170"/>
      <c r="P750" s="1170"/>
      <c r="Q750" s="1170"/>
      <c r="R750" s="1170"/>
      <c r="S750" s="1170"/>
      <c r="T750" s="1385"/>
      <c r="U750" s="1386"/>
      <c r="V750" s="1386"/>
      <c r="W750" s="1387"/>
      <c r="X750" s="1211"/>
      <c r="Y750" s="1212"/>
      <c r="Z750" s="1212"/>
      <c r="AA750" s="1212"/>
      <c r="AB750" s="1213"/>
      <c r="AC750" s="1211"/>
      <c r="AD750" s="1212"/>
      <c r="AE750" s="1212"/>
      <c r="AF750" s="1212"/>
      <c r="AG750" s="1213"/>
      <c r="AM750" s="37"/>
      <c r="AN750" s="37"/>
      <c r="AO750" s="37"/>
      <c r="AP750" s="37"/>
      <c r="AQ750" s="37"/>
      <c r="AR750" s="37"/>
      <c r="AS750" s="37"/>
      <c r="AT750" s="37"/>
      <c r="AU750" s="37"/>
      <c r="AV750" s="37"/>
      <c r="AW750" s="37"/>
      <c r="AX750" s="37"/>
      <c r="AY750" s="37"/>
      <c r="AZ750" s="37"/>
      <c r="BA750" s="37"/>
      <c r="BB750" s="37"/>
      <c r="BC750" s="37"/>
      <c r="BD750" s="37"/>
      <c r="BE750" s="805"/>
      <c r="BF750" s="805"/>
      <c r="BG750" s="805"/>
      <c r="BH750" s="805"/>
      <c r="BI750" s="805"/>
      <c r="BJ750" s="805"/>
      <c r="BK750" s="805"/>
      <c r="BL750" s="805"/>
      <c r="BM750" s="805"/>
      <c r="BN750" s="805"/>
      <c r="BO750" s="805"/>
      <c r="BP750" s="805"/>
      <c r="BQ750" s="805"/>
      <c r="BR750" s="805"/>
      <c r="BS750" s="805"/>
      <c r="BT750" s="805"/>
      <c r="BU750" s="805"/>
      <c r="BV750" s="805"/>
      <c r="BW750" s="805"/>
      <c r="BX750" s="805"/>
      <c r="BY750" s="805"/>
      <c r="BZ750" s="805"/>
      <c r="CA750" s="805"/>
      <c r="CB750" s="805"/>
      <c r="CC750" s="805"/>
      <c r="CD750" s="805"/>
      <c r="CE750" s="805"/>
      <c r="CF750" s="805"/>
      <c r="CG750" s="805"/>
      <c r="CH750" s="805"/>
      <c r="CI750" s="805"/>
      <c r="CJ750" s="805"/>
      <c r="CK750" s="805"/>
      <c r="CL750" s="37"/>
      <c r="CM750" s="37"/>
      <c r="CN750" s="37"/>
      <c r="CO750" s="37"/>
      <c r="CP750" s="37"/>
      <c r="CQ750" s="37"/>
      <c r="CR750" s="37"/>
      <c r="CS750" s="37"/>
    </row>
    <row r="751" spans="1:97" ht="12.9" customHeight="1">
      <c r="J751" s="1214"/>
      <c r="K751" s="1215"/>
      <c r="L751" s="1215"/>
      <c r="M751" s="1215"/>
      <c r="N751" s="1216"/>
      <c r="O751" s="1170"/>
      <c r="P751" s="1170"/>
      <c r="Q751" s="1170"/>
      <c r="R751" s="1170"/>
      <c r="S751" s="1170"/>
      <c r="T751" s="1426"/>
      <c r="U751" s="1427"/>
      <c r="V751" s="1427"/>
      <c r="W751" s="1428"/>
      <c r="X751" s="1214"/>
      <c r="Y751" s="1215"/>
      <c r="Z751" s="1215"/>
      <c r="AA751" s="1215"/>
      <c r="AB751" s="1216"/>
      <c r="AC751" s="1214"/>
      <c r="AD751" s="1215"/>
      <c r="AE751" s="1215"/>
      <c r="AF751" s="1215"/>
      <c r="AG751" s="1216"/>
      <c r="AM751" s="37"/>
      <c r="AN751" s="37"/>
      <c r="AO751" s="37"/>
      <c r="AP751" s="37"/>
      <c r="AQ751" s="37"/>
      <c r="AR751" s="37"/>
      <c r="AS751" s="37"/>
      <c r="AT751" s="37"/>
      <c r="AU751" s="37"/>
      <c r="AV751" s="37"/>
      <c r="AW751" s="37"/>
      <c r="AX751" s="37"/>
      <c r="AY751" s="37"/>
      <c r="AZ751" s="37"/>
      <c r="BA751" s="37"/>
      <c r="BB751" s="37"/>
      <c r="BC751" s="37"/>
      <c r="BD751" s="37"/>
      <c r="BE751" s="805"/>
      <c r="BF751" s="805"/>
      <c r="BG751" s="805"/>
      <c r="BH751" s="805"/>
      <c r="BI751" s="805"/>
      <c r="BJ751" s="805"/>
      <c r="BK751" s="805"/>
      <c r="BL751" s="805"/>
      <c r="BM751" s="805"/>
      <c r="BN751" s="805"/>
      <c r="BO751" s="805"/>
      <c r="BP751" s="805"/>
      <c r="BQ751" s="805"/>
      <c r="BR751" s="805"/>
      <c r="BS751" s="805"/>
      <c r="BT751" s="805"/>
      <c r="BU751" s="805"/>
      <c r="BV751" s="805"/>
      <c r="BW751" s="805"/>
      <c r="BX751" s="805"/>
      <c r="BY751" s="805"/>
      <c r="BZ751" s="805"/>
      <c r="CA751" s="805"/>
      <c r="CB751" s="805"/>
      <c r="CC751" s="805"/>
      <c r="CD751" s="805"/>
      <c r="CE751" s="805"/>
      <c r="CF751" s="805"/>
      <c r="CG751" s="805"/>
      <c r="CH751" s="805"/>
      <c r="CI751" s="805"/>
      <c r="CJ751" s="805"/>
      <c r="CK751" s="805"/>
      <c r="CL751" s="37"/>
      <c r="CM751" s="37"/>
      <c r="CN751" s="37"/>
      <c r="CO751" s="37"/>
      <c r="CP751" s="37"/>
      <c r="CQ751" s="37"/>
      <c r="CR751" s="37"/>
      <c r="CS751" s="37"/>
    </row>
    <row r="752" spans="1:97" ht="12.9" customHeight="1">
      <c r="J752" s="1027" t="s">
        <v>1342</v>
      </c>
      <c r="K752" s="1028"/>
      <c r="L752" s="1028"/>
      <c r="M752" s="1028"/>
      <c r="N752" s="1029"/>
      <c r="O752" s="1102">
        <v>1</v>
      </c>
      <c r="P752" s="1102"/>
      <c r="Q752" s="1102"/>
      <c r="R752" s="1102"/>
      <c r="S752" s="1102"/>
      <c r="T752" s="1033">
        <v>600</v>
      </c>
      <c r="U752" s="1034"/>
      <c r="V752" s="1034"/>
      <c r="W752" s="1035"/>
      <c r="X752" s="1036">
        <v>0</v>
      </c>
      <c r="Y752" s="1037"/>
      <c r="Z752" s="1037"/>
      <c r="AA752" s="1037"/>
      <c r="AB752" s="1038"/>
      <c r="AC752" s="1039">
        <f>X752*O752</f>
        <v>0</v>
      </c>
      <c r="AD752" s="1040"/>
      <c r="AE752" s="1040"/>
      <c r="AF752" s="1040"/>
      <c r="AG752" s="1041"/>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27"/>
      <c r="K753" s="1028"/>
      <c r="L753" s="1028"/>
      <c r="M753" s="1028"/>
      <c r="N753" s="1029"/>
      <c r="O753" s="1102"/>
      <c r="P753" s="1102"/>
      <c r="Q753" s="1102"/>
      <c r="R753" s="1102"/>
      <c r="S753" s="1102"/>
      <c r="T753" s="1033"/>
      <c r="U753" s="1034"/>
      <c r="V753" s="1034"/>
      <c r="W753" s="1035"/>
      <c r="X753" s="1036"/>
      <c r="Y753" s="1037"/>
      <c r="Z753" s="1037"/>
      <c r="AA753" s="1037"/>
      <c r="AB753" s="1038"/>
      <c r="AC753" s="1039">
        <f>X753*O753</f>
        <v>0</v>
      </c>
      <c r="AD753" s="1040"/>
      <c r="AE753" s="1040"/>
      <c r="AF753" s="1040"/>
      <c r="AG753" s="1041"/>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27"/>
      <c r="K754" s="1028"/>
      <c r="L754" s="1028"/>
      <c r="M754" s="1028"/>
      <c r="N754" s="1029"/>
      <c r="O754" s="1102"/>
      <c r="P754" s="1102"/>
      <c r="Q754" s="1102"/>
      <c r="R754" s="1102"/>
      <c r="S754" s="1102"/>
      <c r="T754" s="1033"/>
      <c r="U754" s="1034"/>
      <c r="V754" s="1034"/>
      <c r="W754" s="1035"/>
      <c r="X754" s="1036"/>
      <c r="Y754" s="1037"/>
      <c r="Z754" s="1037"/>
      <c r="AA754" s="1037"/>
      <c r="AB754" s="1038"/>
      <c r="AC754" s="1039">
        <f>X754*O754</f>
        <v>0</v>
      </c>
      <c r="AD754" s="1040"/>
      <c r="AE754" s="1040"/>
      <c r="AF754" s="1040"/>
      <c r="AG754" s="1041"/>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27"/>
      <c r="K755" s="1028"/>
      <c r="L755" s="1028"/>
      <c r="M755" s="1028"/>
      <c r="N755" s="1029"/>
      <c r="O755" s="1102"/>
      <c r="P755" s="1102"/>
      <c r="Q755" s="1102"/>
      <c r="R755" s="1102"/>
      <c r="S755" s="1102"/>
      <c r="T755" s="1033"/>
      <c r="U755" s="1034"/>
      <c r="V755" s="1034"/>
      <c r="W755" s="1035"/>
      <c r="X755" s="1036"/>
      <c r="Y755" s="1037"/>
      <c r="Z755" s="1037"/>
      <c r="AA755" s="1037"/>
      <c r="AB755" s="1038"/>
      <c r="AC755" s="1039">
        <f>X755*O755</f>
        <v>0</v>
      </c>
      <c r="AD755" s="1040"/>
      <c r="AE755" s="1040"/>
      <c r="AF755" s="1040"/>
      <c r="AG755" s="1041"/>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050" t="s">
        <v>1395</v>
      </c>
      <c r="K756" s="1051"/>
      <c r="L756" s="1051"/>
      <c r="M756" s="1051"/>
      <c r="N756" s="1053"/>
      <c r="O756" s="1018">
        <f>SUM(O752:S755)</f>
        <v>1</v>
      </c>
      <c r="P756" s="1019"/>
      <c r="Q756" s="1019"/>
      <c r="R756" s="1019"/>
      <c r="S756" s="1021"/>
      <c r="X756" s="1050" t="s">
        <v>1396</v>
      </c>
      <c r="Y756" s="1051"/>
      <c r="Z756" s="1051"/>
      <c r="AA756" s="1051"/>
      <c r="AB756" s="1053"/>
      <c r="AC756" s="1039">
        <f>SUM(AC752:AG755)</f>
        <v>0</v>
      </c>
      <c r="AD756" s="1040"/>
      <c r="AE756" s="1040"/>
      <c r="AF756" s="1040"/>
      <c r="AG756" s="1041"/>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1"/>
      <c r="P757" s="401"/>
      <c r="Q757" s="401"/>
      <c r="R757" s="401"/>
      <c r="S757" s="401"/>
      <c r="T757" s="55"/>
      <c r="U757" s="55"/>
      <c r="V757" s="55"/>
      <c r="W757" s="55"/>
      <c r="X757" s="55"/>
      <c r="Y757" s="808"/>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1"/>
      <c r="H758" s="401"/>
      <c r="I758" s="401"/>
      <c r="J758" s="1061" t="s">
        <v>759</v>
      </c>
      <c r="K758" s="1061"/>
      <c r="L758" s="55"/>
      <c r="M758" s="340" t="s">
        <v>1406</v>
      </c>
      <c r="N758" s="55"/>
      <c r="O758" s="55"/>
      <c r="P758" s="55"/>
      <c r="Q758" s="401"/>
      <c r="R758" s="401"/>
      <c r="S758" s="401"/>
      <c r="T758" s="401"/>
      <c r="U758" s="401"/>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1"/>
      <c r="H759" s="401"/>
      <c r="I759" s="401"/>
      <c r="J759" s="401"/>
      <c r="K759" s="401"/>
      <c r="L759" s="55"/>
      <c r="M759" s="340" t="s">
        <v>1407</v>
      </c>
      <c r="N759" s="55"/>
      <c r="O759" s="55"/>
      <c r="P759" s="55"/>
      <c r="Q759" s="401"/>
      <c r="R759" s="401"/>
      <c r="S759" s="401"/>
      <c r="T759" s="401"/>
      <c r="U759" s="401"/>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907</v>
      </c>
      <c r="B760" s="56"/>
      <c r="C760" s="56" t="s">
        <v>204</v>
      </c>
      <c r="D760" s="55"/>
      <c r="E760" s="55"/>
      <c r="F760" s="55"/>
      <c r="G760" s="401"/>
      <c r="H760" s="401"/>
      <c r="I760" s="401"/>
      <c r="J760" s="401"/>
      <c r="K760" s="401"/>
      <c r="L760" s="55"/>
      <c r="M760" s="55"/>
      <c r="N760" s="55"/>
      <c r="O760" s="55"/>
      <c r="P760" s="55"/>
      <c r="Q760" s="401"/>
      <c r="R760" s="401"/>
      <c r="S760" s="401"/>
      <c r="T760" s="401"/>
      <c r="U760" s="401"/>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1"/>
      <c r="H761" s="401"/>
      <c r="I761" s="401"/>
      <c r="J761" s="401"/>
      <c r="K761" s="401"/>
      <c r="L761" s="55"/>
      <c r="M761" s="55"/>
      <c r="N761" s="55"/>
      <c r="O761" s="55"/>
      <c r="P761" s="55"/>
      <c r="Q761" s="401"/>
      <c r="R761" s="401"/>
      <c r="S761" s="401"/>
      <c r="T761" s="401"/>
      <c r="U761" s="401"/>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208" t="s">
        <v>1380</v>
      </c>
      <c r="K762" s="1209"/>
      <c r="L762" s="1209"/>
      <c r="M762" s="1209"/>
      <c r="N762" s="1210"/>
      <c r="O762" s="1170" t="s">
        <v>1381</v>
      </c>
      <c r="P762" s="1170"/>
      <c r="Q762" s="1170"/>
      <c r="R762" s="1170"/>
      <c r="S762" s="1170"/>
      <c r="T762" s="1382" t="s">
        <v>1382</v>
      </c>
      <c r="U762" s="1383"/>
      <c r="V762" s="1383"/>
      <c r="W762" s="1384"/>
      <c r="X762" s="1208" t="s">
        <v>1383</v>
      </c>
      <c r="Y762" s="1209"/>
      <c r="Z762" s="1209"/>
      <c r="AA762" s="1209"/>
      <c r="AB762" s="1210"/>
      <c r="AC762" s="1208" t="s">
        <v>1384</v>
      </c>
      <c r="AD762" s="1209"/>
      <c r="AE762" s="1209"/>
      <c r="AF762" s="1209"/>
      <c r="AG762" s="121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211"/>
      <c r="K763" s="1212"/>
      <c r="L763" s="1212"/>
      <c r="M763" s="1212"/>
      <c r="N763" s="1213"/>
      <c r="O763" s="1170"/>
      <c r="P763" s="1170"/>
      <c r="Q763" s="1170"/>
      <c r="R763" s="1170"/>
      <c r="S763" s="1170"/>
      <c r="T763" s="1385"/>
      <c r="U763" s="1386"/>
      <c r="V763" s="1386"/>
      <c r="W763" s="1387"/>
      <c r="X763" s="1211"/>
      <c r="Y763" s="1212"/>
      <c r="Z763" s="1212"/>
      <c r="AA763" s="1212"/>
      <c r="AB763" s="1213"/>
      <c r="AC763" s="1211"/>
      <c r="AD763" s="1212"/>
      <c r="AE763" s="1212"/>
      <c r="AF763" s="1212"/>
      <c r="AG763" s="1213"/>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211"/>
      <c r="K764" s="1212"/>
      <c r="L764" s="1212"/>
      <c r="M764" s="1212"/>
      <c r="N764" s="1213"/>
      <c r="O764" s="1170"/>
      <c r="P764" s="1170"/>
      <c r="Q764" s="1170"/>
      <c r="R764" s="1170"/>
      <c r="S764" s="1170"/>
      <c r="T764" s="1385"/>
      <c r="U764" s="1386"/>
      <c r="V764" s="1386"/>
      <c r="W764" s="1387"/>
      <c r="X764" s="1211"/>
      <c r="Y764" s="1212"/>
      <c r="Z764" s="1212"/>
      <c r="AA764" s="1212"/>
      <c r="AB764" s="1213"/>
      <c r="AC764" s="1211"/>
      <c r="AD764" s="1212"/>
      <c r="AE764" s="1212"/>
      <c r="AF764" s="1212"/>
      <c r="AG764" s="1213"/>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214"/>
      <c r="K765" s="1215"/>
      <c r="L765" s="1215"/>
      <c r="M765" s="1215"/>
      <c r="N765" s="1216"/>
      <c r="O765" s="1170"/>
      <c r="P765" s="1170"/>
      <c r="Q765" s="1170"/>
      <c r="R765" s="1170"/>
      <c r="S765" s="1170"/>
      <c r="T765" s="1426"/>
      <c r="U765" s="1427"/>
      <c r="V765" s="1427"/>
      <c r="W765" s="1428"/>
      <c r="X765" s="1214"/>
      <c r="Y765" s="1215"/>
      <c r="Z765" s="1215"/>
      <c r="AA765" s="1215"/>
      <c r="AB765" s="1216"/>
      <c r="AC765" s="1214"/>
      <c r="AD765" s="1215"/>
      <c r="AE765" s="1215"/>
      <c r="AF765" s="1215"/>
      <c r="AG765" s="1216"/>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27"/>
      <c r="K766" s="1028"/>
      <c r="L766" s="1028"/>
      <c r="M766" s="1028"/>
      <c r="N766" s="1029"/>
      <c r="O766" s="1102"/>
      <c r="P766" s="1102"/>
      <c r="Q766" s="1102"/>
      <c r="R766" s="1102"/>
      <c r="S766" s="1102"/>
      <c r="T766" s="1033"/>
      <c r="U766" s="1034"/>
      <c r="V766" s="1034"/>
      <c r="W766" s="1035"/>
      <c r="X766" s="1036"/>
      <c r="Y766" s="1037"/>
      <c r="Z766" s="1037"/>
      <c r="AA766" s="1037"/>
      <c r="AB766" s="1038"/>
      <c r="AC766" s="1039">
        <f t="shared" ref="AC766:AC775" si="66">X766*O766</f>
        <v>0</v>
      </c>
      <c r="AD766" s="1040"/>
      <c r="AE766" s="1040"/>
      <c r="AF766" s="1040"/>
      <c r="AG766" s="1041"/>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27"/>
      <c r="K767" s="1028"/>
      <c r="L767" s="1028"/>
      <c r="M767" s="1028"/>
      <c r="N767" s="1029"/>
      <c r="O767" s="1102"/>
      <c r="P767" s="1102"/>
      <c r="Q767" s="1102"/>
      <c r="R767" s="1102"/>
      <c r="S767" s="1102"/>
      <c r="T767" s="1033"/>
      <c r="U767" s="1034"/>
      <c r="V767" s="1034"/>
      <c r="W767" s="1035"/>
      <c r="X767" s="1036"/>
      <c r="Y767" s="1037"/>
      <c r="Z767" s="1037"/>
      <c r="AA767" s="1037"/>
      <c r="AB767" s="1038"/>
      <c r="AC767" s="1039">
        <f t="shared" si="66"/>
        <v>0</v>
      </c>
      <c r="AD767" s="1040"/>
      <c r="AE767" s="1040"/>
      <c r="AF767" s="1040"/>
      <c r="AG767" s="1041"/>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27"/>
      <c r="K768" s="1028"/>
      <c r="L768" s="1028"/>
      <c r="M768" s="1028"/>
      <c r="N768" s="1029"/>
      <c r="O768" s="1102"/>
      <c r="P768" s="1102"/>
      <c r="Q768" s="1102"/>
      <c r="R768" s="1102"/>
      <c r="S768" s="1102"/>
      <c r="T768" s="1033"/>
      <c r="U768" s="1034"/>
      <c r="V768" s="1034"/>
      <c r="W768" s="1035"/>
      <c r="X768" s="1036"/>
      <c r="Y768" s="1037"/>
      <c r="Z768" s="1037"/>
      <c r="AA768" s="1037"/>
      <c r="AB768" s="1038"/>
      <c r="AC768" s="1039">
        <f t="shared" si="66"/>
        <v>0</v>
      </c>
      <c r="AD768" s="1040"/>
      <c r="AE768" s="1040"/>
      <c r="AF768" s="1040"/>
      <c r="AG768" s="1041"/>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27"/>
      <c r="K769" s="1028"/>
      <c r="L769" s="1028"/>
      <c r="M769" s="1028"/>
      <c r="N769" s="1029"/>
      <c r="O769" s="1102"/>
      <c r="P769" s="1102"/>
      <c r="Q769" s="1102"/>
      <c r="R769" s="1102"/>
      <c r="S769" s="1102"/>
      <c r="T769" s="1033"/>
      <c r="U769" s="1034"/>
      <c r="V769" s="1034"/>
      <c r="W769" s="1035"/>
      <c r="X769" s="1036"/>
      <c r="Y769" s="1037"/>
      <c r="Z769" s="1037"/>
      <c r="AA769" s="1037"/>
      <c r="AB769" s="1038"/>
      <c r="AC769" s="1039">
        <f t="shared" si="66"/>
        <v>0</v>
      </c>
      <c r="AD769" s="1040"/>
      <c r="AE769" s="1040"/>
      <c r="AF769" s="1040"/>
      <c r="AG769" s="1041"/>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27"/>
      <c r="K770" s="1028"/>
      <c r="L770" s="1028"/>
      <c r="M770" s="1028"/>
      <c r="N770" s="1029"/>
      <c r="O770" s="1102"/>
      <c r="P770" s="1102"/>
      <c r="Q770" s="1102"/>
      <c r="R770" s="1102"/>
      <c r="S770" s="1102"/>
      <c r="T770" s="1033"/>
      <c r="U770" s="1034"/>
      <c r="V770" s="1034"/>
      <c r="W770" s="1035"/>
      <c r="X770" s="1036"/>
      <c r="Y770" s="1037"/>
      <c r="Z770" s="1037"/>
      <c r="AA770" s="1037"/>
      <c r="AB770" s="1038"/>
      <c r="AC770" s="1039">
        <f t="shared" si="66"/>
        <v>0</v>
      </c>
      <c r="AD770" s="1040"/>
      <c r="AE770" s="1040"/>
      <c r="AF770" s="1040"/>
      <c r="AG770" s="1041"/>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27"/>
      <c r="K771" s="1028"/>
      <c r="L771" s="1028"/>
      <c r="M771" s="1028"/>
      <c r="N771" s="1029"/>
      <c r="O771" s="1102"/>
      <c r="P771" s="1102"/>
      <c r="Q771" s="1102"/>
      <c r="R771" s="1102"/>
      <c r="S771" s="1102"/>
      <c r="T771" s="1033"/>
      <c r="U771" s="1034"/>
      <c r="V771" s="1034"/>
      <c r="W771" s="1035"/>
      <c r="X771" s="1036"/>
      <c r="Y771" s="1037"/>
      <c r="Z771" s="1037"/>
      <c r="AA771" s="1037"/>
      <c r="AB771" s="1038"/>
      <c r="AC771" s="1039">
        <f t="shared" si="66"/>
        <v>0</v>
      </c>
      <c r="AD771" s="1040"/>
      <c r="AE771" s="1040"/>
      <c r="AF771" s="1040"/>
      <c r="AG771" s="1041"/>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27"/>
      <c r="K772" s="1028"/>
      <c r="L772" s="1028"/>
      <c r="M772" s="1028"/>
      <c r="N772" s="1029"/>
      <c r="O772" s="1102"/>
      <c r="P772" s="1102"/>
      <c r="Q772" s="1102"/>
      <c r="R772" s="1102"/>
      <c r="S772" s="1102"/>
      <c r="T772" s="1033"/>
      <c r="U772" s="1034"/>
      <c r="V772" s="1034"/>
      <c r="W772" s="1035"/>
      <c r="X772" s="1036"/>
      <c r="Y772" s="1037"/>
      <c r="Z772" s="1037"/>
      <c r="AA772" s="1037"/>
      <c r="AB772" s="1038"/>
      <c r="AC772" s="1039">
        <f t="shared" si="66"/>
        <v>0</v>
      </c>
      <c r="AD772" s="1040"/>
      <c r="AE772" s="1040"/>
      <c r="AF772" s="1040"/>
      <c r="AG772" s="1041"/>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27"/>
      <c r="K773" s="1028"/>
      <c r="L773" s="1028"/>
      <c r="M773" s="1028"/>
      <c r="N773" s="1029"/>
      <c r="O773" s="1102"/>
      <c r="P773" s="1102"/>
      <c r="Q773" s="1102"/>
      <c r="R773" s="1102"/>
      <c r="S773" s="1102"/>
      <c r="T773" s="1033"/>
      <c r="U773" s="1034"/>
      <c r="V773" s="1034"/>
      <c r="W773" s="1035"/>
      <c r="X773" s="1036"/>
      <c r="Y773" s="1037"/>
      <c r="Z773" s="1037"/>
      <c r="AA773" s="1037"/>
      <c r="AB773" s="1038"/>
      <c r="AC773" s="1039">
        <f t="shared" si="66"/>
        <v>0</v>
      </c>
      <c r="AD773" s="1040"/>
      <c r="AE773" s="1040"/>
      <c r="AF773" s="1040"/>
      <c r="AG773" s="1041"/>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27"/>
      <c r="K774" s="1028"/>
      <c r="L774" s="1028"/>
      <c r="M774" s="1028"/>
      <c r="N774" s="1029"/>
      <c r="O774" s="1102"/>
      <c r="P774" s="1102"/>
      <c r="Q774" s="1102"/>
      <c r="R774" s="1102"/>
      <c r="S774" s="1102"/>
      <c r="T774" s="1033"/>
      <c r="U774" s="1034"/>
      <c r="V774" s="1034"/>
      <c r="W774" s="1035"/>
      <c r="X774" s="1036"/>
      <c r="Y774" s="1037"/>
      <c r="Z774" s="1037"/>
      <c r="AA774" s="1037"/>
      <c r="AB774" s="1038"/>
      <c r="AC774" s="1039">
        <f t="shared" si="66"/>
        <v>0</v>
      </c>
      <c r="AD774" s="1040"/>
      <c r="AE774" s="1040"/>
      <c r="AF774" s="1040"/>
      <c r="AG774" s="1041"/>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27"/>
      <c r="K775" s="1028"/>
      <c r="L775" s="1028"/>
      <c r="M775" s="1028"/>
      <c r="N775" s="1029"/>
      <c r="O775" s="1102"/>
      <c r="P775" s="1102"/>
      <c r="Q775" s="1102"/>
      <c r="R775" s="1102"/>
      <c r="S775" s="1102"/>
      <c r="T775" s="1033"/>
      <c r="U775" s="1034"/>
      <c r="V775" s="1034"/>
      <c r="W775" s="1035"/>
      <c r="X775" s="1036"/>
      <c r="Y775" s="1037"/>
      <c r="Z775" s="1037"/>
      <c r="AA775" s="1037"/>
      <c r="AB775" s="1038"/>
      <c r="AC775" s="1039">
        <f t="shared" si="66"/>
        <v>0</v>
      </c>
      <c r="AD775" s="1040"/>
      <c r="AE775" s="1040"/>
      <c r="AF775" s="1040"/>
      <c r="AG775" s="1041"/>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050" t="s">
        <v>1395</v>
      </c>
      <c r="K776" s="1051"/>
      <c r="L776" s="1051"/>
      <c r="M776" s="1051"/>
      <c r="N776" s="1053"/>
      <c r="O776" s="1185">
        <f>SUM(O766:S775)</f>
        <v>0</v>
      </c>
      <c r="P776" s="1185"/>
      <c r="Q776" s="1185"/>
      <c r="R776" s="1185"/>
      <c r="S776" s="1185"/>
      <c r="X776" s="350" t="s">
        <v>1396</v>
      </c>
      <c r="Y776" s="146"/>
      <c r="Z776" s="146"/>
      <c r="AA776" s="146"/>
      <c r="AB776" s="729"/>
      <c r="AC776" s="1039">
        <f>SUM(AC766:AG775)</f>
        <v>0</v>
      </c>
      <c r="AD776" s="1040"/>
      <c r="AE776" s="1040"/>
      <c r="AF776" s="1040"/>
      <c r="AG776" s="1041"/>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481" t="str">
        <f>IF(O776&lt;&gt;AG431,"! Total market rate units in the Unit Mix Table above does not match the number of market rate units on row #"&amp;TEXT(ROW(AG431),"#"),"")</f>
        <v/>
      </c>
      <c r="D777" s="1481"/>
      <c r="E777" s="1481"/>
      <c r="F777" s="1481"/>
      <c r="G777" s="1481"/>
      <c r="H777" s="1481"/>
      <c r="I777" s="1481"/>
      <c r="J777" s="1481"/>
      <c r="K777" s="1481"/>
      <c r="L777" s="1481"/>
      <c r="M777" s="1481"/>
      <c r="N777" s="1481"/>
      <c r="O777" s="1481"/>
      <c r="P777" s="1481"/>
      <c r="Q777" s="1481"/>
      <c r="R777" s="1481"/>
      <c r="S777" s="1481"/>
      <c r="T777" s="1481"/>
      <c r="U777" s="1481"/>
      <c r="V777" s="1481"/>
      <c r="W777" s="1481"/>
      <c r="X777" s="1481"/>
      <c r="Y777" s="1481"/>
      <c r="Z777" s="1481"/>
      <c r="AA777" s="1481"/>
      <c r="AB777" s="1481"/>
      <c r="AC777" s="1481"/>
      <c r="AD777" s="1481"/>
      <c r="AE777" s="1481"/>
      <c r="AF777" s="1481"/>
      <c r="AG777" s="1481"/>
      <c r="AH777" s="1481"/>
      <c r="AI777" s="1481"/>
      <c r="AJ777" s="1481"/>
      <c r="AK777" s="1481"/>
      <c r="AL777" s="1481"/>
      <c r="AM777" s="1481"/>
      <c r="AN777" s="148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481"/>
      <c r="D778" s="1481"/>
      <c r="E778" s="1481"/>
      <c r="F778" s="1481"/>
      <c r="G778" s="1481"/>
      <c r="H778" s="1481"/>
      <c r="I778" s="1481"/>
      <c r="J778" s="1481"/>
      <c r="K778" s="1481"/>
      <c r="L778" s="1481"/>
      <c r="M778" s="1481"/>
      <c r="N778" s="1481"/>
      <c r="O778" s="1481"/>
      <c r="P778" s="1481"/>
      <c r="Q778" s="1481"/>
      <c r="R778" s="1481"/>
      <c r="S778" s="1481"/>
      <c r="T778" s="1481"/>
      <c r="U778" s="1481"/>
      <c r="V778" s="1481"/>
      <c r="W778" s="1481"/>
      <c r="X778" s="1481"/>
      <c r="Y778" s="1481"/>
      <c r="Z778" s="1481"/>
      <c r="AA778" s="1481"/>
      <c r="AB778" s="1481"/>
      <c r="AC778" s="1481"/>
      <c r="AD778" s="1481"/>
      <c r="AE778" s="1481"/>
      <c r="AF778" s="1481"/>
      <c r="AG778" s="1481"/>
      <c r="AH778" s="1481"/>
      <c r="AI778" s="1481"/>
      <c r="AJ778" s="1481"/>
      <c r="AK778" s="1481"/>
      <c r="AL778" s="1481"/>
      <c r="AM778" s="1481"/>
      <c r="AN778" s="148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1408</v>
      </c>
      <c r="Y779" s="1240">
        <f>T730+AC756+AC776</f>
        <v>16500</v>
      </c>
      <c r="Z779" s="1240"/>
      <c r="AA779" s="1240"/>
      <c r="AB779" s="1240"/>
      <c r="AC779" s="124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1409</v>
      </c>
      <c r="Y780" s="1240">
        <f>(T730+AC756+AC776)*12</f>
        <v>198000</v>
      </c>
      <c r="Z780" s="1240"/>
      <c r="AA780" s="1240"/>
      <c r="AB780" s="1240"/>
      <c r="AC780" s="124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929</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1410</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1411</v>
      </c>
      <c r="I785" s="9"/>
      <c r="J785" s="9"/>
      <c r="K785" s="9"/>
      <c r="L785" s="9"/>
      <c r="M785" s="9"/>
      <c r="N785" s="9"/>
      <c r="O785" s="9"/>
      <c r="P785" s="9"/>
      <c r="Q785" s="9"/>
      <c r="R785" s="9"/>
      <c r="S785" s="9"/>
      <c r="T785" s="9"/>
      <c r="U785" s="9"/>
      <c r="V785" s="9"/>
      <c r="W785" s="9"/>
      <c r="X785" s="9"/>
      <c r="Y785" s="9"/>
      <c r="Z785" s="1138">
        <v>22</v>
      </c>
      <c r="AA785" s="1139"/>
      <c r="AB785" s="1139"/>
      <c r="AC785" s="1139"/>
      <c r="AD785" s="1139"/>
      <c r="AE785" s="1140"/>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1412</v>
      </c>
      <c r="I786" s="9"/>
      <c r="J786" s="9"/>
      <c r="K786" s="9"/>
      <c r="L786" s="9"/>
      <c r="M786" s="9"/>
      <c r="N786" s="9"/>
      <c r="O786" s="9"/>
      <c r="P786" s="9"/>
      <c r="Q786" s="9"/>
      <c r="R786" s="9"/>
      <c r="S786" s="9"/>
      <c r="T786" s="9"/>
      <c r="U786" s="9"/>
      <c r="V786" s="9"/>
      <c r="W786" s="9"/>
      <c r="X786" s="9"/>
      <c r="Y786" s="9"/>
      <c r="Z786" s="1374">
        <v>30</v>
      </c>
      <c r="AA786" s="1139"/>
      <c r="AB786" s="1139"/>
      <c r="AC786" s="1139"/>
      <c r="AD786" s="1139"/>
      <c r="AE786" s="1140"/>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1413</v>
      </c>
      <c r="I787" s="9"/>
      <c r="J787" s="9"/>
      <c r="K787" s="9"/>
      <c r="L787" s="9"/>
      <c r="M787" s="9"/>
      <c r="N787" s="9"/>
      <c r="O787" s="9"/>
      <c r="P787" s="9"/>
      <c r="Q787" s="9"/>
      <c r="R787" s="9"/>
      <c r="S787" s="9"/>
      <c r="T787" s="9"/>
      <c r="U787" s="9"/>
      <c r="V787" s="9"/>
      <c r="W787" s="9"/>
      <c r="X787" s="9"/>
      <c r="Y787" s="9"/>
      <c r="Z787" s="1381">
        <v>56431</v>
      </c>
      <c r="AA787" s="1202"/>
      <c r="AB787" s="1202"/>
      <c r="AC787" s="1202"/>
      <c r="AD787" s="1202"/>
      <c r="AE787" s="1203"/>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1414</v>
      </c>
      <c r="Z788" s="1237">
        <f>'Subsidy Contract Calculation'!I40</f>
        <v>135960</v>
      </c>
      <c r="AA788" s="1238"/>
      <c r="AB788" s="1238"/>
      <c r="AC788" s="1238"/>
      <c r="AD788" s="1238"/>
      <c r="AE788" s="1239"/>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941</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1415</v>
      </c>
      <c r="I792" s="9"/>
      <c r="J792" s="9"/>
      <c r="K792" s="9"/>
      <c r="L792" s="9"/>
      <c r="M792" s="9"/>
      <c r="N792" s="9"/>
      <c r="O792" s="9"/>
      <c r="P792" s="9"/>
      <c r="Q792" s="9"/>
      <c r="R792" s="9"/>
      <c r="S792" s="9"/>
      <c r="T792" s="9"/>
      <c r="U792" s="9"/>
      <c r="V792" s="9"/>
      <c r="W792" s="9"/>
      <c r="X792" s="9"/>
      <c r="Y792" s="9"/>
      <c r="Z792" s="1162">
        <v>0</v>
      </c>
      <c r="AA792" s="1163"/>
      <c r="AB792" s="1163"/>
      <c r="AC792" s="1163"/>
      <c r="AD792" s="1163"/>
      <c r="AE792" s="1164"/>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1416</v>
      </c>
      <c r="I793" s="9"/>
      <c r="J793" s="9"/>
      <c r="K793" s="9"/>
      <c r="L793" s="9"/>
      <c r="M793" s="9"/>
      <c r="N793" s="9"/>
      <c r="O793" s="9"/>
      <c r="P793" s="9"/>
      <c r="Q793" s="9"/>
      <c r="R793" s="9"/>
      <c r="S793" s="9"/>
      <c r="T793" s="9"/>
      <c r="U793" s="9"/>
      <c r="V793" s="9"/>
      <c r="W793" s="9"/>
      <c r="X793" s="9"/>
      <c r="Y793" s="9"/>
      <c r="Z793" s="1162">
        <v>0</v>
      </c>
      <c r="AA793" s="1163"/>
      <c r="AB793" s="1163"/>
      <c r="AC793" s="1163"/>
      <c r="AD793" s="1163"/>
      <c r="AE793" s="116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1417</v>
      </c>
      <c r="I794" s="9"/>
      <c r="J794" s="9"/>
      <c r="K794" s="9"/>
      <c r="L794" s="9"/>
      <c r="M794" s="9"/>
      <c r="N794" s="9"/>
      <c r="O794" s="9"/>
      <c r="P794" s="9"/>
      <c r="Q794" s="9"/>
      <c r="R794" s="9"/>
      <c r="S794" s="9"/>
      <c r="T794" s="9"/>
      <c r="U794" s="9"/>
      <c r="V794" s="9"/>
      <c r="W794" s="9"/>
      <c r="X794" s="9"/>
      <c r="Y794" s="9"/>
      <c r="Z794" s="1162">
        <v>0</v>
      </c>
      <c r="AA794" s="1163"/>
      <c r="AB794" s="1163"/>
      <c r="AC794" s="1163"/>
      <c r="AD794" s="1163"/>
      <c r="AE794" s="116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1418</v>
      </c>
      <c r="I795" s="9"/>
      <c r="J795" s="9"/>
      <c r="K795" s="9"/>
      <c r="L795" s="9"/>
      <c r="M795" s="9"/>
      <c r="N795" s="9"/>
      <c r="O795" s="9"/>
      <c r="P795" s="1104" t="s">
        <v>1163</v>
      </c>
      <c r="Q795" s="1105"/>
      <c r="R795" s="1105"/>
      <c r="S795" s="1105"/>
      <c r="T795" s="1105"/>
      <c r="U795" s="1105"/>
      <c r="V795" s="1105"/>
      <c r="W795" s="1105"/>
      <c r="X795" s="1105"/>
      <c r="Y795" s="1106"/>
      <c r="Z795" s="1162"/>
      <c r="AA795" s="1163"/>
      <c r="AB795" s="1163"/>
      <c r="AC795" s="1163"/>
      <c r="AD795" s="1163"/>
      <c r="AE795" s="116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1419</v>
      </c>
      <c r="Z796" s="1173">
        <f>SUM(Z792:AE795)</f>
        <v>0</v>
      </c>
      <c r="AA796" s="1174"/>
      <c r="AB796" s="1174"/>
      <c r="AC796" s="1174"/>
      <c r="AD796" s="1174"/>
      <c r="AE796" s="1175"/>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1420</v>
      </c>
      <c r="Z797" s="1173">
        <f>Z796+Y780+Z788</f>
        <v>333960</v>
      </c>
      <c r="AA797" s="1174"/>
      <c r="AB797" s="1174"/>
      <c r="AC797" s="1174"/>
      <c r="AD797" s="1174"/>
      <c r="AE797" s="1175"/>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949</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1421</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114" t="s">
        <v>1422</v>
      </c>
      <c r="N802" s="1114"/>
      <c r="O802" s="1114"/>
      <c r="P802" s="1171"/>
      <c r="Q802" s="1172" t="s">
        <v>1423</v>
      </c>
      <c r="R802" s="1172"/>
      <c r="S802" s="1172"/>
      <c r="T802" s="1172"/>
      <c r="U802" s="1172" t="s">
        <v>1424</v>
      </c>
      <c r="V802" s="1172"/>
      <c r="W802" s="1172"/>
      <c r="X802" s="1172"/>
      <c r="Y802" s="1172" t="s">
        <v>1425</v>
      </c>
      <c r="Z802" s="1172"/>
      <c r="AA802" s="1172"/>
      <c r="AB802" s="1172"/>
      <c r="AC802" s="1172" t="s">
        <v>1426</v>
      </c>
      <c r="AD802" s="1172"/>
      <c r="AE802" s="1172"/>
      <c r="AF802" s="1172"/>
      <c r="AG802" s="1244" t="s">
        <v>1427</v>
      </c>
      <c r="AH802" s="1244"/>
      <c r="AI802" s="1244"/>
      <c r="AJ802" s="1244"/>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118"/>
      <c r="N803" s="1118"/>
      <c r="O803" s="1118"/>
      <c r="P803" s="1161"/>
      <c r="Q803" s="1172"/>
      <c r="R803" s="1172"/>
      <c r="S803" s="1172"/>
      <c r="T803" s="1172"/>
      <c r="U803" s="1172"/>
      <c r="V803" s="1172"/>
      <c r="W803" s="1172"/>
      <c r="X803" s="1172"/>
      <c r="Y803" s="1172"/>
      <c r="Z803" s="1172"/>
      <c r="AA803" s="1172"/>
      <c r="AB803" s="1172"/>
      <c r="AC803" s="1172"/>
      <c r="AD803" s="1172"/>
      <c r="AE803" s="1172"/>
      <c r="AF803" s="1172"/>
      <c r="AG803" s="1244"/>
      <c r="AH803" s="1244"/>
      <c r="AI803" s="1244"/>
      <c r="AJ803" s="1244"/>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130" t="s">
        <v>1428</v>
      </c>
      <c r="D804" s="1131"/>
      <c r="E804" s="1131"/>
      <c r="F804" s="1131"/>
      <c r="G804" s="1131"/>
      <c r="H804" s="1131"/>
      <c r="I804" s="47"/>
      <c r="J804" s="47"/>
      <c r="K804" s="47"/>
      <c r="L804" s="48"/>
      <c r="M804" s="1127"/>
      <c r="N804" s="1127"/>
      <c r="O804" s="1127"/>
      <c r="P804" s="1127"/>
      <c r="Q804" s="1127"/>
      <c r="R804" s="1127"/>
      <c r="S804" s="1127"/>
      <c r="T804" s="1127"/>
      <c r="U804" s="1127"/>
      <c r="V804" s="1127"/>
      <c r="W804" s="1127"/>
      <c r="X804" s="1127"/>
      <c r="Y804" s="1127"/>
      <c r="Z804" s="1127"/>
      <c r="AA804" s="1127"/>
      <c r="AB804" s="1127"/>
      <c r="AC804" s="1110"/>
      <c r="AD804" s="1111"/>
      <c r="AE804" s="1111"/>
      <c r="AF804" s="1112"/>
      <c r="AG804" s="1110"/>
      <c r="AH804" s="1111"/>
      <c r="AI804" s="1111"/>
      <c r="AJ804" s="111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128" t="s">
        <v>1429</v>
      </c>
      <c r="D805" s="1129"/>
      <c r="E805" s="1129"/>
      <c r="F805" s="1129"/>
      <c r="G805" s="1129"/>
      <c r="H805" s="1129"/>
      <c r="I805" s="9"/>
      <c r="J805" s="9"/>
      <c r="K805" s="9"/>
      <c r="L805" s="45"/>
      <c r="M805" s="1127"/>
      <c r="N805" s="1127"/>
      <c r="O805" s="1127"/>
      <c r="P805" s="1127"/>
      <c r="Q805" s="1127"/>
      <c r="R805" s="1127"/>
      <c r="S805" s="1127"/>
      <c r="T805" s="1127"/>
      <c r="U805" s="1127"/>
      <c r="V805" s="1127"/>
      <c r="W805" s="1127"/>
      <c r="X805" s="1127"/>
      <c r="Y805" s="1127"/>
      <c r="Z805" s="1127"/>
      <c r="AA805" s="1127"/>
      <c r="AB805" s="1127"/>
      <c r="AC805" s="1110"/>
      <c r="AD805" s="1111"/>
      <c r="AE805" s="1111"/>
      <c r="AF805" s="1112"/>
      <c r="AG805" s="1110"/>
      <c r="AH805" s="1111"/>
      <c r="AI805" s="1111"/>
      <c r="AJ805" s="111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128" t="s">
        <v>1430</v>
      </c>
      <c r="D806" s="1129"/>
      <c r="E806" s="1129"/>
      <c r="F806" s="1129"/>
      <c r="G806" s="1129"/>
      <c r="H806" s="1129"/>
      <c r="I806" s="59"/>
      <c r="J806" s="59"/>
      <c r="K806" s="59"/>
      <c r="L806" s="60"/>
      <c r="M806" s="1127"/>
      <c r="N806" s="1127"/>
      <c r="O806" s="1127"/>
      <c r="P806" s="1127"/>
      <c r="Q806" s="1127"/>
      <c r="R806" s="1127"/>
      <c r="S806" s="1127"/>
      <c r="T806" s="1127"/>
      <c r="U806" s="1127"/>
      <c r="V806" s="1127"/>
      <c r="W806" s="1127"/>
      <c r="X806" s="1127"/>
      <c r="Y806" s="1127"/>
      <c r="Z806" s="1127"/>
      <c r="AA806" s="1127"/>
      <c r="AB806" s="1127"/>
      <c r="AC806" s="1110"/>
      <c r="AD806" s="1111"/>
      <c r="AE806" s="1111"/>
      <c r="AF806" s="1112"/>
      <c r="AG806" s="1110"/>
      <c r="AH806" s="1111"/>
      <c r="AI806" s="1111"/>
      <c r="AJ806" s="111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128" t="s">
        <v>1431</v>
      </c>
      <c r="D807" s="1129"/>
      <c r="E807" s="1129"/>
      <c r="F807" s="1129"/>
      <c r="G807" s="1129"/>
      <c r="H807" s="1129"/>
      <c r="I807" s="59"/>
      <c r="J807" s="59"/>
      <c r="K807" s="59"/>
      <c r="L807" s="60"/>
      <c r="M807" s="1127"/>
      <c r="N807" s="1127"/>
      <c r="O807" s="1127"/>
      <c r="P807" s="1127"/>
      <c r="Q807" s="1127"/>
      <c r="R807" s="1127"/>
      <c r="S807" s="1127"/>
      <c r="T807" s="1127"/>
      <c r="U807" s="1127"/>
      <c r="V807" s="1127"/>
      <c r="W807" s="1127"/>
      <c r="X807" s="1127"/>
      <c r="Y807" s="1127"/>
      <c r="Z807" s="1127"/>
      <c r="AA807" s="1127"/>
      <c r="AB807" s="1127"/>
      <c r="AC807" s="1110"/>
      <c r="AD807" s="1111"/>
      <c r="AE807" s="1111"/>
      <c r="AF807" s="1112"/>
      <c r="AG807" s="1110"/>
      <c r="AH807" s="1111"/>
      <c r="AI807" s="1111"/>
      <c r="AJ807" s="1112"/>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128" t="s">
        <v>1432</v>
      </c>
      <c r="D808" s="1129"/>
      <c r="E808" s="1129"/>
      <c r="F808" s="1129"/>
      <c r="G808" s="1129"/>
      <c r="H808" s="1129"/>
      <c r="I808" s="59"/>
      <c r="J808" s="59"/>
      <c r="K808" s="59"/>
      <c r="L808" s="60"/>
      <c r="M808" s="1127"/>
      <c r="N808" s="1127"/>
      <c r="O808" s="1127"/>
      <c r="P808" s="1127"/>
      <c r="Q808" s="1127"/>
      <c r="R808" s="1127"/>
      <c r="S808" s="1127"/>
      <c r="T808" s="1127"/>
      <c r="U808" s="1127"/>
      <c r="V808" s="1127"/>
      <c r="W808" s="1127"/>
      <c r="X808" s="1127"/>
      <c r="Y808" s="1127"/>
      <c r="Z808" s="1127"/>
      <c r="AA808" s="1127"/>
      <c r="AB808" s="1127"/>
      <c r="AC808" s="1110"/>
      <c r="AD808" s="1111"/>
      <c r="AE808" s="1111"/>
      <c r="AF808" s="1112"/>
      <c r="AG808" s="1110"/>
      <c r="AH808" s="1111"/>
      <c r="AI808" s="1111"/>
      <c r="AJ808" s="1112"/>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68" t="s">
        <v>1433</v>
      </c>
      <c r="D809" s="1129"/>
      <c r="E809" s="1129"/>
      <c r="F809" s="1129"/>
      <c r="G809" s="1129"/>
      <c r="H809" s="1129"/>
      <c r="I809" s="59"/>
      <c r="J809" s="59"/>
      <c r="K809" s="59"/>
      <c r="L809" s="60"/>
      <c r="M809" s="1127"/>
      <c r="N809" s="1127"/>
      <c r="O809" s="1127"/>
      <c r="P809" s="1127"/>
      <c r="Q809" s="1127"/>
      <c r="R809" s="1127"/>
      <c r="S809" s="1127"/>
      <c r="T809" s="1127"/>
      <c r="U809" s="1127"/>
      <c r="V809" s="1127"/>
      <c r="W809" s="1127"/>
      <c r="X809" s="1127"/>
      <c r="Y809" s="1127"/>
      <c r="Z809" s="1127"/>
      <c r="AA809" s="1127"/>
      <c r="AB809" s="1127"/>
      <c r="AC809" s="1110"/>
      <c r="AD809" s="1111"/>
      <c r="AE809" s="1111"/>
      <c r="AF809" s="1112"/>
      <c r="AG809" s="1110"/>
      <c r="AH809" s="1111"/>
      <c r="AI809" s="1111"/>
      <c r="AJ809" s="1112"/>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1434</v>
      </c>
      <c r="D810" s="59"/>
      <c r="E810" s="59"/>
      <c r="F810" s="1104" t="s">
        <v>1163</v>
      </c>
      <c r="G810" s="1105"/>
      <c r="H810" s="1105"/>
      <c r="I810" s="1105"/>
      <c r="J810" s="1105"/>
      <c r="K810" s="1105"/>
      <c r="L810" s="1105"/>
      <c r="M810" s="1127"/>
      <c r="N810" s="1127"/>
      <c r="O810" s="1127"/>
      <c r="P810" s="1127"/>
      <c r="Q810" s="1127"/>
      <c r="R810" s="1127"/>
      <c r="S810" s="1127"/>
      <c r="T810" s="1127"/>
      <c r="U810" s="1127"/>
      <c r="V810" s="1127"/>
      <c r="W810" s="1127"/>
      <c r="X810" s="1127"/>
      <c r="Y810" s="1127"/>
      <c r="Z810" s="1127"/>
      <c r="AA810" s="1127"/>
      <c r="AB810" s="1127"/>
      <c r="AC810" s="1110"/>
      <c r="AD810" s="1111"/>
      <c r="AE810" s="1111"/>
      <c r="AF810" s="1112"/>
      <c r="AG810" s="1110"/>
      <c r="AH810" s="1111"/>
      <c r="AI810" s="1111"/>
      <c r="AJ810" s="1112"/>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050" t="s">
        <v>1396</v>
      </c>
      <c r="D811" s="1051"/>
      <c r="E811" s="1051"/>
      <c r="F811" s="1051"/>
      <c r="G811" s="1051"/>
      <c r="H811" s="1051"/>
      <c r="I811" s="1051"/>
      <c r="J811" s="1051"/>
      <c r="K811" s="1051"/>
      <c r="L811" s="1053"/>
      <c r="M811" s="1236">
        <f>SUM(M804:P810)</f>
        <v>0</v>
      </c>
      <c r="N811" s="1236"/>
      <c r="O811" s="1236"/>
      <c r="P811" s="1236"/>
      <c r="Q811" s="1236">
        <f>SUM(Q804:T810)</f>
        <v>0</v>
      </c>
      <c r="R811" s="1236"/>
      <c r="S811" s="1236"/>
      <c r="T811" s="1236"/>
      <c r="U811" s="1236">
        <f>SUM(U804:X810)</f>
        <v>0</v>
      </c>
      <c r="V811" s="1236"/>
      <c r="W811" s="1236"/>
      <c r="X811" s="1236"/>
      <c r="Y811" s="1236">
        <f>SUM(Y804:AB810)</f>
        <v>0</v>
      </c>
      <c r="Z811" s="1236"/>
      <c r="AA811" s="1236"/>
      <c r="AB811" s="1236"/>
      <c r="AC811" s="1236">
        <f>SUM(AC804:AF810)</f>
        <v>0</v>
      </c>
      <c r="AD811" s="1236"/>
      <c r="AE811" s="1236"/>
      <c r="AF811" s="1236"/>
      <c r="AG811" s="1236">
        <f>SUM(AG804:AJ810)</f>
        <v>0</v>
      </c>
      <c r="AH811" s="1236"/>
      <c r="AI811" s="1236"/>
      <c r="AJ811" s="1236"/>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1435</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1436</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1437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441" t="s">
        <v>1438</v>
      </c>
      <c r="D816" s="1442"/>
      <c r="E816" s="1442"/>
      <c r="F816" s="1442"/>
      <c r="G816" s="1442"/>
      <c r="H816" s="1442"/>
      <c r="I816" s="1442"/>
      <c r="J816" s="1442"/>
      <c r="K816" s="1442"/>
      <c r="L816" s="1442"/>
      <c r="M816" s="1442"/>
      <c r="N816" s="1442"/>
      <c r="O816" s="1442"/>
      <c r="P816" s="1442"/>
      <c r="Q816" s="1442"/>
      <c r="R816" s="1442"/>
      <c r="S816" s="1442"/>
      <c r="T816" s="1442"/>
      <c r="U816" s="1442"/>
      <c r="V816" s="1442"/>
      <c r="W816" s="1442"/>
      <c r="X816" s="1442"/>
      <c r="Y816" s="1442"/>
      <c r="Z816" s="1442"/>
      <c r="AA816" s="1442"/>
      <c r="AB816" s="1442"/>
      <c r="AC816" s="1442"/>
      <c r="AD816" s="1442"/>
      <c r="AE816" s="1442"/>
      <c r="AF816" s="1442"/>
      <c r="AG816" s="1442"/>
      <c r="AH816" s="1442"/>
      <c r="AI816" s="1442"/>
      <c r="AJ816" s="1443"/>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1439</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970</v>
      </c>
      <c r="B819"/>
      <c r="C819" s="3" t="s">
        <v>1440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1441</v>
      </c>
      <c r="AX819"/>
      <c r="BA819" s="1189" t="s">
        <v>1442</v>
      </c>
      <c r="BB819" s="1190"/>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1443</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1444</v>
      </c>
      <c r="D821"/>
      <c r="E821"/>
      <c r="F821"/>
      <c r="G821"/>
      <c r="H821"/>
      <c r="I821"/>
      <c r="J821" s="8" t="s">
        <v>1445</v>
      </c>
      <c r="K821" s="9"/>
      <c r="L821" s="9"/>
      <c r="M821" s="9"/>
      <c r="N821" s="9"/>
      <c r="O821" s="9"/>
      <c r="P821" s="9"/>
      <c r="Q821" s="9"/>
      <c r="R821" s="9"/>
      <c r="S821" s="9"/>
      <c r="T821" s="9"/>
      <c r="U821" s="9"/>
      <c r="V821" s="45"/>
      <c r="W821" s="1165">
        <v>250</v>
      </c>
      <c r="X821" s="1165"/>
      <c r="Y821" s="1165"/>
      <c r="Z821" s="1165"/>
      <c r="AA821" s="1165"/>
      <c r="AB821" s="1165"/>
      <c r="AC821" s="1165"/>
      <c r="AD821"/>
      <c r="AE821"/>
      <c r="AF821"/>
      <c r="AG821"/>
      <c r="AH821"/>
      <c r="AI821"/>
      <c r="AJ821"/>
      <c r="AK821"/>
      <c r="AL821"/>
      <c r="AM821" s="37"/>
      <c r="AN821"/>
      <c r="AO821"/>
      <c r="AP821"/>
      <c r="AQ821"/>
      <c r="AR821"/>
      <c r="AS821"/>
      <c r="BA821" s="64" t="s">
        <v>1446</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1447</v>
      </c>
      <c r="K822" s="9"/>
      <c r="L822" s="9"/>
      <c r="M822" s="9"/>
      <c r="N822" s="9"/>
      <c r="O822" s="9"/>
      <c r="P822" s="9"/>
      <c r="Q822" s="9"/>
      <c r="R822" s="9"/>
      <c r="S822" s="9"/>
      <c r="T822" s="9"/>
      <c r="U822" s="9"/>
      <c r="V822" s="45"/>
      <c r="W822" s="1165">
        <v>3500</v>
      </c>
      <c r="X822" s="1165"/>
      <c r="Y822" s="1165"/>
      <c r="Z822" s="1165"/>
      <c r="AA822" s="1165"/>
      <c r="AB822" s="1165"/>
      <c r="AC822" s="1165"/>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1448</v>
      </c>
      <c r="K823" s="9"/>
      <c r="L823" s="9"/>
      <c r="M823" s="9"/>
      <c r="N823" s="9"/>
      <c r="O823" s="9"/>
      <c r="P823" s="9"/>
      <c r="Q823" s="9"/>
      <c r="R823" s="9"/>
      <c r="S823" s="9"/>
      <c r="T823" s="9"/>
      <c r="U823" s="9"/>
      <c r="V823" s="45"/>
      <c r="W823" s="1165">
        <v>7500</v>
      </c>
      <c r="X823" s="1165"/>
      <c r="Y823" s="1165"/>
      <c r="Z823" s="1165"/>
      <c r="AA823" s="1165"/>
      <c r="AB823" s="1165"/>
      <c r="AC823" s="1165"/>
      <c r="AD823"/>
      <c r="AE823"/>
      <c r="AF823"/>
      <c r="AG823"/>
      <c r="AH823"/>
      <c r="AI823"/>
      <c r="AJ823"/>
      <c r="AK823"/>
      <c r="AL823"/>
      <c r="AM823" s="34"/>
      <c r="AN823" s="34"/>
      <c r="BA823" s="64" t="s">
        <v>1442</v>
      </c>
      <c r="BC823" s="885"/>
      <c r="BD823" s="886"/>
      <c r="BE823" s="36"/>
      <c r="BF823" s="36"/>
      <c r="BG823" s="36"/>
    </row>
    <row r="824" spans="1:126" s="5" customFormat="1" ht="12.9" customHeight="1">
      <c r="A824"/>
      <c r="B824"/>
      <c r="C824"/>
      <c r="D824"/>
      <c r="E824"/>
      <c r="F824"/>
      <c r="G824"/>
      <c r="H824"/>
      <c r="I824"/>
      <c r="J824" s="8" t="s">
        <v>1449</v>
      </c>
      <c r="K824" s="9"/>
      <c r="L824" s="9"/>
      <c r="M824" s="9"/>
      <c r="N824" s="9"/>
      <c r="O824" s="9"/>
      <c r="P824" s="9"/>
      <c r="Q824" s="9"/>
      <c r="R824" s="9"/>
      <c r="S824" s="9"/>
      <c r="T824" s="9"/>
      <c r="U824" s="9"/>
      <c r="V824" s="45"/>
      <c r="W824" s="1165"/>
      <c r="X824" s="1165"/>
      <c r="Y824" s="1165"/>
      <c r="Z824" s="1165"/>
      <c r="AA824" s="1165"/>
      <c r="AB824" s="1165"/>
      <c r="AC824" s="116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1162</v>
      </c>
      <c r="K825" s="9"/>
      <c r="L825" s="9"/>
      <c r="M825" s="1104" t="s">
        <v>1450</v>
      </c>
      <c r="N825" s="1105"/>
      <c r="O825" s="1105"/>
      <c r="P825" s="1105"/>
      <c r="Q825" s="1105"/>
      <c r="R825" s="1105"/>
      <c r="S825" s="1105"/>
      <c r="T825" s="1105"/>
      <c r="U825" s="1105"/>
      <c r="V825" s="1106"/>
      <c r="W825" s="1165">
        <v>12200</v>
      </c>
      <c r="X825" s="1165"/>
      <c r="Y825" s="1165"/>
      <c r="Z825" s="1165"/>
      <c r="AA825" s="1165"/>
      <c r="AB825" s="1165"/>
      <c r="AC825" s="116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1446</v>
      </c>
      <c r="BB825" s="35"/>
      <c r="BC825" s="37"/>
      <c r="BD825" s="37"/>
      <c r="BE825" s="36"/>
      <c r="BF825" s="36"/>
      <c r="BG825" s="36"/>
      <c r="BH825" s="21"/>
      <c r="BI825" s="21"/>
      <c r="BJ825" s="21"/>
      <c r="BK825" s="21"/>
      <c r="BL825" s="21"/>
      <c r="BM825" s="21"/>
      <c r="BN825" s="21"/>
      <c r="BO825" s="1186" t="str">
        <f>T189</f>
        <v>Fresno</v>
      </c>
      <c r="BP825" s="1187"/>
      <c r="BQ825" s="1187"/>
      <c r="BR825" s="1187"/>
      <c r="BS825" s="1187"/>
      <c r="BT825" s="1187"/>
      <c r="BU825" s="1188"/>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1451</v>
      </c>
      <c r="W826" s="1173">
        <f>SUM(W821:AC825)</f>
        <v>23450</v>
      </c>
      <c r="X826" s="1174"/>
      <c r="Y826" s="1174"/>
      <c r="Z826" s="1174"/>
      <c r="AA826" s="1174"/>
      <c r="AB826" s="1174"/>
      <c r="AC826" s="1175"/>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1452</v>
      </c>
      <c r="D828"/>
      <c r="E828"/>
      <c r="F828"/>
      <c r="G828"/>
      <c r="H828"/>
      <c r="I828"/>
      <c r="J828" s="1050" t="s">
        <v>1453</v>
      </c>
      <c r="K828" s="1051"/>
      <c r="L828" s="1051"/>
      <c r="M828" s="1051"/>
      <c r="N828" s="1051"/>
      <c r="O828" s="1051"/>
      <c r="P828" s="1051"/>
      <c r="Q828" s="1051"/>
      <c r="R828" s="1051"/>
      <c r="S828" s="1051"/>
      <c r="T828" s="1051"/>
      <c r="U828" s="1051"/>
      <c r="V828" s="1053"/>
      <c r="W828" s="1162">
        <v>24564</v>
      </c>
      <c r="X828" s="1163"/>
      <c r="Y828" s="1163"/>
      <c r="Z828" s="1163"/>
      <c r="AA828" s="1163"/>
      <c r="AB828" s="1163"/>
      <c r="AC828" s="1164"/>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1454</v>
      </c>
      <c r="BC829" s="37"/>
      <c r="BD829" s="37"/>
      <c r="BE829" s="36"/>
      <c r="BF829" s="36"/>
      <c r="BG829" s="36"/>
      <c r="BH829" s="21"/>
      <c r="BI829" s="35" t="s">
        <v>1455</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1456</v>
      </c>
      <c r="K830" s="9"/>
      <c r="L830" s="9"/>
      <c r="M830" s="9"/>
      <c r="N830" s="9"/>
      <c r="O830" s="9"/>
      <c r="P830" s="9"/>
      <c r="Q830" s="9"/>
      <c r="R830" s="9"/>
      <c r="S830" s="9"/>
      <c r="T830" s="9"/>
      <c r="U830" s="9"/>
      <c r="V830" s="45"/>
      <c r="W830" s="1218"/>
      <c r="X830" s="1218"/>
      <c r="Y830" s="1218"/>
      <c r="Z830" s="1218"/>
      <c r="AA830" s="1218"/>
      <c r="AB830" s="1218"/>
      <c r="AC830" s="121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1457</v>
      </c>
      <c r="K831" s="9"/>
      <c r="L831" s="9"/>
      <c r="M831" s="9"/>
      <c r="N831" s="9"/>
      <c r="O831" s="9"/>
      <c r="P831" s="9"/>
      <c r="Q831" s="9"/>
      <c r="R831" s="9"/>
      <c r="S831" s="9"/>
      <c r="T831" s="9"/>
      <c r="U831" s="9"/>
      <c r="V831" s="45"/>
      <c r="W831" s="1218">
        <v>17000</v>
      </c>
      <c r="X831" s="1218"/>
      <c r="Y831" s="1218"/>
      <c r="Z831" s="1218"/>
      <c r="AA831" s="1218"/>
      <c r="AB831" s="1218"/>
      <c r="AC831" s="121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1432</v>
      </c>
      <c r="K832" s="9"/>
      <c r="L832" s="9"/>
      <c r="M832" s="9"/>
      <c r="N832" s="9"/>
      <c r="O832" s="9"/>
      <c r="P832" s="9"/>
      <c r="Q832" s="9"/>
      <c r="R832" s="9"/>
      <c r="S832" s="9"/>
      <c r="T832" s="9"/>
      <c r="U832" s="9"/>
      <c r="V832" s="45"/>
      <c r="W832" s="1218">
        <v>23000</v>
      </c>
      <c r="X832" s="1218"/>
      <c r="Y832" s="1218"/>
      <c r="Z832" s="1218"/>
      <c r="AA832" s="1218"/>
      <c r="AB832" s="1218"/>
      <c r="AC832" s="121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87" t="s">
        <v>1341</v>
      </c>
      <c r="BD832" s="888" t="s">
        <v>1342</v>
      </c>
      <c r="BE832" s="888" t="s">
        <v>1343</v>
      </c>
      <c r="BF832" s="888" t="s">
        <v>1344</v>
      </c>
      <c r="BG832" s="888" t="s">
        <v>1351</v>
      </c>
      <c r="BH832" s="21"/>
      <c r="BI832" s="21"/>
      <c r="BJ832" s="887" t="s">
        <v>1341</v>
      </c>
      <c r="BK832" s="888" t="s">
        <v>1342</v>
      </c>
      <c r="BL832" s="888" t="s">
        <v>1343</v>
      </c>
      <c r="BM832" s="888" t="s">
        <v>1344</v>
      </c>
      <c r="BN832" s="888" t="s">
        <v>1351</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89" t="s">
        <v>1458</v>
      </c>
      <c r="K833" s="9"/>
      <c r="L833" s="9"/>
      <c r="M833" s="9"/>
      <c r="N833" s="9"/>
      <c r="O833" s="9"/>
      <c r="P833" s="9"/>
      <c r="Q833" s="9"/>
      <c r="R833" s="9"/>
      <c r="S833" s="9"/>
      <c r="T833" s="9"/>
      <c r="U833" s="9"/>
      <c r="V833" s="45"/>
      <c r="W833" s="1218">
        <v>17500</v>
      </c>
      <c r="X833" s="1218"/>
      <c r="Y833" s="1218"/>
      <c r="Z833" s="1218"/>
      <c r="AA833" s="1218"/>
      <c r="AB833" s="1218"/>
      <c r="AC833" s="121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86"/>
      <c r="BF833" s="886"/>
      <c r="BG833" s="886"/>
      <c r="BH833" s="21"/>
      <c r="BI833" s="21"/>
      <c r="BJ833" s="885"/>
      <c r="BK833" s="886"/>
      <c r="BL833" s="886"/>
      <c r="BM833" s="886"/>
      <c r="BN833" s="886"/>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1459</v>
      </c>
      <c r="W834" s="1217">
        <f>SUM(W830:AC833)</f>
        <v>57500</v>
      </c>
      <c r="X834" s="1217"/>
      <c r="Y834" s="1217"/>
      <c r="Z834" s="1217"/>
      <c r="AA834" s="1217"/>
      <c r="AB834" s="1217"/>
      <c r="AC834" s="1217"/>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744</v>
      </c>
      <c r="BC834" s="454">
        <v>473390</v>
      </c>
      <c r="BD834" s="454">
        <v>545814</v>
      </c>
      <c r="BE834" s="454">
        <v>658400</v>
      </c>
      <c r="BF834" s="454">
        <v>842752</v>
      </c>
      <c r="BG834" s="454">
        <v>938878</v>
      </c>
      <c r="BH834" s="21"/>
      <c r="BI834" s="228" t="s">
        <v>744</v>
      </c>
      <c r="BJ834" s="454">
        <v>473390</v>
      </c>
      <c r="BK834" s="454">
        <v>545814</v>
      </c>
      <c r="BL834" s="454">
        <v>658400</v>
      </c>
      <c r="BM834" s="454">
        <v>842752</v>
      </c>
      <c r="BN834" s="454">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748</v>
      </c>
      <c r="BC835" s="453">
        <v>352022</v>
      </c>
      <c r="BD835" s="453">
        <v>405878</v>
      </c>
      <c r="BE835" s="453">
        <v>489600</v>
      </c>
      <c r="BF835" s="453">
        <v>626688</v>
      </c>
      <c r="BG835" s="453">
        <v>698170</v>
      </c>
      <c r="BH835" s="21"/>
      <c r="BI835" s="228" t="s">
        <v>748</v>
      </c>
      <c r="BJ835" s="453">
        <v>352022</v>
      </c>
      <c r="BK835" s="453">
        <v>405878</v>
      </c>
      <c r="BL835" s="453">
        <v>489600</v>
      </c>
      <c r="BM835" s="453">
        <v>626688</v>
      </c>
      <c r="BN835" s="453">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1460</v>
      </c>
      <c r="D836"/>
      <c r="E836"/>
      <c r="F836"/>
      <c r="G836"/>
      <c r="H836"/>
      <c r="I836"/>
      <c r="J836" s="8" t="s">
        <v>1461</v>
      </c>
      <c r="K836" s="9"/>
      <c r="L836" s="9"/>
      <c r="M836" s="9"/>
      <c r="N836" s="9"/>
      <c r="O836" s="9"/>
      <c r="P836" s="9"/>
      <c r="Q836" s="9"/>
      <c r="R836" s="9"/>
      <c r="S836" s="9"/>
      <c r="T836" s="9"/>
      <c r="U836" s="9"/>
      <c r="V836" s="45"/>
      <c r="W836" s="1430">
        <v>29870</v>
      </c>
      <c r="X836" s="1431"/>
      <c r="Y836" s="1431"/>
      <c r="Z836" s="1431"/>
      <c r="AA836" s="1431"/>
      <c r="AB836" s="1431"/>
      <c r="AC836" s="1432"/>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752</v>
      </c>
      <c r="BC836" s="454">
        <v>352022</v>
      </c>
      <c r="BD836" s="454">
        <v>405878</v>
      </c>
      <c r="BE836" s="454">
        <v>489600</v>
      </c>
      <c r="BF836" s="454">
        <v>626688</v>
      </c>
      <c r="BG836" s="454">
        <v>698170</v>
      </c>
      <c r="BH836" s="21"/>
      <c r="BI836" s="228" t="s">
        <v>752</v>
      </c>
      <c r="BJ836" s="454">
        <v>352022</v>
      </c>
      <c r="BK836" s="454">
        <v>405878</v>
      </c>
      <c r="BL836" s="454">
        <v>489600</v>
      </c>
      <c r="BM836" s="454">
        <v>626688</v>
      </c>
      <c r="BN836" s="454">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1462</v>
      </c>
      <c r="K837" s="9"/>
      <c r="L837" s="9"/>
      <c r="M837" s="9"/>
      <c r="N837" s="9"/>
      <c r="O837" s="9"/>
      <c r="P837" s="9"/>
      <c r="Q837" s="9"/>
      <c r="R837" s="9"/>
      <c r="S837" s="9"/>
      <c r="T837" s="1435">
        <v>1</v>
      </c>
      <c r="U837" s="1436"/>
      <c r="V837" s="1437"/>
      <c r="W837" s="699"/>
      <c r="X837" s="700"/>
      <c r="Y837" s="700"/>
      <c r="Z837" s="700"/>
      <c r="AA837" s="700"/>
      <c r="AB837" s="700"/>
      <c r="AC837" s="701"/>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756</v>
      </c>
      <c r="BC837" s="453">
        <v>319236</v>
      </c>
      <c r="BD837" s="453">
        <v>368076</v>
      </c>
      <c r="BE837" s="453">
        <v>444000</v>
      </c>
      <c r="BF837" s="453">
        <v>568320</v>
      </c>
      <c r="BG837" s="453">
        <v>633144</v>
      </c>
      <c r="BH837" s="21"/>
      <c r="BI837" s="228" t="s">
        <v>756</v>
      </c>
      <c r="BJ837" s="453">
        <v>319236</v>
      </c>
      <c r="BK837" s="453">
        <v>368076</v>
      </c>
      <c r="BL837" s="453">
        <v>444000</v>
      </c>
      <c r="BM837" s="453">
        <v>568320</v>
      </c>
      <c r="BN837" s="453">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1463</v>
      </c>
      <c r="D838"/>
      <c r="E838"/>
      <c r="F838"/>
      <c r="G838"/>
      <c r="H838"/>
      <c r="I838"/>
      <c r="J838" s="8" t="s">
        <v>1464</v>
      </c>
      <c r="K838" s="9"/>
      <c r="L838" s="9"/>
      <c r="M838" s="9"/>
      <c r="N838" s="9"/>
      <c r="O838" s="9"/>
      <c r="P838" s="9"/>
      <c r="Q838" s="9"/>
      <c r="R838" s="9"/>
      <c r="S838" s="9"/>
      <c r="T838" s="9"/>
      <c r="U838" s="9"/>
      <c r="V838" s="45"/>
      <c r="W838" s="1430">
        <v>21630</v>
      </c>
      <c r="X838" s="1431"/>
      <c r="Y838" s="1431"/>
      <c r="Z838" s="1431"/>
      <c r="AA838" s="1431"/>
      <c r="AB838" s="1431"/>
      <c r="AC838" s="1432"/>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760</v>
      </c>
      <c r="BC838" s="454">
        <v>352022</v>
      </c>
      <c r="BD838" s="454">
        <v>405878</v>
      </c>
      <c r="BE838" s="454">
        <v>489600</v>
      </c>
      <c r="BF838" s="454">
        <v>626688</v>
      </c>
      <c r="BG838" s="454">
        <v>698170</v>
      </c>
      <c r="BH838" s="21"/>
      <c r="BI838" s="228" t="s">
        <v>760</v>
      </c>
      <c r="BJ838" s="454">
        <v>352022</v>
      </c>
      <c r="BK838" s="454">
        <v>405878</v>
      </c>
      <c r="BL838" s="454">
        <v>489600</v>
      </c>
      <c r="BM838" s="454">
        <v>626688</v>
      </c>
      <c r="BN838" s="454">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1465</v>
      </c>
      <c r="K839" s="9"/>
      <c r="L839" s="9"/>
      <c r="M839" s="9"/>
      <c r="N839" s="9"/>
      <c r="O839" s="9"/>
      <c r="P839" s="9"/>
      <c r="Q839" s="9"/>
      <c r="R839" s="9"/>
      <c r="S839" s="9"/>
      <c r="T839" s="1435">
        <v>1</v>
      </c>
      <c r="U839" s="1436"/>
      <c r="V839" s="1437"/>
      <c r="W839" s="699"/>
      <c r="X839" s="700"/>
      <c r="Y839" s="700"/>
      <c r="Z839" s="700"/>
      <c r="AA839" s="700"/>
      <c r="AB839" s="700"/>
      <c r="AC839" s="701"/>
      <c r="AL839" s="23"/>
      <c r="AM839" s="37"/>
      <c r="AN839" s="37"/>
      <c r="AO839" s="37"/>
      <c r="AP839" s="37"/>
      <c r="AQ839" s="37"/>
      <c r="AR839" s="21"/>
      <c r="AS839" s="21"/>
      <c r="AT839" s="37"/>
      <c r="AU839" s="37"/>
      <c r="AV839" s="37"/>
      <c r="AW839" s="37"/>
      <c r="AX839" s="37"/>
      <c r="AY839" s="37"/>
      <c r="AZ839" s="37"/>
      <c r="BA839" s="37"/>
      <c r="BB839" s="228" t="s">
        <v>765</v>
      </c>
      <c r="BC839" s="453">
        <v>352022</v>
      </c>
      <c r="BD839" s="453">
        <v>405878</v>
      </c>
      <c r="BE839" s="453">
        <v>489600</v>
      </c>
      <c r="BF839" s="453">
        <v>626688</v>
      </c>
      <c r="BG839" s="453">
        <v>698170</v>
      </c>
      <c r="BH839" s="21"/>
      <c r="BI839" s="228" t="s">
        <v>765</v>
      </c>
      <c r="BJ839" s="453">
        <v>352022</v>
      </c>
      <c r="BK839" s="453">
        <v>405878</v>
      </c>
      <c r="BL839" s="453">
        <v>489600</v>
      </c>
      <c r="BM839" s="453">
        <v>626688</v>
      </c>
      <c r="BN839" s="453">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1162</v>
      </c>
      <c r="K840" s="9"/>
      <c r="L840" s="9"/>
      <c r="M840" s="1104" t="s">
        <v>1466</v>
      </c>
      <c r="N840" s="1105"/>
      <c r="O840" s="1105"/>
      <c r="P840" s="1105"/>
      <c r="Q840" s="1105"/>
      <c r="R840" s="1105"/>
      <c r="S840" s="1105"/>
      <c r="T840" s="1105"/>
      <c r="U840" s="1105"/>
      <c r="V840" s="1106"/>
      <c r="W840" s="1430">
        <v>14132</v>
      </c>
      <c r="X840" s="1431"/>
      <c r="Y840" s="1431"/>
      <c r="Z840" s="1431"/>
      <c r="AA840" s="1431"/>
      <c r="AB840" s="1431"/>
      <c r="AC840" s="1432"/>
      <c r="AL840" s="23"/>
      <c r="AM840" s="37"/>
      <c r="AN840" s="37"/>
      <c r="AO840" s="37"/>
      <c r="AP840" s="37"/>
      <c r="AQ840" s="37"/>
      <c r="AR840" s="21"/>
      <c r="AS840" s="21"/>
      <c r="AT840" s="37"/>
      <c r="AU840" s="37"/>
      <c r="AV840" s="37"/>
      <c r="AW840" s="37"/>
      <c r="AX840" s="37"/>
      <c r="AY840" s="37"/>
      <c r="AZ840" s="37"/>
      <c r="BA840" s="37"/>
      <c r="BB840" s="228" t="s">
        <v>768</v>
      </c>
      <c r="BC840" s="454">
        <v>473390</v>
      </c>
      <c r="BD840" s="454">
        <v>545814</v>
      </c>
      <c r="BE840" s="454">
        <v>658400</v>
      </c>
      <c r="BF840" s="454">
        <v>842752</v>
      </c>
      <c r="BG840" s="454">
        <v>938878</v>
      </c>
      <c r="BH840" s="21"/>
      <c r="BI840" s="228" t="s">
        <v>768</v>
      </c>
      <c r="BJ840" s="454">
        <v>473390</v>
      </c>
      <c r="BK840" s="454">
        <v>545814</v>
      </c>
      <c r="BL840" s="454">
        <v>658400</v>
      </c>
      <c r="BM840" s="454">
        <v>842752</v>
      </c>
      <c r="BN840" s="454">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1467</v>
      </c>
      <c r="W841" s="1122">
        <f>SUM(W836:AC840)</f>
        <v>65632</v>
      </c>
      <c r="X841" s="1123"/>
      <c r="Y841" s="1123"/>
      <c r="Z841" s="1123"/>
      <c r="AA841" s="1123"/>
      <c r="AB841" s="1123"/>
      <c r="AC841" s="1124"/>
      <c r="AL841" s="23"/>
      <c r="AM841" s="34"/>
      <c r="AN841" s="34"/>
      <c r="AO841" s="21"/>
      <c r="AP841" s="21"/>
      <c r="AQ841" s="21"/>
      <c r="AR841" s="21"/>
      <c r="AS841" s="21"/>
      <c r="AT841" s="37"/>
      <c r="AU841" s="37"/>
      <c r="AV841" s="37"/>
      <c r="AW841" s="37"/>
      <c r="AX841" s="37"/>
      <c r="AY841" s="37"/>
      <c r="AZ841" s="37"/>
      <c r="BA841" s="37"/>
      <c r="BB841" s="228" t="s">
        <v>772</v>
      </c>
      <c r="BC841" s="453">
        <v>352022</v>
      </c>
      <c r="BD841" s="453">
        <v>405878</v>
      </c>
      <c r="BE841" s="453">
        <v>489600</v>
      </c>
      <c r="BF841" s="453">
        <v>626688</v>
      </c>
      <c r="BG841" s="453">
        <v>698170</v>
      </c>
      <c r="BH841" s="21"/>
      <c r="BI841" s="228" t="s">
        <v>772</v>
      </c>
      <c r="BJ841" s="453">
        <v>352022</v>
      </c>
      <c r="BK841" s="453">
        <v>405878</v>
      </c>
      <c r="BL841" s="453">
        <v>489600</v>
      </c>
      <c r="BM841" s="453">
        <v>626688</v>
      </c>
      <c r="BN841" s="453">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1468</v>
      </c>
      <c r="W842" s="1430">
        <v>10582</v>
      </c>
      <c r="X842" s="1431"/>
      <c r="Y842" s="1431"/>
      <c r="Z842" s="1431"/>
      <c r="AA842" s="1431"/>
      <c r="AB842" s="1431"/>
      <c r="AC842" s="1432"/>
      <c r="AL842" s="23"/>
      <c r="AM842" s="34"/>
      <c r="AN842" s="34"/>
      <c r="AO842" s="21"/>
      <c r="AP842" s="21"/>
      <c r="AQ842" s="21"/>
      <c r="AR842" s="21"/>
      <c r="AS842" s="21"/>
      <c r="AT842" s="37"/>
      <c r="AU842" s="37"/>
      <c r="AV842" s="37"/>
      <c r="AW842" s="37"/>
      <c r="AX842" s="37"/>
      <c r="AY842" s="37"/>
      <c r="AZ842" s="37"/>
      <c r="BA842" s="37"/>
      <c r="BB842" s="228" t="s">
        <v>774</v>
      </c>
      <c r="BC842" s="454">
        <v>331890</v>
      </c>
      <c r="BD842" s="454">
        <v>382666</v>
      </c>
      <c r="BE842" s="454">
        <v>461600</v>
      </c>
      <c r="BF842" s="454">
        <v>590848</v>
      </c>
      <c r="BG842" s="454">
        <v>658242</v>
      </c>
      <c r="BH842" s="21"/>
      <c r="BI842" s="228" t="s">
        <v>774</v>
      </c>
      <c r="BJ842" s="454">
        <v>331890</v>
      </c>
      <c r="BK842" s="454">
        <v>382666</v>
      </c>
      <c r="BL842" s="454">
        <v>461600</v>
      </c>
      <c r="BM842" s="454">
        <v>590848</v>
      </c>
      <c r="BN842" s="454">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777</v>
      </c>
      <c r="BC843" s="453">
        <v>307732</v>
      </c>
      <c r="BD843" s="453">
        <v>354812</v>
      </c>
      <c r="BE843" s="453">
        <v>428000</v>
      </c>
      <c r="BF843" s="453">
        <v>547840</v>
      </c>
      <c r="BG843" s="453">
        <v>610328</v>
      </c>
      <c r="BH843" s="21"/>
      <c r="BI843" s="228" t="s">
        <v>777</v>
      </c>
      <c r="BJ843" s="453">
        <v>307732</v>
      </c>
      <c r="BK843" s="453">
        <v>354812</v>
      </c>
      <c r="BL843" s="453">
        <v>428000</v>
      </c>
      <c r="BM843" s="453">
        <v>547840</v>
      </c>
      <c r="BN843" s="453">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1469</v>
      </c>
      <c r="K844" s="9"/>
      <c r="L844" s="9"/>
      <c r="M844" s="9"/>
      <c r="N844" s="9"/>
      <c r="O844" s="9"/>
      <c r="P844" s="9"/>
      <c r="Q844" s="9"/>
      <c r="R844" s="9"/>
      <c r="S844" s="9"/>
      <c r="T844" s="9"/>
      <c r="U844" s="9"/>
      <c r="V844" s="45"/>
      <c r="W844" s="1165">
        <v>2050</v>
      </c>
      <c r="X844" s="1165"/>
      <c r="Y844" s="1165"/>
      <c r="Z844" s="1165"/>
      <c r="AA844" s="1165"/>
      <c r="AB844" s="1165"/>
      <c r="AC844" s="1165"/>
      <c r="AM844" s="34"/>
      <c r="AN844" s="34"/>
      <c r="AO844" s="21"/>
      <c r="AP844" s="21"/>
      <c r="AQ844" s="21"/>
      <c r="AR844" s="21"/>
      <c r="AS844" s="21"/>
      <c r="AT844" s="37"/>
      <c r="AU844" s="37"/>
      <c r="AV844" s="37"/>
      <c r="AW844" s="37"/>
      <c r="AX844" s="37"/>
      <c r="AY844" s="37"/>
      <c r="AZ844" s="37"/>
      <c r="BA844" s="37"/>
      <c r="BB844" s="228" t="s">
        <v>780</v>
      </c>
      <c r="BC844" s="454">
        <v>352022</v>
      </c>
      <c r="BD844" s="454">
        <v>405878</v>
      </c>
      <c r="BE844" s="454">
        <v>489600</v>
      </c>
      <c r="BF844" s="454">
        <v>626688</v>
      </c>
      <c r="BG844" s="454">
        <v>698170</v>
      </c>
      <c r="BH844" s="21"/>
      <c r="BI844" s="228" t="s">
        <v>780</v>
      </c>
      <c r="BJ844" s="454">
        <v>352022</v>
      </c>
      <c r="BK844" s="454">
        <v>405878</v>
      </c>
      <c r="BL844" s="454">
        <v>489600</v>
      </c>
      <c r="BM844" s="454">
        <v>626688</v>
      </c>
      <c r="BN844" s="454">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1470</v>
      </c>
      <c r="K845" s="9"/>
      <c r="L845" s="9"/>
      <c r="M845" s="9"/>
      <c r="N845" s="9"/>
      <c r="O845" s="9"/>
      <c r="P845" s="9"/>
      <c r="Q845" s="9"/>
      <c r="R845" s="9"/>
      <c r="S845" s="9"/>
      <c r="T845" s="9"/>
      <c r="U845" s="9"/>
      <c r="V845" s="45"/>
      <c r="W845" s="1165">
        <v>15000</v>
      </c>
      <c r="X845" s="1165"/>
      <c r="Y845" s="1165"/>
      <c r="Z845" s="1165"/>
      <c r="AA845" s="1165"/>
      <c r="AB845" s="1165"/>
      <c r="AC845" s="116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782</v>
      </c>
      <c r="BC845" s="453">
        <v>352022</v>
      </c>
      <c r="BD845" s="453">
        <v>405878</v>
      </c>
      <c r="BE845" s="453">
        <v>489600</v>
      </c>
      <c r="BF845" s="453">
        <v>626688</v>
      </c>
      <c r="BG845" s="453">
        <v>698170</v>
      </c>
      <c r="BH845" s="21"/>
      <c r="BI845" s="228" t="s">
        <v>782</v>
      </c>
      <c r="BJ845" s="453">
        <v>352022</v>
      </c>
      <c r="BK845" s="453">
        <v>405878</v>
      </c>
      <c r="BL845" s="453">
        <v>489600</v>
      </c>
      <c r="BM845" s="453">
        <v>626688</v>
      </c>
      <c r="BN845" s="453">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1471</v>
      </c>
      <c r="K846" s="9"/>
      <c r="L846" s="9"/>
      <c r="M846" s="9"/>
      <c r="N846" s="9"/>
      <c r="O846" s="9"/>
      <c r="P846" s="9"/>
      <c r="Q846" s="9"/>
      <c r="R846" s="9"/>
      <c r="S846" s="9"/>
      <c r="T846" s="9"/>
      <c r="U846" s="9"/>
      <c r="V846" s="45"/>
      <c r="W846" s="1165">
        <v>2640</v>
      </c>
      <c r="X846" s="1165"/>
      <c r="Y846" s="1165"/>
      <c r="Z846" s="1165"/>
      <c r="AA846" s="1165"/>
      <c r="AB846" s="1165"/>
      <c r="AC846" s="116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785</v>
      </c>
      <c r="BC846" s="454">
        <v>314634</v>
      </c>
      <c r="BD846" s="454">
        <v>362770</v>
      </c>
      <c r="BE846" s="454">
        <v>437600</v>
      </c>
      <c r="BF846" s="454">
        <v>560128</v>
      </c>
      <c r="BG846" s="454">
        <v>624018</v>
      </c>
      <c r="BH846" s="21"/>
      <c r="BI846" s="228" t="s">
        <v>785</v>
      </c>
      <c r="BJ846" s="454">
        <v>314634</v>
      </c>
      <c r="BK846" s="454">
        <v>362770</v>
      </c>
      <c r="BL846" s="454">
        <v>437600</v>
      </c>
      <c r="BM846" s="454">
        <v>560128</v>
      </c>
      <c r="BN846" s="454">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1472</v>
      </c>
      <c r="K847" s="9"/>
      <c r="L847" s="9"/>
      <c r="M847" s="9"/>
      <c r="N847" s="9"/>
      <c r="O847" s="9"/>
      <c r="P847" s="9"/>
      <c r="Q847" s="9"/>
      <c r="R847" s="9"/>
      <c r="S847" s="9"/>
      <c r="T847" s="9"/>
      <c r="U847" s="9"/>
      <c r="V847" s="45"/>
      <c r="W847" s="1165">
        <v>4110</v>
      </c>
      <c r="X847" s="1165"/>
      <c r="Y847" s="1165"/>
      <c r="Z847" s="1165"/>
      <c r="AA847" s="1165"/>
      <c r="AB847" s="1165"/>
      <c r="AC847" s="116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787</v>
      </c>
      <c r="BC847" s="453">
        <v>352022</v>
      </c>
      <c r="BD847" s="453">
        <v>405878</v>
      </c>
      <c r="BE847" s="453">
        <v>489600</v>
      </c>
      <c r="BF847" s="453">
        <v>626688</v>
      </c>
      <c r="BG847" s="453">
        <v>698170</v>
      </c>
      <c r="BH847" s="21"/>
      <c r="BI847" s="228" t="s">
        <v>787</v>
      </c>
      <c r="BJ847" s="453">
        <v>352022</v>
      </c>
      <c r="BK847" s="453">
        <v>405878</v>
      </c>
      <c r="BL847" s="453">
        <v>489600</v>
      </c>
      <c r="BM847" s="453">
        <v>626688</v>
      </c>
      <c r="BN847" s="453">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1473</v>
      </c>
      <c r="K848" s="9"/>
      <c r="L848" s="9"/>
      <c r="M848" s="9"/>
      <c r="N848" s="9"/>
      <c r="O848" s="9"/>
      <c r="P848" s="9"/>
      <c r="Q848" s="9"/>
      <c r="R848" s="9"/>
      <c r="S848" s="9"/>
      <c r="T848" s="9"/>
      <c r="U848" s="9"/>
      <c r="V848" s="45"/>
      <c r="W848" s="1165">
        <v>14500</v>
      </c>
      <c r="X848" s="1165"/>
      <c r="Y848" s="1165"/>
      <c r="Z848" s="1165"/>
      <c r="AA848" s="1165"/>
      <c r="AB848" s="1165"/>
      <c r="AC848" s="116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789</v>
      </c>
      <c r="BC848" s="454">
        <v>307732</v>
      </c>
      <c r="BD848" s="454">
        <v>354812</v>
      </c>
      <c r="BE848" s="454">
        <v>428000</v>
      </c>
      <c r="BF848" s="454">
        <v>547840</v>
      </c>
      <c r="BG848" s="454">
        <v>610328</v>
      </c>
      <c r="BH848" s="21"/>
      <c r="BI848" s="228" t="s">
        <v>789</v>
      </c>
      <c r="BJ848" s="454">
        <v>307732</v>
      </c>
      <c r="BK848" s="454">
        <v>354812</v>
      </c>
      <c r="BL848" s="454">
        <v>428000</v>
      </c>
      <c r="BM848" s="454">
        <v>547840</v>
      </c>
      <c r="BN848" s="454">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1474</v>
      </c>
      <c r="K849" s="9"/>
      <c r="L849" s="9"/>
      <c r="M849" s="9"/>
      <c r="N849" s="9"/>
      <c r="O849" s="9"/>
      <c r="P849" s="9"/>
      <c r="Q849" s="9"/>
      <c r="R849" s="9"/>
      <c r="S849" s="9"/>
      <c r="T849" s="9"/>
      <c r="U849" s="9"/>
      <c r="V849" s="45"/>
      <c r="W849" s="1165"/>
      <c r="X849" s="1165"/>
      <c r="Y849" s="1165"/>
      <c r="Z849" s="1165"/>
      <c r="AA849" s="1165"/>
      <c r="AB849" s="1165"/>
      <c r="AC849" s="116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792</v>
      </c>
      <c r="BC849" s="453">
        <v>307732</v>
      </c>
      <c r="BD849" s="453">
        <v>354812</v>
      </c>
      <c r="BE849" s="453">
        <v>428000</v>
      </c>
      <c r="BF849" s="453">
        <v>547840</v>
      </c>
      <c r="BG849" s="453">
        <v>610328</v>
      </c>
      <c r="BH849" s="21"/>
      <c r="BI849" s="228" t="s">
        <v>792</v>
      </c>
      <c r="BJ849" s="453">
        <v>307732</v>
      </c>
      <c r="BK849" s="453">
        <v>354812</v>
      </c>
      <c r="BL849" s="453">
        <v>428000</v>
      </c>
      <c r="BM849" s="453">
        <v>547840</v>
      </c>
      <c r="BN849" s="453">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1162</v>
      </c>
      <c r="K850" s="9"/>
      <c r="L850" s="9"/>
      <c r="M850" s="1104" t="s">
        <v>1163</v>
      </c>
      <c r="N850" s="1105"/>
      <c r="O850" s="1105"/>
      <c r="P850" s="1105"/>
      <c r="Q850" s="1105"/>
      <c r="R850" s="1105"/>
      <c r="S850" s="1105"/>
      <c r="T850" s="1105"/>
      <c r="U850" s="1105"/>
      <c r="V850" s="1106"/>
      <c r="W850" s="1165"/>
      <c r="X850" s="1165"/>
      <c r="Y850" s="1165"/>
      <c r="Z850" s="1165"/>
      <c r="AA850" s="1165"/>
      <c r="AB850" s="1165"/>
      <c r="AC850" s="116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796</v>
      </c>
      <c r="BC850" s="454">
        <v>352022</v>
      </c>
      <c r="BD850" s="454">
        <v>405878</v>
      </c>
      <c r="BE850" s="454">
        <v>489600</v>
      </c>
      <c r="BF850" s="454">
        <v>626688</v>
      </c>
      <c r="BG850" s="454">
        <v>698170</v>
      </c>
      <c r="BH850" s="21"/>
      <c r="BI850" s="228" t="s">
        <v>796</v>
      </c>
      <c r="BJ850" s="454">
        <v>352022</v>
      </c>
      <c r="BK850" s="454">
        <v>405878</v>
      </c>
      <c r="BL850" s="454">
        <v>489600</v>
      </c>
      <c r="BM850" s="454">
        <v>626688</v>
      </c>
      <c r="BN850" s="454">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1475</v>
      </c>
      <c r="W851" s="1240">
        <f>SUM(W844:AC850)</f>
        <v>38300</v>
      </c>
      <c r="X851" s="1240"/>
      <c r="Y851" s="1240"/>
      <c r="Z851" s="1240"/>
      <c r="AA851" s="1240"/>
      <c r="AB851" s="1240"/>
      <c r="AC851" s="1240"/>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799</v>
      </c>
      <c r="BC851" s="453">
        <v>352022</v>
      </c>
      <c r="BD851" s="453">
        <v>405878</v>
      </c>
      <c r="BE851" s="453">
        <v>489600</v>
      </c>
      <c r="BF851" s="453">
        <v>626688</v>
      </c>
      <c r="BG851" s="453">
        <v>698170</v>
      </c>
      <c r="BH851" s="21"/>
      <c r="BI851" s="228" t="s">
        <v>799</v>
      </c>
      <c r="BJ851" s="453">
        <v>352022</v>
      </c>
      <c r="BK851" s="453">
        <v>405878</v>
      </c>
      <c r="BL851" s="453">
        <v>489600</v>
      </c>
      <c r="BM851" s="453">
        <v>626688</v>
      </c>
      <c r="BN851" s="453">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805</v>
      </c>
      <c r="BC852" s="454">
        <v>437727</v>
      </c>
      <c r="BD852" s="454">
        <v>504695</v>
      </c>
      <c r="BE852" s="454">
        <v>608800</v>
      </c>
      <c r="BF852" s="454">
        <v>779264</v>
      </c>
      <c r="BG852" s="454">
        <v>868149</v>
      </c>
      <c r="BH852" s="21"/>
      <c r="BI852" s="228" t="s">
        <v>805</v>
      </c>
      <c r="BJ852" s="454">
        <v>437727</v>
      </c>
      <c r="BK852" s="454">
        <v>504695</v>
      </c>
      <c r="BL852" s="454">
        <v>608800</v>
      </c>
      <c r="BM852" s="454">
        <v>779264</v>
      </c>
      <c r="BN852" s="454">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1476</v>
      </c>
      <c r="D853"/>
      <c r="E853"/>
      <c r="F853"/>
      <c r="G853"/>
      <c r="H853"/>
      <c r="I853"/>
      <c r="J853" s="8" t="s">
        <v>1162</v>
      </c>
      <c r="K853" s="9"/>
      <c r="L853" s="9"/>
      <c r="M853" s="1104" t="s">
        <v>1477</v>
      </c>
      <c r="N853" s="1105"/>
      <c r="O853" s="1105"/>
      <c r="P853" s="1105"/>
      <c r="Q853" s="1105"/>
      <c r="R853" s="1105"/>
      <c r="S853" s="1105"/>
      <c r="T853" s="1105"/>
      <c r="U853" s="1105"/>
      <c r="V853" s="1106"/>
      <c r="W853" s="1162">
        <v>1270</v>
      </c>
      <c r="X853" s="1163"/>
      <c r="Y853" s="1163"/>
      <c r="Z853" s="1163"/>
      <c r="AA853" s="1163"/>
      <c r="AB853" s="1163"/>
      <c r="AC853" s="1164"/>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808</v>
      </c>
      <c r="BC853" s="453">
        <v>307732</v>
      </c>
      <c r="BD853" s="453">
        <v>354812</v>
      </c>
      <c r="BE853" s="453">
        <v>428000</v>
      </c>
      <c r="BF853" s="453">
        <v>547840</v>
      </c>
      <c r="BG853" s="453">
        <v>610328</v>
      </c>
      <c r="BH853" s="21"/>
      <c r="BI853" s="228" t="s">
        <v>808</v>
      </c>
      <c r="BJ853" s="453">
        <v>307732</v>
      </c>
      <c r="BK853" s="453">
        <v>354812</v>
      </c>
      <c r="BL853" s="453">
        <v>428000</v>
      </c>
      <c r="BM853" s="453">
        <v>547840</v>
      </c>
      <c r="BN853" s="453">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1478</v>
      </c>
      <c r="D854"/>
      <c r="E854"/>
      <c r="F854"/>
      <c r="G854"/>
      <c r="H854"/>
      <c r="I854"/>
      <c r="J854" s="8" t="s">
        <v>1162</v>
      </c>
      <c r="K854" s="9"/>
      <c r="L854" s="9"/>
      <c r="M854" s="1104" t="s">
        <v>1163</v>
      </c>
      <c r="N854" s="1105"/>
      <c r="O854" s="1105"/>
      <c r="P854" s="1105"/>
      <c r="Q854" s="1105"/>
      <c r="R854" s="1105"/>
      <c r="S854" s="1105"/>
      <c r="T854" s="1105"/>
      <c r="U854" s="1105"/>
      <c r="V854" s="1106"/>
      <c r="W854" s="1162"/>
      <c r="X854" s="1163"/>
      <c r="Y854" s="1163"/>
      <c r="Z854" s="1163"/>
      <c r="AA854" s="1163"/>
      <c r="AB854" s="1163"/>
      <c r="AC854" s="1164"/>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811</v>
      </c>
      <c r="BC854" s="454">
        <v>384234</v>
      </c>
      <c r="BD854" s="454">
        <v>443018</v>
      </c>
      <c r="BE854" s="454">
        <v>534400</v>
      </c>
      <c r="BF854" s="454">
        <v>684032</v>
      </c>
      <c r="BG854" s="454">
        <v>762054</v>
      </c>
      <c r="BH854" s="21"/>
      <c r="BI854" s="228" t="s">
        <v>811</v>
      </c>
      <c r="BJ854" s="454">
        <v>384234</v>
      </c>
      <c r="BK854" s="454">
        <v>443018</v>
      </c>
      <c r="BL854" s="454">
        <v>534400</v>
      </c>
      <c r="BM854" s="454">
        <v>684032</v>
      </c>
      <c r="BN854" s="454">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1162</v>
      </c>
      <c r="K855" s="9"/>
      <c r="L855" s="9"/>
      <c r="M855" s="1104" t="s">
        <v>1163</v>
      </c>
      <c r="N855" s="1105"/>
      <c r="O855" s="1105"/>
      <c r="P855" s="1105"/>
      <c r="Q855" s="1105"/>
      <c r="R855" s="1105"/>
      <c r="S855" s="1105"/>
      <c r="T855" s="1105"/>
      <c r="U855" s="1105"/>
      <c r="V855" s="1106"/>
      <c r="W855" s="1162"/>
      <c r="X855" s="1163"/>
      <c r="Y855" s="1163"/>
      <c r="Z855" s="1163"/>
      <c r="AA855" s="1163"/>
      <c r="AB855" s="1163"/>
      <c r="AC855" s="116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814</v>
      </c>
      <c r="BC855" s="453">
        <v>352022</v>
      </c>
      <c r="BD855" s="453">
        <v>405878</v>
      </c>
      <c r="BE855" s="453">
        <v>489600</v>
      </c>
      <c r="BF855" s="453">
        <v>626688</v>
      </c>
      <c r="BG855" s="453">
        <v>698170</v>
      </c>
      <c r="BH855" s="21"/>
      <c r="BI855" s="228" t="s">
        <v>814</v>
      </c>
      <c r="BJ855" s="453">
        <v>352022</v>
      </c>
      <c r="BK855" s="453">
        <v>405878</v>
      </c>
      <c r="BL855" s="453">
        <v>489600</v>
      </c>
      <c r="BM855" s="453">
        <v>626688</v>
      </c>
      <c r="BN855" s="453">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1162</v>
      </c>
      <c r="K856" s="9"/>
      <c r="L856" s="9"/>
      <c r="M856" s="1104" t="s">
        <v>1163</v>
      </c>
      <c r="N856" s="1105"/>
      <c r="O856" s="1105"/>
      <c r="P856" s="1105"/>
      <c r="Q856" s="1105"/>
      <c r="R856" s="1105"/>
      <c r="S856" s="1105"/>
      <c r="T856" s="1105"/>
      <c r="U856" s="1105"/>
      <c r="V856" s="1106"/>
      <c r="W856" s="1162"/>
      <c r="X856" s="1163"/>
      <c r="Y856" s="1163"/>
      <c r="Z856" s="1163"/>
      <c r="AA856" s="1163"/>
      <c r="AB856" s="1163"/>
      <c r="AC856" s="116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816</v>
      </c>
      <c r="BC856" s="454">
        <v>352022</v>
      </c>
      <c r="BD856" s="454">
        <v>405878</v>
      </c>
      <c r="BE856" s="454">
        <v>489600</v>
      </c>
      <c r="BF856" s="454">
        <v>626688</v>
      </c>
      <c r="BG856" s="454">
        <v>698170</v>
      </c>
      <c r="BH856" s="21"/>
      <c r="BI856" s="228" t="s">
        <v>816</v>
      </c>
      <c r="BJ856" s="454">
        <v>352022</v>
      </c>
      <c r="BK856" s="454">
        <v>405878</v>
      </c>
      <c r="BL856" s="454">
        <v>489600</v>
      </c>
      <c r="BM856" s="454">
        <v>626688</v>
      </c>
      <c r="BN856" s="454">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1162</v>
      </c>
      <c r="K857" s="9"/>
      <c r="L857" s="9"/>
      <c r="M857" s="1104" t="s">
        <v>1163</v>
      </c>
      <c r="N857" s="1105"/>
      <c r="O857" s="1105"/>
      <c r="P857" s="1105"/>
      <c r="Q857" s="1105"/>
      <c r="R857" s="1105"/>
      <c r="S857" s="1105"/>
      <c r="T857" s="1105"/>
      <c r="U857" s="1105"/>
      <c r="V857" s="1106"/>
      <c r="W857" s="1162"/>
      <c r="X857" s="1163"/>
      <c r="Y857" s="1163"/>
      <c r="Z857" s="1163"/>
      <c r="AA857" s="1163"/>
      <c r="AB857" s="1163"/>
      <c r="AC857" s="1164"/>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819</v>
      </c>
      <c r="BC857" s="453">
        <v>307732</v>
      </c>
      <c r="BD857" s="453">
        <v>354812</v>
      </c>
      <c r="BE857" s="453">
        <v>428000</v>
      </c>
      <c r="BF857" s="453">
        <v>547840</v>
      </c>
      <c r="BG857" s="453">
        <v>610328</v>
      </c>
      <c r="BH857" s="21"/>
      <c r="BI857" s="228" t="s">
        <v>819</v>
      </c>
      <c r="BJ857" s="453">
        <v>307732</v>
      </c>
      <c r="BK857" s="453">
        <v>354812</v>
      </c>
      <c r="BL857" s="453">
        <v>428000</v>
      </c>
      <c r="BM857" s="453">
        <v>547840</v>
      </c>
      <c r="BN857" s="453">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1479</v>
      </c>
      <c r="W858" s="1173">
        <f>SUM(W853:AC857)</f>
        <v>1270</v>
      </c>
      <c r="X858" s="1174"/>
      <c r="Y858" s="1174"/>
      <c r="Z858" s="1174"/>
      <c r="AA858" s="1174"/>
      <c r="AB858" s="1174"/>
      <c r="AC858" s="1175"/>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822</v>
      </c>
      <c r="BC858" s="454">
        <v>352022</v>
      </c>
      <c r="BD858" s="454">
        <v>405878</v>
      </c>
      <c r="BE858" s="454">
        <v>489600</v>
      </c>
      <c r="BF858" s="454">
        <v>626688</v>
      </c>
      <c r="BG858" s="454">
        <v>698170</v>
      </c>
      <c r="BH858" s="21"/>
      <c r="BI858" s="228" t="s">
        <v>822</v>
      </c>
      <c r="BJ858" s="454">
        <v>352022</v>
      </c>
      <c r="BK858" s="454">
        <v>405878</v>
      </c>
      <c r="BL858" s="454">
        <v>489600</v>
      </c>
      <c r="BM858" s="454">
        <v>626688</v>
      </c>
      <c r="BN858" s="454">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824</v>
      </c>
      <c r="BC859" s="453">
        <v>352022</v>
      </c>
      <c r="BD859" s="453">
        <v>405878</v>
      </c>
      <c r="BE859" s="453">
        <v>489600</v>
      </c>
      <c r="BF859" s="453">
        <v>626688</v>
      </c>
      <c r="BG859" s="453">
        <v>698170</v>
      </c>
      <c r="BI859" s="228" t="s">
        <v>824</v>
      </c>
      <c r="BJ859" s="453">
        <v>352022</v>
      </c>
      <c r="BK859" s="453">
        <v>405878</v>
      </c>
      <c r="BL859" s="453">
        <v>489600</v>
      </c>
      <c r="BM859" s="453">
        <v>626688</v>
      </c>
      <c r="BN859" s="453">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1480</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827</v>
      </c>
      <c r="BC860" s="454">
        <v>387110</v>
      </c>
      <c r="BD860" s="454">
        <v>446334</v>
      </c>
      <c r="BE860" s="454">
        <v>538400</v>
      </c>
      <c r="BF860" s="454">
        <v>689152</v>
      </c>
      <c r="BG860" s="454">
        <v>767758</v>
      </c>
      <c r="BI860" s="228" t="s">
        <v>827</v>
      </c>
      <c r="BJ860" s="454">
        <v>387110</v>
      </c>
      <c r="BK860" s="454">
        <v>446334</v>
      </c>
      <c r="BL860" s="454">
        <v>538400</v>
      </c>
      <c r="BM860" s="454">
        <v>689152</v>
      </c>
      <c r="BN860" s="454">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831</v>
      </c>
      <c r="BC861" s="453">
        <v>384234</v>
      </c>
      <c r="BD861" s="453">
        <v>443018</v>
      </c>
      <c r="BE861" s="453">
        <v>534400</v>
      </c>
      <c r="BF861" s="453">
        <v>684032</v>
      </c>
      <c r="BG861" s="453">
        <v>762054</v>
      </c>
      <c r="BI861" s="228" t="s">
        <v>831</v>
      </c>
      <c r="BJ861" s="453">
        <v>384234</v>
      </c>
      <c r="BK861" s="453">
        <v>443018</v>
      </c>
      <c r="BL861" s="453">
        <v>534400</v>
      </c>
      <c r="BM861" s="453">
        <v>684032</v>
      </c>
      <c r="BN861" s="453">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1481</v>
      </c>
      <c r="AC862" s="1173">
        <f>W826+W834+W841+W842+W851+W858+W828</f>
        <v>221298</v>
      </c>
      <c r="AD862" s="1174"/>
      <c r="AE862" s="1174"/>
      <c r="AF862" s="1174"/>
      <c r="AG862" s="1174"/>
      <c r="AH862" s="1175"/>
      <c r="AI862"/>
      <c r="AJ862"/>
      <c r="AK862"/>
      <c r="AL862"/>
      <c r="AM862" s="34"/>
      <c r="AN862" s="34"/>
      <c r="BB862" s="228" t="s">
        <v>836</v>
      </c>
      <c r="BC862" s="454">
        <v>352022</v>
      </c>
      <c r="BD862" s="454">
        <v>405878</v>
      </c>
      <c r="BE862" s="454">
        <v>489600</v>
      </c>
      <c r="BF862" s="454">
        <v>626688</v>
      </c>
      <c r="BG862" s="454">
        <v>698170</v>
      </c>
      <c r="BI862" s="228" t="s">
        <v>836</v>
      </c>
      <c r="BJ862" s="454">
        <v>352022</v>
      </c>
      <c r="BK862" s="454">
        <v>405878</v>
      </c>
      <c r="BL862" s="454">
        <v>489600</v>
      </c>
      <c r="BM862" s="454">
        <v>626688</v>
      </c>
      <c r="BN862" s="454">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1482</v>
      </c>
      <c r="AC863" s="1450">
        <f>O776+O756+G730</f>
        <v>23</v>
      </c>
      <c r="AD863" s="1451"/>
      <c r="AE863" s="1451"/>
      <c r="AF863" s="1451"/>
      <c r="AG863" s="1451"/>
      <c r="AH863" s="1452"/>
      <c r="AI863"/>
      <c r="AJ863"/>
      <c r="AK863"/>
      <c r="AL863"/>
      <c r="AM863" s="34"/>
      <c r="AN863" s="34"/>
      <c r="BB863" s="228" t="s">
        <v>839</v>
      </c>
      <c r="BC863" s="453">
        <v>396888</v>
      </c>
      <c r="BD863" s="453">
        <v>457608</v>
      </c>
      <c r="BE863" s="453">
        <v>552000</v>
      </c>
      <c r="BF863" s="453">
        <v>706560</v>
      </c>
      <c r="BG863" s="453">
        <v>787152</v>
      </c>
      <c r="BI863" s="228" t="s">
        <v>839</v>
      </c>
      <c r="BJ863" s="453">
        <v>396888</v>
      </c>
      <c r="BK863" s="453">
        <v>457608</v>
      </c>
      <c r="BL863" s="453">
        <v>552000</v>
      </c>
      <c r="BM863" s="453">
        <v>706560</v>
      </c>
      <c r="BN863" s="453">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246" t="s">
        <v>1483</v>
      </c>
      <c r="F864" s="1247"/>
      <c r="G864" s="1247"/>
      <c r="H864" s="1247"/>
      <c r="I864" s="1247"/>
      <c r="J864" s="1247"/>
      <c r="K864" s="1247"/>
      <c r="L864" s="1247"/>
      <c r="M864" s="1247"/>
      <c r="N864" s="1247"/>
      <c r="O864" s="1247"/>
      <c r="P864" s="1247"/>
      <c r="Q864" s="1247"/>
      <c r="R864" s="1247"/>
      <c r="S864" s="1247"/>
      <c r="T864" s="1247"/>
      <c r="U864" s="1247"/>
      <c r="V864" s="1247"/>
      <c r="W864" s="1247"/>
      <c r="X864" s="1247"/>
      <c r="Y864" s="1247"/>
      <c r="Z864" s="1247"/>
      <c r="AA864" s="1247"/>
      <c r="AB864" s="1248"/>
      <c r="AC864" s="1433">
        <f>IF(ISERROR((ROUNDDOWN(AC862/AC863,0))),0,(ROUNDDOWN(AC862/AC863,0)))</f>
        <v>9621</v>
      </c>
      <c r="AD864" s="1434"/>
      <c r="AE864" s="1434"/>
      <c r="AF864" s="1434"/>
      <c r="AG864" s="1434"/>
      <c r="AH864" s="1434"/>
      <c r="AI864"/>
      <c r="AJ864"/>
      <c r="AK864"/>
      <c r="AL864" s="3"/>
      <c r="AM864" s="34"/>
      <c r="AN864" s="34"/>
      <c r="BB864" s="228" t="s">
        <v>841</v>
      </c>
      <c r="BC864" s="454">
        <v>331890</v>
      </c>
      <c r="BD864" s="454">
        <v>382666</v>
      </c>
      <c r="BE864" s="454">
        <v>461600</v>
      </c>
      <c r="BF864" s="454">
        <v>590848</v>
      </c>
      <c r="BG864" s="454">
        <v>658242</v>
      </c>
      <c r="BI864" s="228" t="s">
        <v>841</v>
      </c>
      <c r="BJ864" s="454">
        <v>331890</v>
      </c>
      <c r="BK864" s="454">
        <v>382666</v>
      </c>
      <c r="BL864" s="454">
        <v>461600</v>
      </c>
      <c r="BM864" s="454">
        <v>590848</v>
      </c>
      <c r="BN864" s="454">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4" t="s">
        <v>1484</v>
      </c>
      <c r="AC865" s="1121">
        <f>+(AC862+AC867+AC868+AF621+AF622)/4</f>
        <v>75106.914407576332</v>
      </c>
      <c r="AD865" s="1445"/>
      <c r="AE865" s="1445"/>
      <c r="AF865" s="1445"/>
      <c r="AG865" s="1445"/>
      <c r="AH865" s="1445"/>
      <c r="AI865"/>
      <c r="AJ865"/>
      <c r="AK865"/>
      <c r="AL865"/>
      <c r="AM865" s="34"/>
      <c r="AN865" s="34"/>
      <c r="BB865" s="228" t="s">
        <v>843</v>
      </c>
      <c r="BC865" s="453">
        <v>352022</v>
      </c>
      <c r="BD865" s="453">
        <v>405878</v>
      </c>
      <c r="BE865" s="453">
        <v>489600</v>
      </c>
      <c r="BF865" s="453">
        <v>626688</v>
      </c>
      <c r="BG865" s="453">
        <v>698170</v>
      </c>
      <c r="BI865" s="228" t="s">
        <v>843</v>
      </c>
      <c r="BJ865" s="453">
        <v>352022</v>
      </c>
      <c r="BK865" s="453">
        <v>405878</v>
      </c>
      <c r="BL865" s="453">
        <v>489600</v>
      </c>
      <c r="BM865" s="453">
        <v>626688</v>
      </c>
      <c r="BN865" s="453">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1485</v>
      </c>
      <c r="AC866" s="1164"/>
      <c r="AD866" s="1165"/>
      <c r="AE866" s="1165"/>
      <c r="AF866" s="1165"/>
      <c r="AG866" s="1165"/>
      <c r="AH866" s="1165"/>
      <c r="AI866"/>
      <c r="AJ866"/>
      <c r="AK866"/>
      <c r="AL866"/>
      <c r="AM866" s="34"/>
      <c r="AN866" s="34"/>
      <c r="AV866" s="1182"/>
      <c r="AW866" s="1182"/>
      <c r="AX866" s="1182"/>
      <c r="AY866" s="1182"/>
      <c r="BB866" s="228" t="s">
        <v>847</v>
      </c>
      <c r="BC866" s="454">
        <v>314634</v>
      </c>
      <c r="BD866" s="454">
        <v>362770</v>
      </c>
      <c r="BE866" s="454">
        <v>437600</v>
      </c>
      <c r="BF866" s="454">
        <v>560128</v>
      </c>
      <c r="BG866" s="454">
        <v>624018</v>
      </c>
      <c r="BI866" s="228" t="s">
        <v>847</v>
      </c>
      <c r="BJ866" s="454">
        <v>314634</v>
      </c>
      <c r="BK866" s="454">
        <v>362770</v>
      </c>
      <c r="BL866" s="454">
        <v>437600</v>
      </c>
      <c r="BM866" s="454">
        <v>560128</v>
      </c>
      <c r="BN866" s="454">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1486</v>
      </c>
      <c r="AC867" s="1162">
        <v>5390</v>
      </c>
      <c r="AD867" s="1163"/>
      <c r="AE867" s="1163"/>
      <c r="AF867" s="1163"/>
      <c r="AG867" s="1163"/>
      <c r="AH867" s="1164"/>
      <c r="AI867"/>
      <c r="AJ867"/>
      <c r="AK867"/>
      <c r="AL867"/>
      <c r="AM867" s="34"/>
      <c r="AN867" s="34"/>
      <c r="BB867" s="228" t="s">
        <v>852</v>
      </c>
      <c r="BC867" s="453">
        <v>331890</v>
      </c>
      <c r="BD867" s="453">
        <v>382666</v>
      </c>
      <c r="BE867" s="453">
        <v>461600</v>
      </c>
      <c r="BF867" s="453">
        <v>590848</v>
      </c>
      <c r="BG867" s="453">
        <v>658242</v>
      </c>
      <c r="BI867" s="228" t="s">
        <v>852</v>
      </c>
      <c r="BJ867" s="453">
        <v>331890</v>
      </c>
      <c r="BK867" s="453">
        <v>382666</v>
      </c>
      <c r="BL867" s="453">
        <v>461600</v>
      </c>
      <c r="BM867" s="453">
        <v>590848</v>
      </c>
      <c r="BN867" s="453">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1487</v>
      </c>
      <c r="AC868" s="1162">
        <v>20700</v>
      </c>
      <c r="AD868" s="1163"/>
      <c r="AE868" s="1163"/>
      <c r="AF868" s="1163"/>
      <c r="AG868" s="1163"/>
      <c r="AH868" s="1164"/>
      <c r="AI868"/>
      <c r="AJ868"/>
      <c r="AK868"/>
      <c r="AL868"/>
      <c r="AM868" s="34"/>
      <c r="AN868" s="34"/>
      <c r="BB868" s="228" t="s">
        <v>857</v>
      </c>
      <c r="BC868" s="454">
        <v>352022</v>
      </c>
      <c r="BD868" s="454">
        <v>405878</v>
      </c>
      <c r="BE868" s="454">
        <v>489600</v>
      </c>
      <c r="BF868" s="454">
        <v>626688</v>
      </c>
      <c r="BG868" s="454">
        <v>698170</v>
      </c>
      <c r="BI868" s="228" t="s">
        <v>857</v>
      </c>
      <c r="BJ868" s="454">
        <v>352022</v>
      </c>
      <c r="BK868" s="454">
        <v>405878</v>
      </c>
      <c r="BL868" s="454">
        <v>489600</v>
      </c>
      <c r="BM868" s="454">
        <v>626688</v>
      </c>
      <c r="BN868" s="454">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1488</v>
      </c>
      <c r="AC869" s="1162"/>
      <c r="AD869" s="1163"/>
      <c r="AE869" s="1163"/>
      <c r="AF869" s="1163"/>
      <c r="AG869" s="1163"/>
      <c r="AH869" s="1164"/>
      <c r="AI869"/>
      <c r="AJ869"/>
      <c r="AK869"/>
      <c r="AL869"/>
      <c r="AM869" s="34"/>
      <c r="AN869" s="34"/>
      <c r="BB869" s="228" t="s">
        <v>861</v>
      </c>
      <c r="BC869" s="453">
        <v>314634</v>
      </c>
      <c r="BD869" s="453">
        <v>362770</v>
      </c>
      <c r="BE869" s="453">
        <v>437600</v>
      </c>
      <c r="BF869" s="453">
        <v>560128</v>
      </c>
      <c r="BG869" s="453">
        <v>624018</v>
      </c>
      <c r="BI869" s="228" t="s">
        <v>861</v>
      </c>
      <c r="BJ869" s="453">
        <v>314634</v>
      </c>
      <c r="BK869" s="453">
        <v>362770</v>
      </c>
      <c r="BL869" s="453">
        <v>437600</v>
      </c>
      <c r="BM869" s="453">
        <v>560128</v>
      </c>
      <c r="BN869" s="453">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1489</v>
      </c>
      <c r="AC870" s="1162"/>
      <c r="AD870" s="1163"/>
      <c r="AE870" s="1163"/>
      <c r="AF870" s="1163"/>
      <c r="AG870" s="1163"/>
      <c r="AH870" s="1164"/>
      <c r="AI870"/>
      <c r="AJ870"/>
      <c r="AK870"/>
      <c r="AL870"/>
      <c r="AM870" s="34"/>
      <c r="AN870" s="34"/>
      <c r="BB870" s="228" t="s">
        <v>867</v>
      </c>
      <c r="BC870" s="454">
        <v>353173</v>
      </c>
      <c r="BD870" s="454">
        <v>407205</v>
      </c>
      <c r="BE870" s="454">
        <v>491200</v>
      </c>
      <c r="BF870" s="454">
        <v>628736</v>
      </c>
      <c r="BG870" s="454">
        <v>700451</v>
      </c>
      <c r="BI870" s="228" t="s">
        <v>867</v>
      </c>
      <c r="BJ870" s="454">
        <v>353173</v>
      </c>
      <c r="BK870" s="454">
        <v>407205</v>
      </c>
      <c r="BL870" s="454">
        <v>491200</v>
      </c>
      <c r="BM870" s="454">
        <v>628736</v>
      </c>
      <c r="BN870" s="454">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1490</v>
      </c>
      <c r="AC871" s="1126"/>
      <c r="AD871" s="1165"/>
      <c r="AE871" s="1165"/>
      <c r="AF871" s="1165"/>
      <c r="AG871" s="1165"/>
      <c r="AH871" s="1165"/>
      <c r="AI871"/>
      <c r="AJ871"/>
      <c r="AK871"/>
      <c r="AL871"/>
      <c r="AM871" s="34"/>
      <c r="AN871" s="34"/>
      <c r="BB871" s="228" t="s">
        <v>871</v>
      </c>
      <c r="BC871" s="453">
        <v>689665</v>
      </c>
      <c r="BD871" s="453">
        <v>795177</v>
      </c>
      <c r="BE871" s="453">
        <v>959200</v>
      </c>
      <c r="BF871" s="453">
        <v>1227776</v>
      </c>
      <c r="BG871" s="453">
        <v>1367819</v>
      </c>
      <c r="BI871" s="228" t="s">
        <v>871</v>
      </c>
      <c r="BJ871" s="453">
        <v>689665</v>
      </c>
      <c r="BK871" s="453">
        <v>795177</v>
      </c>
      <c r="BL871" s="453">
        <v>959200</v>
      </c>
      <c r="BM871" s="453">
        <v>1227776</v>
      </c>
      <c r="BN871" s="453">
        <v>1367819</v>
      </c>
    </row>
    <row r="872" spans="1:126" s="21" customFormat="1" ht="12.9" customHeight="1">
      <c r="A872"/>
      <c r="B872"/>
      <c r="C872"/>
      <c r="D872"/>
      <c r="E872" s="1371" t="s">
        <v>1491</v>
      </c>
      <c r="F872" s="1372"/>
      <c r="G872" s="1372"/>
      <c r="H872" s="1372"/>
      <c r="I872" s="1372"/>
      <c r="J872" s="1372"/>
      <c r="K872" s="1372"/>
      <c r="L872" s="1372"/>
      <c r="M872" s="1372"/>
      <c r="N872" s="1372"/>
      <c r="O872" s="1372"/>
      <c r="P872" s="1372"/>
      <c r="Q872" s="1372"/>
      <c r="R872" s="1372"/>
      <c r="S872" s="1372"/>
      <c r="T872" s="1372"/>
      <c r="U872" s="1372"/>
      <c r="V872" s="1372"/>
      <c r="W872" s="1372"/>
      <c r="X872" s="1372"/>
      <c r="Y872" s="1372"/>
      <c r="Z872" s="1372"/>
      <c r="AA872" s="1372"/>
      <c r="AB872" s="1373"/>
      <c r="AC872" s="1165"/>
      <c r="AD872" s="1165"/>
      <c r="AE872" s="1165"/>
      <c r="AF872" s="1165"/>
      <c r="AG872" s="1165"/>
      <c r="AH872" s="1165"/>
      <c r="AI872"/>
      <c r="AJ872"/>
      <c r="AK872"/>
      <c r="AL872"/>
      <c r="AM872" s="34"/>
      <c r="AN872" s="34"/>
      <c r="BB872" s="228" t="s">
        <v>876</v>
      </c>
      <c r="BC872" s="454">
        <v>307732</v>
      </c>
      <c r="BD872" s="454">
        <v>354812</v>
      </c>
      <c r="BE872" s="454">
        <v>428000</v>
      </c>
      <c r="BF872" s="454">
        <v>547840</v>
      </c>
      <c r="BG872" s="454">
        <v>610328</v>
      </c>
      <c r="BI872" s="228" t="s">
        <v>876</v>
      </c>
      <c r="BJ872" s="454">
        <v>307732</v>
      </c>
      <c r="BK872" s="454">
        <v>354812</v>
      </c>
      <c r="BL872" s="454">
        <v>428000</v>
      </c>
      <c r="BM872" s="454">
        <v>547840</v>
      </c>
      <c r="BN872" s="454">
        <v>610328</v>
      </c>
    </row>
    <row r="873" spans="1:126" s="21" customFormat="1" ht="12.9" customHeight="1">
      <c r="A873"/>
      <c r="B873"/>
      <c r="C873"/>
      <c r="D873"/>
      <c r="E873" s="1371" t="s">
        <v>1491</v>
      </c>
      <c r="F873" s="1372"/>
      <c r="G873" s="1372"/>
      <c r="H873" s="1372"/>
      <c r="I873" s="1372"/>
      <c r="J873" s="1372"/>
      <c r="K873" s="1372"/>
      <c r="L873" s="1372"/>
      <c r="M873" s="1372"/>
      <c r="N873" s="1372"/>
      <c r="O873" s="1372"/>
      <c r="P873" s="1372"/>
      <c r="Q873" s="1372"/>
      <c r="R873" s="1372"/>
      <c r="S873" s="1372"/>
      <c r="T873" s="1372"/>
      <c r="U873" s="1372"/>
      <c r="V873" s="1372"/>
      <c r="W873" s="1372"/>
      <c r="X873" s="1372"/>
      <c r="Y873" s="1372"/>
      <c r="Z873" s="1372"/>
      <c r="AA873" s="1372"/>
      <c r="AB873" s="1373"/>
      <c r="AC873" s="1165"/>
      <c r="AD873" s="1165"/>
      <c r="AE873" s="1165"/>
      <c r="AF873" s="1165"/>
      <c r="AG873" s="1165"/>
      <c r="AH873" s="1165"/>
      <c r="AI873"/>
      <c r="AJ873"/>
      <c r="AK873"/>
      <c r="AL873"/>
      <c r="AM873" s="34"/>
      <c r="AN873" s="34"/>
      <c r="BB873" s="228" t="s">
        <v>880</v>
      </c>
      <c r="BC873" s="453">
        <v>387110</v>
      </c>
      <c r="BD873" s="453">
        <v>446334</v>
      </c>
      <c r="BE873" s="453">
        <v>538400</v>
      </c>
      <c r="BF873" s="453">
        <v>689152</v>
      </c>
      <c r="BG873" s="453">
        <v>767758</v>
      </c>
      <c r="BI873" s="228" t="s">
        <v>880</v>
      </c>
      <c r="BJ873" s="453">
        <v>387110</v>
      </c>
      <c r="BK873" s="453">
        <v>446334</v>
      </c>
      <c r="BL873" s="453">
        <v>538400</v>
      </c>
      <c r="BM873" s="453">
        <v>689152</v>
      </c>
      <c r="BN873" s="453">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444"/>
      <c r="AD874" s="1444"/>
      <c r="AE874" s="1444"/>
      <c r="AF874" s="1444"/>
      <c r="AG874" s="1444"/>
      <c r="AH874" s="1444"/>
      <c r="AI874"/>
      <c r="AJ874"/>
      <c r="AK874"/>
      <c r="AL874"/>
      <c r="AM874" s="34"/>
      <c r="AN874" s="34"/>
      <c r="AT874" s="72"/>
      <c r="AU874" s="72"/>
      <c r="AV874" s="72"/>
      <c r="AW874" s="72"/>
      <c r="AX874" s="72"/>
      <c r="AY874" s="72"/>
      <c r="BB874" s="228" t="s">
        <v>884</v>
      </c>
      <c r="BC874" s="452">
        <v>532060</v>
      </c>
      <c r="BD874" s="452">
        <v>613460</v>
      </c>
      <c r="BE874" s="454">
        <v>740000</v>
      </c>
      <c r="BF874" s="452">
        <v>947200</v>
      </c>
      <c r="BG874" s="452">
        <v>1055240</v>
      </c>
      <c r="BI874" s="228" t="s">
        <v>884</v>
      </c>
      <c r="BJ874" s="452">
        <v>532060</v>
      </c>
      <c r="BK874" s="452">
        <v>613460</v>
      </c>
      <c r="BL874" s="452">
        <v>740000</v>
      </c>
      <c r="BM874" s="452">
        <v>947200</v>
      </c>
      <c r="BN874" s="452">
        <v>1055240</v>
      </c>
    </row>
    <row r="875" spans="1:126" s="21" customFormat="1" ht="12.9" customHeight="1">
      <c r="A875" s="3" t="s">
        <v>1201</v>
      </c>
      <c r="B875"/>
      <c r="C875" s="3" t="s">
        <v>1492</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66"/>
      <c r="AO875" s="1166"/>
      <c r="AP875" s="1182"/>
      <c r="AQ875" s="1182"/>
      <c r="AR875" s="1182"/>
      <c r="AS875" s="1182"/>
      <c r="AT875" s="72"/>
      <c r="AU875" s="72"/>
      <c r="AV875" s="72"/>
      <c r="AW875" s="72"/>
      <c r="AX875" s="72"/>
      <c r="AY875" s="72"/>
      <c r="BB875" s="228" t="s">
        <v>889</v>
      </c>
      <c r="BC875" s="453">
        <v>387110</v>
      </c>
      <c r="BD875" s="453">
        <v>446334</v>
      </c>
      <c r="BE875" s="453">
        <v>538400</v>
      </c>
      <c r="BF875" s="453">
        <v>689152</v>
      </c>
      <c r="BG875" s="453">
        <v>767758</v>
      </c>
      <c r="BI875" s="228" t="s">
        <v>889</v>
      </c>
      <c r="BJ875" s="453">
        <v>387110</v>
      </c>
      <c r="BK875" s="453">
        <v>446334</v>
      </c>
      <c r="BL875" s="453">
        <v>538400</v>
      </c>
      <c r="BM875" s="453">
        <v>689152</v>
      </c>
      <c r="BN875" s="453">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82"/>
      <c r="AQ876" s="1182"/>
      <c r="AR876" s="1182"/>
      <c r="AS876" s="1182"/>
      <c r="BB876" s="228" t="s">
        <v>895</v>
      </c>
      <c r="BC876" s="452">
        <v>532060</v>
      </c>
      <c r="BD876" s="452">
        <v>613460</v>
      </c>
      <c r="BE876" s="452">
        <v>740000</v>
      </c>
      <c r="BF876" s="452">
        <v>947200</v>
      </c>
      <c r="BG876" s="452">
        <v>1055240</v>
      </c>
      <c r="BI876" s="228" t="s">
        <v>895</v>
      </c>
      <c r="BJ876" s="452">
        <v>532060</v>
      </c>
      <c r="BK876" s="452">
        <v>613460</v>
      </c>
      <c r="BL876" s="452">
        <v>740000</v>
      </c>
      <c r="BM876" s="452">
        <v>947200</v>
      </c>
      <c r="BN876" s="452">
        <v>1055240</v>
      </c>
    </row>
    <row r="877" spans="1:126" s="21" customFormat="1" ht="12.9" customHeight="1">
      <c r="A877"/>
      <c r="B877" s="3"/>
      <c r="C877"/>
      <c r="D877"/>
      <c r="E877"/>
      <c r="F877"/>
      <c r="G877"/>
      <c r="H877" s="180" t="s">
        <v>1493</v>
      </c>
      <c r="I877" s="9"/>
      <c r="J877" s="9"/>
      <c r="K877" s="9"/>
      <c r="L877" s="9"/>
      <c r="M877" s="9"/>
      <c r="N877" s="9"/>
      <c r="O877" s="9"/>
      <c r="P877" s="9"/>
      <c r="Q877" s="9"/>
      <c r="R877" s="9"/>
      <c r="S877" s="9"/>
      <c r="T877" s="9"/>
      <c r="U877" s="9"/>
      <c r="V877" s="9"/>
      <c r="W877" s="9"/>
      <c r="X877" s="9"/>
      <c r="Y877" s="45"/>
      <c r="Z877" s="1162"/>
      <c r="AA877" s="1163"/>
      <c r="AB877" s="1163"/>
      <c r="AC877" s="1163"/>
      <c r="AD877" s="1163"/>
      <c r="AE877" s="1164"/>
      <c r="AF877"/>
      <c r="AG877"/>
      <c r="AH877"/>
      <c r="AI877"/>
      <c r="AJ877"/>
      <c r="AK877"/>
      <c r="AL877"/>
      <c r="AM877" s="34"/>
      <c r="AN877" s="34"/>
      <c r="BB877" s="228" t="s">
        <v>900</v>
      </c>
      <c r="BC877" s="453">
        <v>387110</v>
      </c>
      <c r="BD877" s="453">
        <v>446334</v>
      </c>
      <c r="BE877" s="453">
        <v>538400</v>
      </c>
      <c r="BF877" s="453">
        <v>689152</v>
      </c>
      <c r="BG877" s="453">
        <v>767758</v>
      </c>
      <c r="BI877" s="228" t="s">
        <v>900</v>
      </c>
      <c r="BJ877" s="453">
        <v>387110</v>
      </c>
      <c r="BK877" s="453">
        <v>446334</v>
      </c>
      <c r="BL877" s="453">
        <v>538400</v>
      </c>
      <c r="BM877" s="453">
        <v>689152</v>
      </c>
      <c r="BN877" s="453">
        <v>767758</v>
      </c>
    </row>
    <row r="878" spans="1:126" s="21" customFormat="1" ht="12.9" customHeight="1">
      <c r="A878"/>
      <c r="B878"/>
      <c r="C878"/>
      <c r="D878"/>
      <c r="E878"/>
      <c r="F878"/>
      <c r="G878"/>
      <c r="H878" s="180" t="s">
        <v>1494</v>
      </c>
      <c r="I878" s="9"/>
      <c r="J878" s="9"/>
      <c r="K878" s="9"/>
      <c r="L878" s="9"/>
      <c r="M878" s="9"/>
      <c r="N878" s="9"/>
      <c r="O878" s="9"/>
      <c r="P878" s="9"/>
      <c r="Q878" s="9"/>
      <c r="R878" s="9"/>
      <c r="S878" s="9"/>
      <c r="T878" s="9"/>
      <c r="U878" s="9"/>
      <c r="V878" s="9"/>
      <c r="W878" s="9"/>
      <c r="X878" s="9"/>
      <c r="Y878" s="9"/>
      <c r="Z878" s="1162"/>
      <c r="AA878" s="1163"/>
      <c r="AB878" s="1163"/>
      <c r="AC878" s="1163"/>
      <c r="AD878" s="1163"/>
      <c r="AE878" s="1164"/>
      <c r="AF878"/>
      <c r="AG878"/>
      <c r="AH878"/>
      <c r="AI878"/>
      <c r="AJ878"/>
      <c r="AK878"/>
      <c r="AL878"/>
      <c r="AM878" s="34"/>
      <c r="AN878" s="34"/>
      <c r="BB878" s="228" t="s">
        <v>905</v>
      </c>
      <c r="BC878" s="454">
        <v>319236</v>
      </c>
      <c r="BD878" s="454">
        <v>368076</v>
      </c>
      <c r="BE878" s="454">
        <v>444000</v>
      </c>
      <c r="BF878" s="454">
        <v>568320</v>
      </c>
      <c r="BG878" s="454">
        <v>633144</v>
      </c>
      <c r="BI878" s="228" t="s">
        <v>905</v>
      </c>
      <c r="BJ878" s="454">
        <v>319236</v>
      </c>
      <c r="BK878" s="454">
        <v>368076</v>
      </c>
      <c r="BL878" s="454">
        <v>444000</v>
      </c>
      <c r="BM878" s="454">
        <v>568320</v>
      </c>
      <c r="BN878" s="454">
        <v>633144</v>
      </c>
    </row>
    <row r="879" spans="1:126" ht="12.9" customHeight="1">
      <c r="H879" s="180" t="s">
        <v>1495</v>
      </c>
      <c r="I879" s="9"/>
      <c r="J879" s="9"/>
      <c r="K879" s="9"/>
      <c r="L879" s="9"/>
      <c r="M879" s="9"/>
      <c r="N879" s="9"/>
      <c r="O879" s="9"/>
      <c r="P879" s="9"/>
      <c r="Q879" s="9"/>
      <c r="R879" s="9"/>
      <c r="S879" s="9"/>
      <c r="T879" s="9"/>
      <c r="U879" s="9"/>
      <c r="V879" s="9"/>
      <c r="W879" s="9"/>
      <c r="X879" s="9"/>
      <c r="Y879" s="9"/>
      <c r="Z879" s="1162"/>
      <c r="AA879" s="1163"/>
      <c r="AB879" s="1163"/>
      <c r="AC879" s="1163"/>
      <c r="AD879" s="1163"/>
      <c r="AE879" s="1164"/>
      <c r="AM879" s="34"/>
      <c r="AN879" s="34"/>
      <c r="AO879" s="21"/>
      <c r="AP879" s="21"/>
      <c r="AQ879" s="21"/>
      <c r="AR879" s="21"/>
      <c r="AS879" s="21"/>
      <c r="AT879" s="37"/>
      <c r="AU879" s="37"/>
      <c r="AV879" s="37"/>
      <c r="AW879" s="37"/>
      <c r="AX879" s="37"/>
      <c r="AY879" s="37"/>
      <c r="AZ879" s="37"/>
      <c r="BA879" s="37"/>
      <c r="BB879" s="228" t="s">
        <v>911</v>
      </c>
      <c r="BC879" s="453">
        <v>352022</v>
      </c>
      <c r="BD879" s="453">
        <v>405878</v>
      </c>
      <c r="BE879" s="453">
        <v>489600</v>
      </c>
      <c r="BF879" s="453">
        <v>626688</v>
      </c>
      <c r="BG879" s="453">
        <v>698170</v>
      </c>
      <c r="BH879" s="21"/>
      <c r="BI879" s="228" t="s">
        <v>911</v>
      </c>
      <c r="BJ879" s="453">
        <v>352022</v>
      </c>
      <c r="BK879" s="453">
        <v>405878</v>
      </c>
      <c r="BL879" s="453">
        <v>489600</v>
      </c>
      <c r="BM879" s="453">
        <v>626688</v>
      </c>
      <c r="BN879" s="453">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1496</v>
      </c>
      <c r="Z880" s="1173">
        <f>Z877-(Z878+Z879)</f>
        <v>0</v>
      </c>
      <c r="AA880" s="1174"/>
      <c r="AB880" s="1174"/>
      <c r="AC880" s="1174"/>
      <c r="AD880" s="1174"/>
      <c r="AE880" s="1175"/>
      <c r="AM880" s="34"/>
      <c r="AN880" s="34"/>
      <c r="AO880" s="21"/>
      <c r="AP880" s="21"/>
      <c r="AQ880" s="21"/>
      <c r="AR880" s="21"/>
      <c r="AS880" s="21"/>
      <c r="AT880" s="37"/>
      <c r="AU880" s="37"/>
      <c r="AV880" s="37"/>
      <c r="AW880" s="37"/>
      <c r="AX880" s="37"/>
      <c r="AY880" s="37"/>
      <c r="AZ880" s="37"/>
      <c r="BA880" s="37"/>
      <c r="BB880" s="228" t="s">
        <v>914</v>
      </c>
      <c r="BC880" s="454">
        <v>352022</v>
      </c>
      <c r="BD880" s="454">
        <v>405878</v>
      </c>
      <c r="BE880" s="454">
        <v>489600</v>
      </c>
      <c r="BF880" s="454">
        <v>626688</v>
      </c>
      <c r="BG880" s="454">
        <v>698170</v>
      </c>
      <c r="BH880" s="21"/>
      <c r="BI880" s="228" t="s">
        <v>914</v>
      </c>
      <c r="BJ880" s="454">
        <v>352022</v>
      </c>
      <c r="BK880" s="454">
        <v>405878</v>
      </c>
      <c r="BL880" s="454">
        <v>489600</v>
      </c>
      <c r="BM880" s="454">
        <v>626688</v>
      </c>
      <c r="BN880" s="454">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919</v>
      </c>
      <c r="BC881" s="453">
        <v>384234</v>
      </c>
      <c r="BD881" s="453">
        <v>443018</v>
      </c>
      <c r="BE881" s="453">
        <v>534400</v>
      </c>
      <c r="BF881" s="453">
        <v>684032</v>
      </c>
      <c r="BG881" s="453">
        <v>762054</v>
      </c>
      <c r="BH881" s="21"/>
      <c r="BI881" s="228" t="s">
        <v>919</v>
      </c>
      <c r="BJ881" s="453">
        <v>384234</v>
      </c>
      <c r="BK881" s="453">
        <v>443018</v>
      </c>
      <c r="BL881" s="453">
        <v>534400</v>
      </c>
      <c r="BM881" s="453">
        <v>684032</v>
      </c>
      <c r="BN881" s="453">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1497</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924</v>
      </c>
      <c r="BC882" s="454">
        <v>384234</v>
      </c>
      <c r="BD882" s="454">
        <v>443018</v>
      </c>
      <c r="BE882" s="454">
        <v>534400</v>
      </c>
      <c r="BF882" s="454">
        <v>684032</v>
      </c>
      <c r="BG882" s="454">
        <v>762054</v>
      </c>
      <c r="BH882" s="21"/>
      <c r="BI882" s="228" t="s">
        <v>924</v>
      </c>
      <c r="BJ882" s="454">
        <v>384234</v>
      </c>
      <c r="BK882" s="454">
        <v>443018</v>
      </c>
      <c r="BL882" s="454">
        <v>534400</v>
      </c>
      <c r="BM882" s="454">
        <v>684032</v>
      </c>
      <c r="BN882" s="454">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1498</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927</v>
      </c>
      <c r="BC883" s="453">
        <v>307732</v>
      </c>
      <c r="BD883" s="453">
        <v>354812</v>
      </c>
      <c r="BE883" s="453">
        <v>428000</v>
      </c>
      <c r="BF883" s="453">
        <v>547840</v>
      </c>
      <c r="BG883" s="453">
        <v>610328</v>
      </c>
      <c r="BH883" s="21"/>
      <c r="BI883" s="228" t="s">
        <v>927</v>
      </c>
      <c r="BJ883" s="453">
        <v>307732</v>
      </c>
      <c r="BK883" s="453">
        <v>354812</v>
      </c>
      <c r="BL883" s="453">
        <v>428000</v>
      </c>
      <c r="BM883" s="453">
        <v>547840</v>
      </c>
      <c r="BN883" s="453">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1499</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932</v>
      </c>
      <c r="BC884" s="454">
        <v>331890</v>
      </c>
      <c r="BD884" s="454">
        <v>382666</v>
      </c>
      <c r="BE884" s="454">
        <v>461600</v>
      </c>
      <c r="BF884" s="454">
        <v>590848</v>
      </c>
      <c r="BG884" s="454">
        <v>658242</v>
      </c>
      <c r="BH884" s="21"/>
      <c r="BI884" s="228" t="s">
        <v>932</v>
      </c>
      <c r="BJ884" s="454">
        <v>331890</v>
      </c>
      <c r="BK884" s="454">
        <v>382666</v>
      </c>
      <c r="BL884" s="454">
        <v>461600</v>
      </c>
      <c r="BM884" s="454">
        <v>590848</v>
      </c>
      <c r="BN884" s="454">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1500</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936</v>
      </c>
      <c r="BC885" s="453">
        <v>352022</v>
      </c>
      <c r="BD885" s="453">
        <v>405878</v>
      </c>
      <c r="BE885" s="453">
        <v>489600</v>
      </c>
      <c r="BF885" s="453">
        <v>626688</v>
      </c>
      <c r="BG885" s="453">
        <v>698170</v>
      </c>
      <c r="BH885" s="21"/>
      <c r="BI885" s="228" t="s">
        <v>936</v>
      </c>
      <c r="BJ885" s="453">
        <v>352022</v>
      </c>
      <c r="BK885" s="453">
        <v>405878</v>
      </c>
      <c r="BL885" s="453">
        <v>489600</v>
      </c>
      <c r="BM885" s="453">
        <v>626688</v>
      </c>
      <c r="BN885" s="453">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939</v>
      </c>
      <c r="BC886" s="454">
        <v>352022</v>
      </c>
      <c r="BD886" s="454">
        <v>405878</v>
      </c>
      <c r="BE886" s="454">
        <v>489600</v>
      </c>
      <c r="BF886" s="454">
        <v>626688</v>
      </c>
      <c r="BG886" s="454">
        <v>698170</v>
      </c>
      <c r="BH886" s="21"/>
      <c r="BI886" s="228" t="s">
        <v>939</v>
      </c>
      <c r="BJ886" s="454">
        <v>352022</v>
      </c>
      <c r="BK886" s="454">
        <v>405878</v>
      </c>
      <c r="BL886" s="454">
        <v>489600</v>
      </c>
      <c r="BM886" s="454">
        <v>626688</v>
      </c>
      <c r="BN886" s="454">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06" t="s">
        <v>1501</v>
      </c>
      <c r="B887" s="1006"/>
      <c r="C887" s="1006"/>
      <c r="D887" s="1006"/>
      <c r="E887" s="1006"/>
      <c r="F887" s="1006"/>
      <c r="G887" s="1006"/>
      <c r="H887" s="1006"/>
      <c r="I887" s="1006"/>
      <c r="J887" s="1006"/>
      <c r="K887" s="1006"/>
      <c r="L887" s="1006"/>
      <c r="M887" s="1006"/>
      <c r="N887" s="1006"/>
      <c r="O887" s="1006"/>
      <c r="P887" s="1006"/>
      <c r="Q887" s="1006"/>
      <c r="R887" s="1006"/>
      <c r="S887" s="1006"/>
      <c r="T887" s="1006"/>
      <c r="U887" s="1006"/>
      <c r="V887" s="1006"/>
      <c r="W887" s="1006"/>
      <c r="X887" s="1006"/>
      <c r="Y887" s="1006"/>
      <c r="Z887" s="1006"/>
      <c r="AA887" s="1006"/>
      <c r="AB887" s="1006"/>
      <c r="AC887" s="1006"/>
      <c r="AD887" s="1006"/>
      <c r="AE887" s="1006"/>
      <c r="AF887" s="1006"/>
      <c r="AG887" s="1006"/>
      <c r="AH887" s="1006"/>
      <c r="AI887" s="1006"/>
      <c r="AJ887" s="1006"/>
      <c r="AK887" s="1006"/>
      <c r="AL887" s="1006"/>
      <c r="AM887" s="1006"/>
      <c r="AN887" s="1006"/>
      <c r="AO887" s="1006"/>
      <c r="AP887" s="1006"/>
      <c r="AQ887" s="1006"/>
      <c r="AR887" s="1006"/>
      <c r="AS887" s="1006"/>
      <c r="AT887" s="1006"/>
      <c r="AU887" s="37"/>
      <c r="AV887" s="37"/>
      <c r="AW887" s="37"/>
      <c r="AX887" s="37"/>
      <c r="AY887" s="37"/>
      <c r="AZ887" s="37"/>
      <c r="BA887" s="37"/>
      <c r="BB887" s="228" t="s">
        <v>943</v>
      </c>
      <c r="BC887" s="453">
        <v>307732</v>
      </c>
      <c r="BD887" s="453">
        <v>354812</v>
      </c>
      <c r="BE887" s="453">
        <v>428000</v>
      </c>
      <c r="BF887" s="453">
        <v>547840</v>
      </c>
      <c r="BG887" s="453">
        <v>610328</v>
      </c>
      <c r="BH887" s="21"/>
      <c r="BI887" s="228" t="s">
        <v>943</v>
      </c>
      <c r="BJ887" s="453">
        <v>307732</v>
      </c>
      <c r="BK887" s="453">
        <v>354812</v>
      </c>
      <c r="BL887" s="453">
        <v>428000</v>
      </c>
      <c r="BM887" s="453">
        <v>547840</v>
      </c>
      <c r="BN887" s="453">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06"/>
      <c r="B888" s="1006"/>
      <c r="C888" s="1006"/>
      <c r="D888" s="1006"/>
      <c r="E888" s="1006"/>
      <c r="F888" s="1006"/>
      <c r="G888" s="1006"/>
      <c r="H888" s="1006"/>
      <c r="I888" s="1006"/>
      <c r="J888" s="1006"/>
      <c r="K888" s="1006"/>
      <c r="L888" s="1006"/>
      <c r="M888" s="1006"/>
      <c r="N888" s="1006"/>
      <c r="O888" s="1006"/>
      <c r="P888" s="1006"/>
      <c r="Q888" s="1006"/>
      <c r="R888" s="1006"/>
      <c r="S888" s="1006"/>
      <c r="T888" s="1006"/>
      <c r="U888" s="1006"/>
      <c r="V888" s="1006"/>
      <c r="W888" s="1006"/>
      <c r="X888" s="1006"/>
      <c r="Y888" s="1006"/>
      <c r="Z888" s="1006"/>
      <c r="AA888" s="1006"/>
      <c r="AB888" s="1006"/>
      <c r="AC888" s="1006"/>
      <c r="AD888" s="1006"/>
      <c r="AE888" s="1006"/>
      <c r="AF888" s="1006"/>
      <c r="AG888" s="1006"/>
      <c r="AH888" s="1006"/>
      <c r="AI888" s="1006"/>
      <c r="AJ888" s="1006"/>
      <c r="AK888" s="1006"/>
      <c r="AL888" s="1006"/>
      <c r="AM888" s="1006"/>
      <c r="AN888" s="1006"/>
      <c r="AO888" s="1006"/>
      <c r="AP888" s="1006"/>
      <c r="AQ888" s="1006"/>
      <c r="AR888" s="1006"/>
      <c r="AS888" s="1006"/>
      <c r="AT888" s="1006"/>
      <c r="AU888" s="37"/>
      <c r="AV888" s="37"/>
      <c r="AW888" s="37"/>
      <c r="AX888" s="37"/>
      <c r="AY888" s="37"/>
      <c r="AZ888" s="37"/>
      <c r="BA888" s="37"/>
      <c r="BB888" s="228" t="s">
        <v>945</v>
      </c>
      <c r="BC888" s="454">
        <v>352022</v>
      </c>
      <c r="BD888" s="454">
        <v>405878</v>
      </c>
      <c r="BE888" s="454">
        <v>489600</v>
      </c>
      <c r="BF888" s="454">
        <v>626688</v>
      </c>
      <c r="BG888" s="454">
        <v>698170</v>
      </c>
      <c r="BH888" s="21"/>
      <c r="BI888" s="228" t="s">
        <v>945</v>
      </c>
      <c r="BJ888" s="454">
        <v>352022</v>
      </c>
      <c r="BK888" s="454">
        <v>405878</v>
      </c>
      <c r="BL888" s="454">
        <v>489600</v>
      </c>
      <c r="BM888" s="454">
        <v>626688</v>
      </c>
      <c r="BN888" s="454">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947</v>
      </c>
      <c r="BC889" s="453">
        <v>387110</v>
      </c>
      <c r="BD889" s="453">
        <v>446334</v>
      </c>
      <c r="BE889" s="453">
        <v>538400</v>
      </c>
      <c r="BF889" s="453">
        <v>689152</v>
      </c>
      <c r="BG889" s="453">
        <v>767758</v>
      </c>
      <c r="BH889" s="21"/>
      <c r="BI889" s="228" t="s">
        <v>947</v>
      </c>
      <c r="BJ889" s="453">
        <v>387110</v>
      </c>
      <c r="BK889" s="453">
        <v>446334</v>
      </c>
      <c r="BL889" s="453">
        <v>538400</v>
      </c>
      <c r="BM889" s="453">
        <v>689152</v>
      </c>
      <c r="BN889" s="453">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791</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953</v>
      </c>
      <c r="BC890" s="454">
        <v>331890</v>
      </c>
      <c r="BD890" s="454">
        <v>382666</v>
      </c>
      <c r="BE890" s="454">
        <v>461600</v>
      </c>
      <c r="BF890" s="454">
        <v>590848</v>
      </c>
      <c r="BG890" s="454">
        <v>658242</v>
      </c>
      <c r="BH890" s="21"/>
      <c r="BI890" s="228" t="s">
        <v>953</v>
      </c>
      <c r="BJ890" s="454">
        <v>331890</v>
      </c>
      <c r="BK890" s="454">
        <v>382666</v>
      </c>
      <c r="BL890" s="454">
        <v>461600</v>
      </c>
      <c r="BM890" s="454">
        <v>590848</v>
      </c>
      <c r="BN890" s="454">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957</v>
      </c>
      <c r="BC891" s="453">
        <v>331890</v>
      </c>
      <c r="BD891" s="453">
        <v>382666</v>
      </c>
      <c r="BE891" s="453">
        <v>461600</v>
      </c>
      <c r="BF891" s="453">
        <v>590848</v>
      </c>
      <c r="BG891" s="453">
        <v>658242</v>
      </c>
      <c r="BH891" s="21"/>
      <c r="BI891" s="228" t="s">
        <v>957</v>
      </c>
      <c r="BJ891" s="453">
        <v>331890</v>
      </c>
      <c r="BK891" s="453">
        <v>382666</v>
      </c>
      <c r="BL891" s="453">
        <v>461600</v>
      </c>
      <c r="BM891" s="453">
        <v>590848</v>
      </c>
      <c r="BN891" s="453">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167" t="s">
        <v>1502</v>
      </c>
      <c r="G892" s="1168"/>
      <c r="H892" s="1168"/>
      <c r="I892" s="1168"/>
      <c r="J892" s="1168"/>
      <c r="K892" s="1168"/>
      <c r="L892" s="1168"/>
      <c r="M892" s="1168"/>
      <c r="N892" s="1168"/>
      <c r="O892" s="1168"/>
      <c r="P892" s="1168"/>
      <c r="Q892" s="1168"/>
      <c r="R892" s="1168"/>
      <c r="S892" s="1168"/>
      <c r="T892" s="1169"/>
      <c r="U892" s="1113" t="s">
        <v>1503</v>
      </c>
      <c r="V892" s="1114"/>
      <c r="W892" s="1114"/>
      <c r="X892" s="1114"/>
      <c r="Y892" s="1114"/>
      <c r="Z892" s="1114"/>
      <c r="AA892" s="43"/>
      <c r="AB892" s="872"/>
      <c r="AC892" s="872"/>
      <c r="AD892" s="872"/>
      <c r="AE892" s="872"/>
      <c r="AF892" s="890"/>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115" t="s">
        <v>1504</v>
      </c>
      <c r="G893" s="1116"/>
      <c r="H893" s="1116"/>
      <c r="I893" s="1116"/>
      <c r="J893" s="1116"/>
      <c r="K893" s="1116"/>
      <c r="L893" s="1116"/>
      <c r="M893" s="1116"/>
      <c r="N893" s="1116"/>
      <c r="O893" s="1116"/>
      <c r="P893" s="1116"/>
      <c r="Q893" s="1116"/>
      <c r="R893" s="1116"/>
      <c r="S893" s="1116"/>
      <c r="T893" s="1160"/>
      <c r="U893" s="1115"/>
      <c r="V893" s="1116"/>
      <c r="W893" s="1116"/>
      <c r="X893" s="1116"/>
      <c r="Y893" s="1116"/>
      <c r="Z893" s="1116"/>
      <c r="AA893" s="44"/>
      <c r="AB893" s="37"/>
      <c r="AC893" s="37"/>
      <c r="AD893" s="37"/>
      <c r="AE893" s="37"/>
      <c r="AF893" s="891"/>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117"/>
      <c r="G894" s="1118"/>
      <c r="H894" s="1118"/>
      <c r="I894" s="1118"/>
      <c r="J894" s="1118"/>
      <c r="K894" s="1118"/>
      <c r="L894" s="1118"/>
      <c r="M894" s="1118"/>
      <c r="N894" s="1118"/>
      <c r="O894" s="1118"/>
      <c r="P894" s="1118"/>
      <c r="Q894" s="1118"/>
      <c r="R894" s="1118"/>
      <c r="S894" s="1118"/>
      <c r="T894" s="1161"/>
      <c r="U894" s="1117"/>
      <c r="V894" s="1118"/>
      <c r="W894" s="1118"/>
      <c r="X894" s="1118"/>
      <c r="Y894" s="1118"/>
      <c r="Z894" s="1118"/>
      <c r="AA894" s="725"/>
      <c r="AB894" s="1453" t="s">
        <v>1505</v>
      </c>
      <c r="AC894" s="1453"/>
      <c r="AD894" s="1453"/>
      <c r="AE894" s="1453"/>
      <c r="AF894" s="389"/>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249" t="s">
        <v>1506</v>
      </c>
      <c r="G895" s="1250"/>
      <c r="H895" s="1250"/>
      <c r="I895" s="1250"/>
      <c r="J895" s="1250"/>
      <c r="K895" s="1250"/>
      <c r="L895" s="1250"/>
      <c r="M895" s="1250"/>
      <c r="N895" s="1250"/>
      <c r="O895" s="1250"/>
      <c r="P895" s="1250"/>
      <c r="Q895" s="1250"/>
      <c r="R895" s="1250"/>
      <c r="S895" s="1250"/>
      <c r="T895" s="1251"/>
      <c r="U895" s="1159" t="s">
        <v>325</v>
      </c>
      <c r="V895" s="1090"/>
      <c r="W895" s="1090"/>
      <c r="X895" s="1090"/>
      <c r="Y895" s="1090"/>
      <c r="Z895" s="1091"/>
      <c r="AA895" s="1119"/>
      <c r="AB895" s="1120"/>
      <c r="AC895" s="1120"/>
      <c r="AD895" s="1120"/>
      <c r="AE895" s="1120"/>
      <c r="AF895" s="1121"/>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249" t="s">
        <v>1507</v>
      </c>
      <c r="G896" s="1250"/>
      <c r="H896" s="1250"/>
      <c r="I896" s="1250"/>
      <c r="J896" s="1250"/>
      <c r="K896" s="1250"/>
      <c r="L896" s="1250"/>
      <c r="M896" s="1250"/>
      <c r="N896" s="1250"/>
      <c r="O896" s="1250"/>
      <c r="P896" s="1250"/>
      <c r="Q896" s="1250"/>
      <c r="R896" s="1250"/>
      <c r="S896" s="1250"/>
      <c r="T896" s="1251"/>
      <c r="U896" s="1159" t="s">
        <v>325</v>
      </c>
      <c r="V896" s="1090"/>
      <c r="W896" s="1090"/>
      <c r="X896" s="1090"/>
      <c r="Y896" s="1090"/>
      <c r="Z896" s="1091"/>
      <c r="AA896" s="1119"/>
      <c r="AB896" s="1120"/>
      <c r="AC896" s="1120"/>
      <c r="AD896" s="1120"/>
      <c r="AE896" s="1120"/>
      <c r="AF896" s="1121"/>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454" t="s">
        <v>1508</v>
      </c>
      <c r="G897" s="1455"/>
      <c r="H897" s="1455"/>
      <c r="I897" s="1455"/>
      <c r="J897" s="1455"/>
      <c r="K897" s="1455"/>
      <c r="L897" s="1455"/>
      <c r="M897" s="1455"/>
      <c r="N897" s="1455"/>
      <c r="O897" s="1455"/>
      <c r="P897" s="1455"/>
      <c r="Q897" s="1455"/>
      <c r="R897" s="1455"/>
      <c r="S897" s="1455"/>
      <c r="T897" s="1456"/>
      <c r="U897" s="1159" t="s">
        <v>325</v>
      </c>
      <c r="V897" s="1090"/>
      <c r="W897" s="1090"/>
      <c r="X897" s="1090"/>
      <c r="Y897" s="1090"/>
      <c r="Z897" s="1091"/>
      <c r="AA897" s="1119"/>
      <c r="AB897" s="1120"/>
      <c r="AC897" s="1120"/>
      <c r="AD897" s="1120"/>
      <c r="AE897" s="1120"/>
      <c r="AF897" s="1121"/>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454" t="s">
        <v>1509</v>
      </c>
      <c r="G898" s="1455"/>
      <c r="H898" s="1455"/>
      <c r="I898" s="1455"/>
      <c r="J898" s="1455"/>
      <c r="K898" s="1455"/>
      <c r="L898" s="1455"/>
      <c r="M898" s="1455"/>
      <c r="N898" s="1455"/>
      <c r="O898" s="1455"/>
      <c r="P898" s="1455"/>
      <c r="Q898" s="1455"/>
      <c r="R898" s="1455"/>
      <c r="S898" s="1455"/>
      <c r="T898" s="1456"/>
      <c r="U898" s="1159" t="s">
        <v>708</v>
      </c>
      <c r="V898" s="1090"/>
      <c r="W898" s="1090"/>
      <c r="X898" s="1090"/>
      <c r="Y898" s="1090"/>
      <c r="Z898" s="1091"/>
      <c r="AA898" s="1119">
        <f>+AO621+AO622</f>
        <v>2086278</v>
      </c>
      <c r="AB898" s="1120"/>
      <c r="AC898" s="1120"/>
      <c r="AD898" s="1120"/>
      <c r="AE898" s="1120"/>
      <c r="AF898" s="1121"/>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454" t="s">
        <v>1510</v>
      </c>
      <c r="G899" s="1455"/>
      <c r="H899" s="1455"/>
      <c r="I899" s="1455"/>
      <c r="J899" s="1455"/>
      <c r="K899" s="1455"/>
      <c r="L899" s="1455"/>
      <c r="M899" s="1455"/>
      <c r="N899" s="1455"/>
      <c r="O899" s="1455"/>
      <c r="P899" s="1455"/>
      <c r="Q899" s="1455"/>
      <c r="R899" s="1455"/>
      <c r="S899" s="1455"/>
      <c r="T899" s="1456"/>
      <c r="U899" s="1159" t="s">
        <v>325</v>
      </c>
      <c r="V899" s="1090"/>
      <c r="W899" s="1090"/>
      <c r="X899" s="1090"/>
      <c r="Y899" s="1090"/>
      <c r="Z899" s="1091"/>
      <c r="AA899" s="1119"/>
      <c r="AB899" s="1120"/>
      <c r="AC899" s="1120"/>
      <c r="AD899" s="1120"/>
      <c r="AE899" s="1120"/>
      <c r="AF899" s="1121"/>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249" t="s">
        <v>1511</v>
      </c>
      <c r="G900" s="1250"/>
      <c r="H900" s="1250"/>
      <c r="I900" s="1250"/>
      <c r="J900" s="1250"/>
      <c r="K900" s="1250"/>
      <c r="L900" s="1250"/>
      <c r="M900" s="1250"/>
      <c r="N900" s="1250"/>
      <c r="O900" s="1250"/>
      <c r="P900" s="1250"/>
      <c r="Q900" s="1250"/>
      <c r="R900" s="1250"/>
      <c r="S900" s="1250"/>
      <c r="T900" s="1251"/>
      <c r="U900" s="1159" t="s">
        <v>325</v>
      </c>
      <c r="V900" s="1090"/>
      <c r="W900" s="1090"/>
      <c r="X900" s="1090"/>
      <c r="Y900" s="1090"/>
      <c r="Z900" s="1091"/>
      <c r="AA900" s="1119"/>
      <c r="AB900" s="1120"/>
      <c r="AC900" s="1120"/>
      <c r="AD900" s="1120"/>
      <c r="AE900" s="1120"/>
      <c r="AF900" s="1121"/>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249" t="s">
        <v>1512</v>
      </c>
      <c r="G901" s="1250"/>
      <c r="H901" s="1250"/>
      <c r="I901" s="1250"/>
      <c r="J901" s="1250"/>
      <c r="K901" s="1250"/>
      <c r="L901" s="1250"/>
      <c r="M901" s="1250"/>
      <c r="N901" s="1250"/>
      <c r="O901" s="1250"/>
      <c r="P901" s="1250"/>
      <c r="Q901" s="1250"/>
      <c r="R901" s="1250"/>
      <c r="S901" s="1250"/>
      <c r="T901" s="1251"/>
      <c r="U901" s="1159" t="s">
        <v>325</v>
      </c>
      <c r="V901" s="1090"/>
      <c r="W901" s="1090"/>
      <c r="X901" s="1090"/>
      <c r="Y901" s="1090"/>
      <c r="Z901" s="1091"/>
      <c r="AA901" s="1119"/>
      <c r="AB901" s="1120"/>
      <c r="AC901" s="1120"/>
      <c r="AD901" s="1120"/>
      <c r="AE901" s="1120"/>
      <c r="AF901" s="1121"/>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249" t="s">
        <v>1513</v>
      </c>
      <c r="G902" s="1250"/>
      <c r="H902" s="1250"/>
      <c r="I902" s="1250"/>
      <c r="J902" s="1250"/>
      <c r="K902" s="1250"/>
      <c r="L902" s="1250"/>
      <c r="M902" s="1250"/>
      <c r="N902" s="1250"/>
      <c r="O902" s="1250"/>
      <c r="P902" s="1250"/>
      <c r="Q902" s="1250"/>
      <c r="R902" s="1250"/>
      <c r="S902" s="1250"/>
      <c r="T902" s="1251"/>
      <c r="U902" s="1159" t="s">
        <v>325</v>
      </c>
      <c r="V902" s="1090"/>
      <c r="W902" s="1090"/>
      <c r="X902" s="1090"/>
      <c r="Y902" s="1090"/>
      <c r="Z902" s="1091"/>
      <c r="AA902" s="1119"/>
      <c r="AB902" s="1120"/>
      <c r="AC902" s="1120"/>
      <c r="AD902" s="1120"/>
      <c r="AE902" s="1120"/>
      <c r="AF902" s="1121"/>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249" t="s">
        <v>1514</v>
      </c>
      <c r="G903" s="1250"/>
      <c r="H903" s="1250"/>
      <c r="I903" s="1250"/>
      <c r="J903" s="1250"/>
      <c r="K903" s="1250"/>
      <c r="L903" s="1250"/>
      <c r="M903" s="1250"/>
      <c r="N903" s="1250"/>
      <c r="O903" s="1250"/>
      <c r="P903" s="1250"/>
      <c r="Q903" s="1250"/>
      <c r="R903" s="1250"/>
      <c r="S903" s="1250"/>
      <c r="T903" s="1251"/>
      <c r="U903" s="1159" t="s">
        <v>325</v>
      </c>
      <c r="V903" s="1090"/>
      <c r="W903" s="1090"/>
      <c r="X903" s="1090"/>
      <c r="Y903" s="1090"/>
      <c r="Z903" s="1091"/>
      <c r="AA903" s="1119"/>
      <c r="AB903" s="1120"/>
      <c r="AC903" s="1120"/>
      <c r="AD903" s="1120"/>
      <c r="AE903" s="1120"/>
      <c r="AF903" s="1121"/>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249" t="s">
        <v>1515</v>
      </c>
      <c r="G904" s="1250"/>
      <c r="H904" s="1250"/>
      <c r="I904" s="1250"/>
      <c r="J904" s="1250"/>
      <c r="K904" s="1250"/>
      <c r="L904" s="1250"/>
      <c r="M904" s="1250"/>
      <c r="N904" s="1250"/>
      <c r="O904" s="1250"/>
      <c r="P904" s="1250"/>
      <c r="Q904" s="1250"/>
      <c r="R904" s="1250"/>
      <c r="S904" s="1250"/>
      <c r="T904" s="1251"/>
      <c r="U904" s="1159" t="s">
        <v>325</v>
      </c>
      <c r="V904" s="1090"/>
      <c r="W904" s="1090"/>
      <c r="X904" s="1090"/>
      <c r="Y904" s="1090"/>
      <c r="Z904" s="1091"/>
      <c r="AA904" s="1119"/>
      <c r="AB904" s="1120"/>
      <c r="AC904" s="1120"/>
      <c r="AD904" s="1120"/>
      <c r="AE904" s="1120"/>
      <c r="AF904" s="1121"/>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249" t="s">
        <v>1516</v>
      </c>
      <c r="G905" s="1250"/>
      <c r="H905" s="1250"/>
      <c r="I905" s="1250"/>
      <c r="J905" s="1250"/>
      <c r="K905" s="1250"/>
      <c r="L905" s="1250"/>
      <c r="M905" s="1250"/>
      <c r="N905" s="1250"/>
      <c r="O905" s="1250"/>
      <c r="P905" s="1250"/>
      <c r="Q905" s="1250"/>
      <c r="R905" s="1250"/>
      <c r="S905" s="1250"/>
      <c r="T905" s="1251"/>
      <c r="U905" s="1159" t="s">
        <v>325</v>
      </c>
      <c r="V905" s="1090"/>
      <c r="W905" s="1090"/>
      <c r="X905" s="1090"/>
      <c r="Y905" s="1090"/>
      <c r="Z905" s="1091"/>
      <c r="AA905" s="1119"/>
      <c r="AB905" s="1120"/>
      <c r="AC905" s="1120"/>
      <c r="AD905" s="1120"/>
      <c r="AE905" s="1120"/>
      <c r="AF905" s="1121"/>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249" t="s">
        <v>1517</v>
      </c>
      <c r="G906" s="1250"/>
      <c r="H906" s="1250"/>
      <c r="I906" s="1250"/>
      <c r="J906" s="1250"/>
      <c r="K906" s="1250"/>
      <c r="L906" s="1250"/>
      <c r="M906" s="1250"/>
      <c r="N906" s="1250"/>
      <c r="O906" s="1250"/>
      <c r="P906" s="1250"/>
      <c r="Q906" s="1250"/>
      <c r="R906" s="1250"/>
      <c r="S906" s="1250"/>
      <c r="T906" s="1251"/>
      <c r="U906" s="1159" t="s">
        <v>325</v>
      </c>
      <c r="V906" s="1090"/>
      <c r="W906" s="1090"/>
      <c r="X906" s="1090"/>
      <c r="Y906" s="1090"/>
      <c r="Z906" s="1091"/>
      <c r="AA906" s="1119"/>
      <c r="AB906" s="1120"/>
      <c r="AC906" s="1120"/>
      <c r="AD906" s="1120"/>
      <c r="AE906" s="1120"/>
      <c r="AF906" s="1121"/>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249" t="s">
        <v>1518</v>
      </c>
      <c r="G907" s="1250"/>
      <c r="H907" s="1250"/>
      <c r="I907" s="1250"/>
      <c r="J907" s="1250"/>
      <c r="K907" s="1250"/>
      <c r="L907" s="1250"/>
      <c r="M907" s="1250"/>
      <c r="N907" s="1250"/>
      <c r="O907" s="1250"/>
      <c r="P907" s="1250"/>
      <c r="Q907" s="1250"/>
      <c r="R907" s="1250"/>
      <c r="S907" s="1250"/>
      <c r="T907" s="1251"/>
      <c r="U907" s="1159" t="s">
        <v>325</v>
      </c>
      <c r="V907" s="1090"/>
      <c r="W907" s="1090"/>
      <c r="X907" s="1090"/>
      <c r="Y907" s="1090"/>
      <c r="Z907" s="1091"/>
      <c r="AA907" s="1119"/>
      <c r="AB907" s="1120"/>
      <c r="AC907" s="1120"/>
      <c r="AD907" s="1120"/>
      <c r="AE907" s="1120"/>
      <c r="AF907" s="1121"/>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488" t="s">
        <v>1519</v>
      </c>
      <c r="G908" s="1489"/>
      <c r="H908" s="1489"/>
      <c r="I908" s="1489"/>
      <c r="J908" s="1489"/>
      <c r="K908" s="1489"/>
      <c r="L908" s="1489"/>
      <c r="M908" s="1489"/>
      <c r="N908" s="1489"/>
      <c r="O908" s="1489"/>
      <c r="P908" s="1489"/>
      <c r="Q908" s="1489"/>
      <c r="R908" s="1489"/>
      <c r="S908" s="1489"/>
      <c r="T908" s="1490"/>
      <c r="U908" s="1159" t="s">
        <v>325</v>
      </c>
      <c r="V908" s="1090"/>
      <c r="W908" s="1090"/>
      <c r="X908" s="1090"/>
      <c r="Y908" s="1090"/>
      <c r="Z908" s="1091"/>
      <c r="AA908" s="1119"/>
      <c r="AB908" s="1120"/>
      <c r="AC908" s="1120"/>
      <c r="AD908" s="1120"/>
      <c r="AE908" s="1120"/>
      <c r="AF908" s="1121"/>
      <c r="AL908" s="892"/>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249" t="s">
        <v>1520</v>
      </c>
      <c r="G909" s="1250"/>
      <c r="H909" s="1250"/>
      <c r="I909" s="1250"/>
      <c r="J909" s="1250"/>
      <c r="K909" s="1250"/>
      <c r="L909" s="1250"/>
      <c r="M909" s="1250"/>
      <c r="N909" s="1250"/>
      <c r="O909" s="1250"/>
      <c r="P909" s="1250"/>
      <c r="Q909" s="1250"/>
      <c r="R909" s="1250"/>
      <c r="S909" s="1250"/>
      <c r="T909" s="1251"/>
      <c r="U909" s="1159" t="s">
        <v>325</v>
      </c>
      <c r="V909" s="1090"/>
      <c r="W909" s="1090"/>
      <c r="X909" s="1090"/>
      <c r="Y909" s="1090"/>
      <c r="Z909" s="1091"/>
      <c r="AA909" s="1119"/>
      <c r="AB909" s="1120"/>
      <c r="AC909" s="1120"/>
      <c r="AD909" s="1120"/>
      <c r="AE909" s="1120"/>
      <c r="AF909" s="1121"/>
      <c r="AL909" s="892"/>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454" t="s">
        <v>1521</v>
      </c>
      <c r="G910" s="1455"/>
      <c r="H910" s="1455"/>
      <c r="I910" s="1455"/>
      <c r="J910" s="1455"/>
      <c r="K910" s="1455"/>
      <c r="L910" s="1455"/>
      <c r="M910" s="1455"/>
      <c r="N910" s="1455"/>
      <c r="O910" s="1455"/>
      <c r="P910" s="1455"/>
      <c r="Q910" s="1455"/>
      <c r="R910" s="1455"/>
      <c r="S910" s="1455"/>
      <c r="T910" s="1456"/>
      <c r="U910" s="1159" t="s">
        <v>325</v>
      </c>
      <c r="V910" s="1090"/>
      <c r="W910" s="1090"/>
      <c r="X910" s="1090"/>
      <c r="Y910" s="1090"/>
      <c r="Z910" s="1091"/>
      <c r="AA910" s="1119"/>
      <c r="AB910" s="1120"/>
      <c r="AC910" s="1120"/>
      <c r="AD910" s="1120"/>
      <c r="AE910" s="1120"/>
      <c r="AF910" s="1121"/>
      <c r="AL910" s="892"/>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454" t="s">
        <v>1522</v>
      </c>
      <c r="G911" s="1455"/>
      <c r="H911" s="1455"/>
      <c r="I911" s="1455"/>
      <c r="J911" s="1455"/>
      <c r="K911" s="1455"/>
      <c r="L911" s="1455"/>
      <c r="M911" s="1455"/>
      <c r="N911" s="1455"/>
      <c r="O911" s="1455"/>
      <c r="P911" s="1455"/>
      <c r="Q911" s="1455"/>
      <c r="R911" s="1455"/>
      <c r="S911" s="1455"/>
      <c r="T911" s="1456"/>
      <c r="U911" s="1159" t="s">
        <v>325</v>
      </c>
      <c r="V911" s="1090"/>
      <c r="W911" s="1090"/>
      <c r="X911" s="1090"/>
      <c r="Y911" s="1090"/>
      <c r="Z911" s="1091"/>
      <c r="AA911" s="1119"/>
      <c r="AB911" s="1120"/>
      <c r="AC911" s="1120"/>
      <c r="AD911" s="1120"/>
      <c r="AE911" s="1120"/>
      <c r="AF911" s="1121"/>
      <c r="AL911" s="892"/>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454" t="s">
        <v>1523</v>
      </c>
      <c r="G912" s="1455"/>
      <c r="H912" s="1455"/>
      <c r="I912" s="1455"/>
      <c r="J912" s="1455"/>
      <c r="K912" s="1455"/>
      <c r="L912" s="1455"/>
      <c r="M912" s="1455"/>
      <c r="N912" s="1455"/>
      <c r="O912" s="1455"/>
      <c r="P912" s="1455"/>
      <c r="Q912" s="1455"/>
      <c r="R912" s="1455"/>
      <c r="S912" s="1455"/>
      <c r="T912" s="1456"/>
      <c r="U912" s="1159" t="s">
        <v>325</v>
      </c>
      <c r="V912" s="1090"/>
      <c r="W912" s="1090"/>
      <c r="X912" s="1090"/>
      <c r="Y912" s="1090"/>
      <c r="Z912" s="1091"/>
      <c r="AA912" s="1119"/>
      <c r="AB912" s="1120"/>
      <c r="AC912" s="1120"/>
      <c r="AD912" s="1120"/>
      <c r="AE912" s="1120"/>
      <c r="AF912" s="1121"/>
      <c r="AL912" s="892"/>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249" t="s">
        <v>1524</v>
      </c>
      <c r="G913" s="1250"/>
      <c r="H913" s="1250"/>
      <c r="I913" s="1250"/>
      <c r="J913" s="1250"/>
      <c r="K913" s="1250"/>
      <c r="L913" s="1250"/>
      <c r="M913" s="1250"/>
      <c r="N913" s="1250"/>
      <c r="O913" s="1250"/>
      <c r="P913" s="1250"/>
      <c r="Q913" s="1250"/>
      <c r="R913" s="1250"/>
      <c r="S913" s="1250"/>
      <c r="T913" s="1251"/>
      <c r="U913" s="1027" t="s">
        <v>325</v>
      </c>
      <c r="V913" s="1028"/>
      <c r="W913" s="1028"/>
      <c r="X913" s="1028"/>
      <c r="Y913" s="1028"/>
      <c r="Z913" s="1029"/>
      <c r="AA913" s="1206"/>
      <c r="AB913" s="1078"/>
      <c r="AC913" s="1078"/>
      <c r="AD913" s="1078"/>
      <c r="AE913" s="1078"/>
      <c r="AF913" s="1207"/>
      <c r="AL913" s="892"/>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249" t="s">
        <v>1525</v>
      </c>
      <c r="G914" s="1250"/>
      <c r="H914" s="1250"/>
      <c r="I914" s="1250"/>
      <c r="J914" s="1250"/>
      <c r="K914" s="1250"/>
      <c r="L914" s="1250"/>
      <c r="M914" s="1250"/>
      <c r="N914" s="1250"/>
      <c r="O914" s="1250"/>
      <c r="P914" s="1250"/>
      <c r="Q914" s="1250"/>
      <c r="R914" s="1250"/>
      <c r="S914" s="1250"/>
      <c r="T914" s="1251"/>
      <c r="U914" s="1027" t="s">
        <v>325</v>
      </c>
      <c r="V914" s="1028"/>
      <c r="W914" s="1028"/>
      <c r="X914" s="1028"/>
      <c r="Y914" s="1028"/>
      <c r="Z914" s="1029"/>
      <c r="AA914" s="1206"/>
      <c r="AB914" s="1078"/>
      <c r="AC914" s="1078"/>
      <c r="AD914" s="1078"/>
      <c r="AE914" s="1078"/>
      <c r="AF914" s="1207"/>
      <c r="AL914" s="892"/>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249" t="s">
        <v>1526</v>
      </c>
      <c r="G915" s="1250"/>
      <c r="H915" s="1250"/>
      <c r="I915" s="1250"/>
      <c r="J915" s="1250"/>
      <c r="K915" s="1250"/>
      <c r="L915" s="1250"/>
      <c r="M915" s="1250"/>
      <c r="N915" s="1250"/>
      <c r="O915" s="1250"/>
      <c r="P915" s="1250"/>
      <c r="Q915" s="1250"/>
      <c r="R915" s="1250"/>
      <c r="S915" s="1250"/>
      <c r="T915" s="1251"/>
      <c r="U915" s="1027" t="s">
        <v>325</v>
      </c>
      <c r="V915" s="1028"/>
      <c r="W915" s="1028"/>
      <c r="X915" s="1028"/>
      <c r="Y915" s="1028"/>
      <c r="Z915" s="1029"/>
      <c r="AA915" s="1206"/>
      <c r="AB915" s="1078"/>
      <c r="AC915" s="1078"/>
      <c r="AD915" s="1078"/>
      <c r="AE915" s="1078"/>
      <c r="AF915" s="1207"/>
      <c r="AL915" s="892"/>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454" t="s">
        <v>1527</v>
      </c>
      <c r="G916" s="1455"/>
      <c r="H916" s="1455"/>
      <c r="I916" s="1455"/>
      <c r="J916" s="1455"/>
      <c r="K916" s="1455"/>
      <c r="L916" s="1455"/>
      <c r="M916" s="1455"/>
      <c r="N916" s="1455"/>
      <c r="O916" s="1455"/>
      <c r="P916" s="1455"/>
      <c r="Q916" s="1455"/>
      <c r="R916" s="1455"/>
      <c r="S916" s="1455"/>
      <c r="T916" s="1456"/>
      <c r="U916" s="1159" t="s">
        <v>325</v>
      </c>
      <c r="V916" s="1090"/>
      <c r="W916" s="1090"/>
      <c r="X916" s="1090"/>
      <c r="Y916" s="1090"/>
      <c r="Z916" s="1091"/>
      <c r="AA916" s="1119"/>
      <c r="AB916" s="1120"/>
      <c r="AC916" s="1120"/>
      <c r="AD916" s="1120"/>
      <c r="AE916" s="1120"/>
      <c r="AF916" s="1121"/>
      <c r="AL916" s="892"/>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454" t="s">
        <v>1528</v>
      </c>
      <c r="G917" s="1455"/>
      <c r="H917" s="1455"/>
      <c r="I917" s="1455"/>
      <c r="J917" s="1455"/>
      <c r="K917" s="1455"/>
      <c r="L917" s="1455"/>
      <c r="M917" s="1455"/>
      <c r="N917" s="1455"/>
      <c r="O917" s="1455"/>
      <c r="P917" s="1455"/>
      <c r="Q917" s="1455"/>
      <c r="R917" s="1455"/>
      <c r="S917" s="1455"/>
      <c r="T917" s="1456"/>
      <c r="U917" s="1159" t="s">
        <v>325</v>
      </c>
      <c r="V917" s="1090"/>
      <c r="W917" s="1090"/>
      <c r="X917" s="1090"/>
      <c r="Y917" s="1090"/>
      <c r="Z917" s="1091"/>
      <c r="AA917" s="1119"/>
      <c r="AB917" s="1120"/>
      <c r="AC917" s="1120"/>
      <c r="AD917" s="1120"/>
      <c r="AE917" s="1120"/>
      <c r="AF917" s="1121"/>
      <c r="AL917" s="892"/>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454" t="s">
        <v>1529</v>
      </c>
      <c r="G918" s="1455"/>
      <c r="H918" s="1455"/>
      <c r="I918" s="1455"/>
      <c r="J918" s="1455"/>
      <c r="K918" s="1455"/>
      <c r="L918" s="1455"/>
      <c r="M918" s="1455"/>
      <c r="N918" s="1455"/>
      <c r="O918" s="1455"/>
      <c r="P918" s="1455"/>
      <c r="Q918" s="1455"/>
      <c r="R918" s="1455"/>
      <c r="S918" s="1455"/>
      <c r="T918" s="1456"/>
      <c r="U918" s="1159" t="s">
        <v>325</v>
      </c>
      <c r="V918" s="1090"/>
      <c r="W918" s="1090"/>
      <c r="X918" s="1090"/>
      <c r="Y918" s="1090"/>
      <c r="Z918" s="1091"/>
      <c r="AA918" s="1119"/>
      <c r="AB918" s="1120"/>
      <c r="AC918" s="1120"/>
      <c r="AD918" s="1120"/>
      <c r="AE918" s="1120"/>
      <c r="AF918" s="1121"/>
      <c r="AL918" s="892"/>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454" t="s">
        <v>1530</v>
      </c>
      <c r="G919" s="1455"/>
      <c r="H919" s="1455"/>
      <c r="I919" s="1455"/>
      <c r="J919" s="1455"/>
      <c r="K919" s="1455"/>
      <c r="L919" s="1455"/>
      <c r="M919" s="1455"/>
      <c r="N919" s="1455"/>
      <c r="O919" s="1455"/>
      <c r="P919" s="1455"/>
      <c r="Q919" s="1455"/>
      <c r="R919" s="1455"/>
      <c r="S919" s="1455"/>
      <c r="T919" s="1456"/>
      <c r="U919" s="1159" t="s">
        <v>325</v>
      </c>
      <c r="V919" s="1090"/>
      <c r="W919" s="1090"/>
      <c r="X919" s="1090"/>
      <c r="Y919" s="1090"/>
      <c r="Z919" s="1091"/>
      <c r="AA919" s="1119"/>
      <c r="AB919" s="1120"/>
      <c r="AC919" s="1120"/>
      <c r="AD919" s="1120"/>
      <c r="AE919" s="1120"/>
      <c r="AF919" s="1121"/>
      <c r="AL919" s="892"/>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454" t="s">
        <v>1531</v>
      </c>
      <c r="G920" s="1455"/>
      <c r="H920" s="1455"/>
      <c r="I920" s="1455"/>
      <c r="J920" s="1455"/>
      <c r="K920" s="1455"/>
      <c r="L920" s="1455"/>
      <c r="M920" s="1455"/>
      <c r="N920" s="1455"/>
      <c r="O920" s="1455"/>
      <c r="P920" s="1455"/>
      <c r="Q920" s="1455"/>
      <c r="R920" s="1455"/>
      <c r="S920" s="1455"/>
      <c r="T920" s="1456"/>
      <c r="U920" s="1159" t="s">
        <v>325</v>
      </c>
      <c r="V920" s="1090"/>
      <c r="W920" s="1090"/>
      <c r="X920" s="1090"/>
      <c r="Y920" s="1090"/>
      <c r="Z920" s="1091"/>
      <c r="AA920" s="1119"/>
      <c r="AB920" s="1120"/>
      <c r="AC920" s="1120"/>
      <c r="AD920" s="1120"/>
      <c r="AE920" s="1120"/>
      <c r="AF920" s="1121"/>
      <c r="AL920" s="892"/>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1532</v>
      </c>
      <c r="G921" s="9"/>
      <c r="H921" s="9"/>
      <c r="I921" s="9"/>
      <c r="J921" s="9"/>
      <c r="K921" s="9"/>
      <c r="L921" s="9"/>
      <c r="M921" s="9"/>
      <c r="N921" s="9"/>
      <c r="O921" s="9"/>
      <c r="P921" s="1027" t="s">
        <v>759</v>
      </c>
      <c r="Q921" s="1090"/>
      <c r="R921" s="1090"/>
      <c r="S921" s="1090"/>
      <c r="T921" s="1091"/>
      <c r="U921" s="1159" t="s">
        <v>325</v>
      </c>
      <c r="V921" s="1090"/>
      <c r="W921" s="1090"/>
      <c r="X921" s="1090"/>
      <c r="Y921" s="1090"/>
      <c r="Z921" s="1091"/>
      <c r="AA921" s="1119"/>
      <c r="AB921" s="1120"/>
      <c r="AC921" s="1120"/>
      <c r="AD921" s="1120"/>
      <c r="AE921" s="1120"/>
      <c r="AF921" s="1121"/>
      <c r="AL921" s="892"/>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249" t="s">
        <v>1533</v>
      </c>
      <c r="G922" s="1250"/>
      <c r="H922" s="1251"/>
      <c r="I922" s="1104" t="s">
        <v>1163</v>
      </c>
      <c r="J922" s="1105"/>
      <c r="K922" s="1105"/>
      <c r="L922" s="1105"/>
      <c r="M922" s="1105"/>
      <c r="N922" s="1105"/>
      <c r="O922" s="1105"/>
      <c r="P922" s="1105"/>
      <c r="Q922" s="1105"/>
      <c r="R922" s="1105"/>
      <c r="S922" s="1105"/>
      <c r="T922" s="1106"/>
      <c r="U922" s="1159" t="s">
        <v>325</v>
      </c>
      <c r="V922" s="1090"/>
      <c r="W922" s="1090"/>
      <c r="X922" s="1090"/>
      <c r="Y922" s="1090"/>
      <c r="Z922" s="1091"/>
      <c r="AA922" s="1119"/>
      <c r="AB922" s="1120"/>
      <c r="AC922" s="1120"/>
      <c r="AD922" s="1120"/>
      <c r="AE922" s="1120"/>
      <c r="AF922" s="1121"/>
      <c r="AL922" s="892"/>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249" t="s">
        <v>985</v>
      </c>
      <c r="G923" s="1250"/>
      <c r="H923" s="1251"/>
      <c r="I923" s="1104" t="s">
        <v>1163</v>
      </c>
      <c r="J923" s="1105"/>
      <c r="K923" s="1105"/>
      <c r="L923" s="1105"/>
      <c r="M923" s="1105"/>
      <c r="N923" s="1105"/>
      <c r="O923" s="1105"/>
      <c r="P923" s="1105"/>
      <c r="Q923" s="1105"/>
      <c r="R923" s="1105"/>
      <c r="S923" s="1105"/>
      <c r="T923" s="1106"/>
      <c r="U923" s="1159" t="s">
        <v>325</v>
      </c>
      <c r="V923" s="1090"/>
      <c r="W923" s="1090"/>
      <c r="X923" s="1090"/>
      <c r="Y923" s="1090"/>
      <c r="Z923" s="1091"/>
      <c r="AA923" s="1119"/>
      <c r="AB923" s="1120"/>
      <c r="AC923" s="1120"/>
      <c r="AD923" s="1120"/>
      <c r="AE923" s="1120"/>
      <c r="AF923" s="1121"/>
      <c r="AL923" s="892"/>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249" t="s">
        <v>1534</v>
      </c>
      <c r="G924" s="1250"/>
      <c r="H924" s="1251"/>
      <c r="I924" s="1104" t="s">
        <v>1163</v>
      </c>
      <c r="J924" s="1105"/>
      <c r="K924" s="1105"/>
      <c r="L924" s="1105"/>
      <c r="M924" s="1105"/>
      <c r="N924" s="1105"/>
      <c r="O924" s="1105"/>
      <c r="P924" s="1105"/>
      <c r="Q924" s="1105"/>
      <c r="R924" s="1105"/>
      <c r="S924" s="1105"/>
      <c r="T924" s="1106"/>
      <c r="U924" s="1159" t="s">
        <v>325</v>
      </c>
      <c r="V924" s="1090"/>
      <c r="W924" s="1090"/>
      <c r="X924" s="1090"/>
      <c r="Y924" s="1090"/>
      <c r="Z924" s="1091"/>
      <c r="AA924" s="1119"/>
      <c r="AB924" s="1120"/>
      <c r="AC924" s="1120"/>
      <c r="AD924" s="1120"/>
      <c r="AE924" s="1120"/>
      <c r="AF924" s="1121"/>
      <c r="AL924" s="892"/>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249" t="s">
        <v>1162</v>
      </c>
      <c r="G925" s="1250"/>
      <c r="H925" s="1251"/>
      <c r="I925" s="1104" t="s">
        <v>1535</v>
      </c>
      <c r="J925" s="1105"/>
      <c r="K925" s="1105"/>
      <c r="L925" s="1105"/>
      <c r="M925" s="1105"/>
      <c r="N925" s="1105"/>
      <c r="O925" s="1105"/>
      <c r="P925" s="1105"/>
      <c r="Q925" s="1105"/>
      <c r="R925" s="1105"/>
      <c r="S925" s="1105"/>
      <c r="T925" s="1106"/>
      <c r="U925" s="1159" t="s">
        <v>708</v>
      </c>
      <c r="V925" s="1090"/>
      <c r="W925" s="1090"/>
      <c r="X925" s="1090"/>
      <c r="Y925" s="1090"/>
      <c r="Z925" s="1091"/>
      <c r="AA925" s="1119">
        <v>100000</v>
      </c>
      <c r="AB925" s="1120"/>
      <c r="AC925" s="1120"/>
      <c r="AD925" s="1120"/>
      <c r="AE925" s="1120"/>
      <c r="AF925" s="1121"/>
      <c r="AL925" s="892"/>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249" t="s">
        <v>1162</v>
      </c>
      <c r="G926" s="1250"/>
      <c r="H926" s="1251"/>
      <c r="I926" s="1104" t="s">
        <v>1536</v>
      </c>
      <c r="J926" s="1105"/>
      <c r="K926" s="1105"/>
      <c r="L926" s="1105"/>
      <c r="M926" s="1105"/>
      <c r="N926" s="1105"/>
      <c r="O926" s="1105"/>
      <c r="P926" s="1105"/>
      <c r="Q926" s="1105"/>
      <c r="R926" s="1105"/>
      <c r="S926" s="1105"/>
      <c r="T926" s="1106"/>
      <c r="U926" s="1159" t="s">
        <v>708</v>
      </c>
      <c r="V926" s="1090"/>
      <c r="W926" s="1090"/>
      <c r="X926" s="1090"/>
      <c r="Y926" s="1090"/>
      <c r="Z926" s="1091"/>
      <c r="AA926" s="1119">
        <v>341992</v>
      </c>
      <c r="AB926" s="1120"/>
      <c r="AC926" s="1120"/>
      <c r="AD926" s="1120"/>
      <c r="AE926" s="1120"/>
      <c r="AF926" s="1121"/>
      <c r="AL926" s="892"/>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2"/>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826</v>
      </c>
      <c r="C928" s="3" t="s">
        <v>242</v>
      </c>
      <c r="AL928" s="892"/>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1537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2"/>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1538</v>
      </c>
      <c r="D931" s="9"/>
      <c r="E931" s="9"/>
      <c r="F931" s="9"/>
      <c r="G931" s="9"/>
      <c r="H931" s="9"/>
      <c r="I931" s="9"/>
      <c r="J931" s="9"/>
      <c r="K931" s="9"/>
      <c r="L931" s="1201">
        <v>45474</v>
      </c>
      <c r="M931" s="1283"/>
      <c r="N931" s="1283"/>
      <c r="O931" s="1283"/>
      <c r="P931" s="1283"/>
      <c r="Q931" s="1283"/>
      <c r="R931" s="1283"/>
      <c r="S931" s="1380"/>
      <c r="U931" s="180" t="s">
        <v>1538</v>
      </c>
      <c r="V931" s="9"/>
      <c r="W931" s="9"/>
      <c r="X931" s="9"/>
      <c r="Y931" s="9"/>
      <c r="Z931" s="9"/>
      <c r="AA931" s="9"/>
      <c r="AB931" s="9"/>
      <c r="AC931" s="9"/>
      <c r="AD931" s="45"/>
      <c r="AE931" s="1201"/>
      <c r="AF931" s="1202"/>
      <c r="AG931" s="1202"/>
      <c r="AH931" s="1202"/>
      <c r="AI931" s="1202"/>
      <c r="AJ931" s="1202"/>
      <c r="AK931" s="1203"/>
      <c r="AL931" s="892"/>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1539</v>
      </c>
      <c r="D932" s="9"/>
      <c r="E932" s="9"/>
      <c r="F932" s="9"/>
      <c r="G932" s="9"/>
      <c r="H932" s="9"/>
      <c r="I932" s="9"/>
      <c r="J932" s="9"/>
      <c r="K932" s="9"/>
      <c r="L932" s="1204" t="s">
        <v>1540</v>
      </c>
      <c r="M932" s="1283"/>
      <c r="N932" s="1283"/>
      <c r="O932" s="1283"/>
      <c r="P932" s="1283"/>
      <c r="Q932" s="1283"/>
      <c r="R932" s="1283"/>
      <c r="S932" s="1380"/>
      <c r="U932" s="180" t="s">
        <v>1539</v>
      </c>
      <c r="V932" s="9"/>
      <c r="W932" s="9"/>
      <c r="X932" s="9"/>
      <c r="Y932" s="9"/>
      <c r="Z932" s="9"/>
      <c r="AA932" s="9"/>
      <c r="AB932" s="9"/>
      <c r="AC932" s="9"/>
      <c r="AD932" s="45"/>
      <c r="AE932" s="1204"/>
      <c r="AF932" s="1094"/>
      <c r="AG932" s="1094"/>
      <c r="AH932" s="1094"/>
      <c r="AI932" s="1094"/>
      <c r="AJ932" s="1094"/>
      <c r="AK932" s="1205"/>
      <c r="AL932" s="892"/>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1541</v>
      </c>
      <c r="D933" s="9"/>
      <c r="E933" s="9"/>
      <c r="L933" s="1107" t="s">
        <v>320</v>
      </c>
      <c r="M933" s="1108"/>
      <c r="N933" s="1108"/>
      <c r="O933" s="1108"/>
      <c r="P933" s="1108"/>
      <c r="Q933" s="1108"/>
      <c r="R933" s="1108"/>
      <c r="S933" s="1109"/>
      <c r="U933" s="180" t="s">
        <v>1541</v>
      </c>
      <c r="V933" s="9"/>
      <c r="W933" s="9"/>
      <c r="AE933" s="1107" t="s">
        <v>320</v>
      </c>
      <c r="AF933" s="1108"/>
      <c r="AG933" s="1108"/>
      <c r="AH933" s="1108"/>
      <c r="AI933" s="1108"/>
      <c r="AJ933" s="1108"/>
      <c r="AK933" s="1109"/>
      <c r="AL933" s="892"/>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1542</v>
      </c>
      <c r="D934" s="9"/>
      <c r="E934" s="9"/>
      <c r="F934" s="9"/>
      <c r="G934" s="9"/>
      <c r="H934" s="9"/>
      <c r="I934" s="9"/>
      <c r="J934" s="9"/>
      <c r="K934" s="9"/>
      <c r="L934" s="1141">
        <v>1</v>
      </c>
      <c r="M934" s="1142"/>
      <c r="N934" s="1142"/>
      <c r="O934" s="1142"/>
      <c r="P934" s="1142"/>
      <c r="Q934" s="1142"/>
      <c r="R934" s="1142"/>
      <c r="S934" s="1143"/>
      <c r="U934" s="180" t="s">
        <v>1542</v>
      </c>
      <c r="V934" s="9"/>
      <c r="W934" s="9"/>
      <c r="X934" s="9"/>
      <c r="Y934" s="9"/>
      <c r="Z934" s="9"/>
      <c r="AA934" s="9"/>
      <c r="AB934" s="9"/>
      <c r="AC934" s="9"/>
      <c r="AD934" s="45"/>
      <c r="AE934" s="1141"/>
      <c r="AF934" s="1142"/>
      <c r="AG934" s="1142"/>
      <c r="AH934" s="1142"/>
      <c r="AI934" s="1142"/>
      <c r="AJ934" s="1142"/>
      <c r="AK934" s="1143"/>
      <c r="AL934" s="892"/>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1543</v>
      </c>
      <c r="D935" s="9"/>
      <c r="E935" s="9"/>
      <c r="F935" s="9"/>
      <c r="G935" s="9"/>
      <c r="H935" s="9"/>
      <c r="I935" s="9"/>
      <c r="J935" s="9"/>
      <c r="K935" s="9"/>
      <c r="L935" s="1135">
        <v>22</v>
      </c>
      <c r="M935" s="1136"/>
      <c r="N935" s="1136"/>
      <c r="O935" s="1136"/>
      <c r="P935" s="1136"/>
      <c r="Q935" s="1136"/>
      <c r="R935" s="1136"/>
      <c r="S935" s="1137"/>
      <c r="U935" s="180" t="s">
        <v>1543</v>
      </c>
      <c r="V935" s="9"/>
      <c r="W935" s="9"/>
      <c r="X935" s="9"/>
      <c r="Y935" s="9"/>
      <c r="Z935" s="9"/>
      <c r="AA935" s="9"/>
      <c r="AB935" s="9"/>
      <c r="AC935" s="9"/>
      <c r="AD935" s="45"/>
      <c r="AE935" s="1138"/>
      <c r="AF935" s="1139"/>
      <c r="AG935" s="1139"/>
      <c r="AH935" s="1139"/>
      <c r="AI935" s="1139"/>
      <c r="AJ935" s="1139"/>
      <c r="AK935" s="1140"/>
      <c r="AL935" s="892"/>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1544</v>
      </c>
      <c r="D936" s="9"/>
      <c r="E936" s="9"/>
      <c r="F936" s="9"/>
      <c r="G936" s="9"/>
      <c r="H936" s="9"/>
      <c r="I936" s="9"/>
      <c r="J936" s="9"/>
      <c r="K936" s="9"/>
      <c r="L936" s="1162">
        <f>+'Subsidy Contract Calculation'!I40</f>
        <v>135960</v>
      </c>
      <c r="M936" s="1163"/>
      <c r="N936" s="1163"/>
      <c r="O936" s="1163"/>
      <c r="P936" s="1163"/>
      <c r="Q936" s="1163"/>
      <c r="R936" s="1163"/>
      <c r="S936" s="1164"/>
      <c r="U936" s="180" t="s">
        <v>1544</v>
      </c>
      <c r="V936" s="9"/>
      <c r="W936" s="9"/>
      <c r="X936" s="9"/>
      <c r="Y936" s="9"/>
      <c r="Z936" s="9"/>
      <c r="AA936" s="9"/>
      <c r="AB936" s="9"/>
      <c r="AC936" s="9"/>
      <c r="AD936" s="45"/>
      <c r="AE936" s="1119"/>
      <c r="AF936" s="1120"/>
      <c r="AG936" s="1120"/>
      <c r="AH936" s="1120"/>
      <c r="AI936" s="1120"/>
      <c r="AJ936" s="1120"/>
      <c r="AK936" s="1121"/>
      <c r="AL936" s="892"/>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1545</v>
      </c>
      <c r="D937" s="9"/>
      <c r="E937" s="9"/>
      <c r="F937" s="9"/>
      <c r="G937" s="9"/>
      <c r="H937" s="9"/>
      <c r="I937" s="9"/>
      <c r="J937" s="9"/>
      <c r="K937" s="9"/>
      <c r="L937" s="1162">
        <f>+L938*L936</f>
        <v>4078800</v>
      </c>
      <c r="M937" s="1163"/>
      <c r="N937" s="1163"/>
      <c r="O937" s="1163"/>
      <c r="P937" s="1163"/>
      <c r="Q937" s="1163"/>
      <c r="R937" s="1163"/>
      <c r="S937" s="1164"/>
      <c r="U937" s="180" t="s">
        <v>1545</v>
      </c>
      <c r="V937" s="9"/>
      <c r="W937" s="9"/>
      <c r="X937" s="9"/>
      <c r="Y937" s="9"/>
      <c r="Z937" s="9"/>
      <c r="AA937" s="9"/>
      <c r="AB937" s="9"/>
      <c r="AC937" s="9"/>
      <c r="AD937" s="45"/>
      <c r="AE937" s="1119"/>
      <c r="AF937" s="1120"/>
      <c r="AG937" s="1120"/>
      <c r="AH937" s="1120"/>
      <c r="AI937" s="1120"/>
      <c r="AJ937" s="1120"/>
      <c r="AK937" s="1121"/>
      <c r="AL937" s="892"/>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1148</v>
      </c>
      <c r="D938" s="9"/>
      <c r="E938" s="9"/>
      <c r="F938" s="9"/>
      <c r="G938" s="9"/>
      <c r="H938" s="9"/>
      <c r="I938" s="9"/>
      <c r="J938" s="9"/>
      <c r="K938" s="9"/>
      <c r="L938" s="1135">
        <v>30</v>
      </c>
      <c r="M938" s="1136"/>
      <c r="N938" s="1136"/>
      <c r="O938" s="1136"/>
      <c r="P938" s="1136"/>
      <c r="Q938" s="1136"/>
      <c r="R938" s="1136"/>
      <c r="S938" s="1137"/>
      <c r="U938" s="180" t="s">
        <v>1148</v>
      </c>
      <c r="V938" s="9"/>
      <c r="W938" s="9"/>
      <c r="X938" s="9"/>
      <c r="Y938" s="9"/>
      <c r="Z938" s="9"/>
      <c r="AA938" s="9"/>
      <c r="AB938" s="9"/>
      <c r="AC938" s="9"/>
      <c r="AD938" s="45"/>
      <c r="AE938" s="1135"/>
      <c r="AF938" s="1136"/>
      <c r="AG938" s="1136"/>
      <c r="AH938" s="1136"/>
      <c r="AI938" s="1136"/>
      <c r="AJ938" s="1136"/>
      <c r="AK938" s="1137"/>
      <c r="AL938" s="892"/>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2"/>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907</v>
      </c>
      <c r="C940" s="3" t="s">
        <v>1546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2"/>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1547</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2"/>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2"/>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1548</v>
      </c>
      <c r="G943" s="9"/>
      <c r="H943" s="9"/>
      <c r="I943" s="9"/>
      <c r="J943" s="9"/>
      <c r="K943" s="9"/>
      <c r="L943" s="45"/>
      <c r="M943" s="1125"/>
      <c r="N943" s="1062"/>
      <c r="O943" s="1062"/>
      <c r="P943" s="1062"/>
      <c r="Q943" s="1062"/>
      <c r="R943" s="1062"/>
      <c r="S943" s="1126"/>
      <c r="T943" s="180" t="s">
        <v>1549</v>
      </c>
      <c r="U943" s="9"/>
      <c r="V943" s="9"/>
      <c r="W943" s="9"/>
      <c r="X943" s="9"/>
      <c r="Y943" s="9"/>
      <c r="Z943" s="45"/>
      <c r="AA943" s="1125"/>
      <c r="AB943" s="1062"/>
      <c r="AC943" s="1062"/>
      <c r="AD943" s="1062"/>
      <c r="AE943" s="1062"/>
      <c r="AF943" s="1062"/>
      <c r="AG943" s="1126"/>
      <c r="AL943" s="892"/>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1550</v>
      </c>
      <c r="G944" s="9"/>
      <c r="H944" s="9"/>
      <c r="I944" s="9"/>
      <c r="J944" s="9"/>
      <c r="K944" s="9"/>
      <c r="L944" s="45"/>
      <c r="M944" s="1125"/>
      <c r="N944" s="1062"/>
      <c r="O944" s="1062"/>
      <c r="P944" s="1062"/>
      <c r="Q944" s="1062"/>
      <c r="R944" s="1062"/>
      <c r="S944" s="1126"/>
      <c r="T944" s="180" t="s">
        <v>1551</v>
      </c>
      <c r="U944" s="9"/>
      <c r="V944" s="9"/>
      <c r="W944" s="9"/>
      <c r="X944" s="9"/>
      <c r="Y944" s="9"/>
      <c r="Z944" s="45"/>
      <c r="AA944" s="1125">
        <f>+L936</f>
        <v>135960</v>
      </c>
      <c r="AB944" s="1062"/>
      <c r="AC944" s="1062"/>
      <c r="AD944" s="1062"/>
      <c r="AE944" s="1062"/>
      <c r="AF944" s="1062"/>
      <c r="AG944" s="1126"/>
      <c r="AL944" s="892"/>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1552</v>
      </c>
      <c r="G945" s="9"/>
      <c r="H945" s="9"/>
      <c r="I945" s="9"/>
      <c r="J945" s="9"/>
      <c r="K945" s="9"/>
      <c r="L945" s="45"/>
      <c r="M945" s="1074" t="s">
        <v>325</v>
      </c>
      <c r="N945" s="1004"/>
      <c r="O945" s="1004"/>
      <c r="P945" s="1004"/>
      <c r="Q945" s="1004"/>
      <c r="R945" s="1004"/>
      <c r="S945" s="1075"/>
      <c r="T945" s="8" t="s">
        <v>1553</v>
      </c>
      <c r="U945" s="9"/>
      <c r="V945" s="9"/>
      <c r="W945" s="9"/>
      <c r="X945" s="9"/>
      <c r="Y945" s="9"/>
      <c r="Z945" s="45"/>
      <c r="AA945" s="1125"/>
      <c r="AB945" s="1062"/>
      <c r="AC945" s="1062"/>
      <c r="AD945" s="1062"/>
      <c r="AE945" s="1062"/>
      <c r="AF945" s="1062"/>
      <c r="AG945" s="1126"/>
      <c r="AL945" s="892"/>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1554</v>
      </c>
      <c r="G946" s="9"/>
      <c r="H946" s="9"/>
      <c r="I946" s="9"/>
      <c r="J946" s="9"/>
      <c r="K946" s="9"/>
      <c r="L946" s="45"/>
      <c r="M946" s="1125"/>
      <c r="N946" s="1062"/>
      <c r="O946" s="1062"/>
      <c r="P946" s="1062"/>
      <c r="Q946" s="1062"/>
      <c r="R946" s="1062"/>
      <c r="S946" s="1126"/>
      <c r="T946" s="8" t="s">
        <v>1555</v>
      </c>
      <c r="U946" s="9"/>
      <c r="V946" s="9"/>
      <c r="W946" s="9"/>
      <c r="X946" s="9"/>
      <c r="Y946" s="9"/>
      <c r="Z946" s="45"/>
      <c r="AA946" s="1125"/>
      <c r="AB946" s="1062"/>
      <c r="AC946" s="1062"/>
      <c r="AD946" s="1062"/>
      <c r="AE946" s="1062"/>
      <c r="AF946" s="1062"/>
      <c r="AG946" s="1126"/>
      <c r="AL946" s="89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1556</v>
      </c>
      <c r="G947" s="9"/>
      <c r="H947" s="9"/>
      <c r="I947" s="9"/>
      <c r="J947" s="9"/>
      <c r="K947" s="9"/>
      <c r="L947" s="45"/>
      <c r="M947" s="1125"/>
      <c r="N947" s="1062"/>
      <c r="O947" s="1062"/>
      <c r="P947" s="1062"/>
      <c r="Q947" s="1062"/>
      <c r="R947" s="1062"/>
      <c r="S947" s="1126"/>
      <c r="T947" s="8" t="s">
        <v>1557</v>
      </c>
      <c r="U947" s="9"/>
      <c r="V947" s="9"/>
      <c r="W947" s="9"/>
      <c r="X947" s="9"/>
      <c r="Y947" s="9"/>
      <c r="Z947" s="45"/>
      <c r="AA947" s="1125"/>
      <c r="AB947" s="1062"/>
      <c r="AC947" s="1062"/>
      <c r="AD947" s="1062"/>
      <c r="AE947" s="1062"/>
      <c r="AF947" s="1062"/>
      <c r="AG947" s="1126"/>
      <c r="AL947" s="89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3" t="s">
        <v>1541</v>
      </c>
      <c r="G948" s="7"/>
      <c r="H948" s="7"/>
      <c r="I948" s="7"/>
      <c r="J948" s="7"/>
      <c r="K948" s="7"/>
      <c r="L948" s="57"/>
      <c r="M948" s="1107" t="s">
        <v>320</v>
      </c>
      <c r="N948" s="1108"/>
      <c r="O948" s="1108"/>
      <c r="P948" s="1108"/>
      <c r="Q948" s="1108"/>
      <c r="R948" s="1108"/>
      <c r="S948" s="1109"/>
      <c r="T948" s="1322"/>
      <c r="U948" s="1323"/>
      <c r="V948" s="1323"/>
      <c r="W948" s="1323"/>
      <c r="X948" s="1323"/>
      <c r="Y948" s="1323"/>
      <c r="Z948" s="1324"/>
      <c r="AA948" s="1125"/>
      <c r="AB948" s="1062"/>
      <c r="AC948" s="1062"/>
      <c r="AD948" s="1062"/>
      <c r="AE948" s="1062"/>
      <c r="AF948" s="1062"/>
      <c r="AG948" s="1126"/>
      <c r="AL948" s="89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1558</v>
      </c>
      <c r="G949" s="7"/>
      <c r="H949" s="7"/>
      <c r="I949" s="7"/>
      <c r="J949" s="7"/>
      <c r="K949" s="7"/>
      <c r="L949" s="57"/>
      <c r="M949" s="1125"/>
      <c r="N949" s="1062"/>
      <c r="O949" s="1062"/>
      <c r="P949" s="1062"/>
      <c r="Q949" s="1062"/>
      <c r="R949" s="1062"/>
      <c r="S949" s="1126"/>
      <c r="T949" s="1322"/>
      <c r="U949" s="1323"/>
      <c r="V949" s="1323"/>
      <c r="W949" s="1323"/>
      <c r="X949" s="1323"/>
      <c r="Y949" s="1323"/>
      <c r="Z949" s="1324"/>
      <c r="AA949" s="1125"/>
      <c r="AB949" s="1062"/>
      <c r="AC949" s="1062"/>
      <c r="AD949" s="1062"/>
      <c r="AE949" s="1062"/>
      <c r="AF949" s="1062"/>
      <c r="AG949" s="1126"/>
      <c r="AL949" s="892"/>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1559</v>
      </c>
      <c r="G950" s="7"/>
      <c r="H950" s="7"/>
      <c r="I950" s="7"/>
      <c r="J950" s="7"/>
      <c r="K950" s="7"/>
      <c r="L950" s="7"/>
      <c r="M950" s="7"/>
      <c r="N950" s="7"/>
      <c r="O950" s="1074" t="s">
        <v>708</v>
      </c>
      <c r="P950" s="1075"/>
      <c r="Q950" s="124"/>
      <c r="R950" s="124"/>
      <c r="S950" s="125"/>
      <c r="T950" s="6" t="s">
        <v>1162</v>
      </c>
      <c r="U950" s="7"/>
      <c r="V950" s="7"/>
      <c r="W950" s="1318" t="s">
        <v>1163</v>
      </c>
      <c r="X950" s="1319"/>
      <c r="Y950" s="1319"/>
      <c r="Z950" s="1319"/>
      <c r="AA950" s="1319"/>
      <c r="AB950" s="1319"/>
      <c r="AC950" s="1319"/>
      <c r="AD950" s="1319"/>
      <c r="AE950" s="1319"/>
      <c r="AF950" s="1319"/>
      <c r="AG950" s="1320"/>
      <c r="AL950" s="892"/>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130" t="s">
        <v>1560</v>
      </c>
      <c r="G951" s="1131"/>
      <c r="H951" s="1131"/>
      <c r="I951" s="1131"/>
      <c r="J951" s="1131"/>
      <c r="K951" s="1131"/>
      <c r="L951" s="1131"/>
      <c r="M951" s="1125">
        <f>+AA944</f>
        <v>135960</v>
      </c>
      <c r="N951" s="1062"/>
      <c r="O951" s="1062"/>
      <c r="P951" s="1062"/>
      <c r="Q951" s="1062"/>
      <c r="R951" s="1062"/>
      <c r="S951" s="1126"/>
      <c r="T951" s="46"/>
      <c r="U951" s="47"/>
      <c r="V951" s="47"/>
      <c r="W951" s="47"/>
      <c r="X951" s="47"/>
      <c r="Y951" s="47"/>
      <c r="Z951" s="192" t="s">
        <v>1561</v>
      </c>
      <c r="AA951" s="1206"/>
      <c r="AB951" s="1253"/>
      <c r="AC951" s="1253"/>
      <c r="AD951" s="1253"/>
      <c r="AE951" s="1253"/>
      <c r="AF951" s="1253"/>
      <c r="AG951" s="1321"/>
      <c r="AL951" s="892"/>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2"/>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3" customFormat="1" ht="12.9" customHeight="1">
      <c r="A955" s="1006" t="s">
        <v>1562</v>
      </c>
      <c r="B955" s="1006"/>
      <c r="C955" s="1006"/>
      <c r="D955" s="1006"/>
      <c r="E955" s="1006"/>
      <c r="F955" s="1006"/>
      <c r="G955" s="1006"/>
      <c r="H955" s="1006"/>
      <c r="I955" s="1006"/>
      <c r="J955" s="1006"/>
      <c r="K955" s="1006"/>
      <c r="L955" s="1006"/>
      <c r="M955" s="1006"/>
      <c r="N955" s="1006"/>
      <c r="O955" s="1006"/>
      <c r="P955" s="1006"/>
      <c r="Q955" s="1006"/>
      <c r="R955" s="1006"/>
      <c r="S955" s="1006"/>
      <c r="T955" s="1006"/>
      <c r="U955" s="1006"/>
      <c r="V955" s="1006"/>
      <c r="W955" s="1006"/>
      <c r="X955" s="1006"/>
      <c r="Y955" s="1006"/>
      <c r="Z955" s="1006"/>
      <c r="AA955" s="1006"/>
      <c r="AB955" s="1006"/>
      <c r="AC955" s="1006"/>
      <c r="AD955" s="1006"/>
      <c r="AE955" s="1006"/>
      <c r="AF955" s="1006"/>
      <c r="AG955" s="1006"/>
      <c r="AH955" s="1006"/>
      <c r="AI955" s="1006"/>
      <c r="AJ955" s="1006"/>
      <c r="AK955" s="1006"/>
      <c r="AL955" s="1006"/>
      <c r="AM955" s="1006"/>
      <c r="AN955" s="1006"/>
      <c r="AO955" s="1006"/>
      <c r="AP955" s="1006"/>
      <c r="AQ955" s="1006"/>
      <c r="AR955" s="1006"/>
      <c r="AS955" s="1006"/>
      <c r="AT955" s="1006"/>
    </row>
    <row r="956" spans="1:97" s="843" customFormat="1" ht="12.9" customHeight="1">
      <c r="A956" s="1006"/>
      <c r="B956" s="1006"/>
      <c r="C956" s="1006"/>
      <c r="D956" s="1006"/>
      <c r="E956" s="1006"/>
      <c r="F956" s="1006"/>
      <c r="G956" s="1006"/>
      <c r="H956" s="1006"/>
      <c r="I956" s="1006"/>
      <c r="J956" s="1006"/>
      <c r="K956" s="1006"/>
      <c r="L956" s="1006"/>
      <c r="M956" s="1006"/>
      <c r="N956" s="1006"/>
      <c r="O956" s="1006"/>
      <c r="P956" s="1006"/>
      <c r="Q956" s="1006"/>
      <c r="R956" s="1006"/>
      <c r="S956" s="1006"/>
      <c r="T956" s="1006"/>
      <c r="U956" s="1006"/>
      <c r="V956" s="1006"/>
      <c r="W956" s="1006"/>
      <c r="X956" s="1006"/>
      <c r="Y956" s="1006"/>
      <c r="Z956" s="1006"/>
      <c r="AA956" s="1006"/>
      <c r="AB956" s="1006"/>
      <c r="AC956" s="1006"/>
      <c r="AD956" s="1006"/>
      <c r="AE956" s="1006"/>
      <c r="AF956" s="1006"/>
      <c r="AG956" s="1006"/>
      <c r="AH956" s="1006"/>
      <c r="AI956" s="1006"/>
      <c r="AJ956" s="1006"/>
      <c r="AK956" s="1006"/>
      <c r="AL956" s="1006"/>
      <c r="AM956" s="1006"/>
      <c r="AN956" s="1006"/>
      <c r="AO956" s="1006"/>
      <c r="AP956" s="1006"/>
      <c r="AQ956" s="1006"/>
      <c r="AR956" s="1006"/>
      <c r="AS956" s="1006"/>
      <c r="AT956" s="100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791</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2"/>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2"/>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4"/>
      <c r="D960" s="1132" t="s">
        <v>1563</v>
      </c>
      <c r="E960" s="1133"/>
      <c r="F960" s="1133"/>
      <c r="G960" s="1133"/>
      <c r="H960" s="1133"/>
      <c r="I960" s="1133"/>
      <c r="J960" s="1133"/>
      <c r="K960" s="1133"/>
      <c r="L960" s="1133"/>
      <c r="M960" s="1133"/>
      <c r="N960" s="1133"/>
      <c r="O960" s="1133"/>
      <c r="P960" s="1133"/>
      <c r="Q960" s="1134"/>
      <c r="R960" s="1132" t="s">
        <v>1564</v>
      </c>
      <c r="S960" s="1133"/>
      <c r="T960" s="1133"/>
      <c r="U960" s="1133"/>
      <c r="V960" s="1133"/>
      <c r="W960" s="1133"/>
      <c r="X960" s="1133"/>
      <c r="Y960" s="1133"/>
      <c r="Z960" s="1133"/>
      <c r="AA960" s="1134"/>
      <c r="AB960" s="1132" t="s">
        <v>1565</v>
      </c>
      <c r="AC960" s="1133"/>
      <c r="AD960" s="1133"/>
      <c r="AE960" s="1133"/>
      <c r="AF960" s="1133"/>
      <c r="AG960" s="1133"/>
      <c r="AH960" s="1133"/>
      <c r="AI960" s="1134"/>
      <c r="AJ960" s="1132" t="s">
        <v>1566</v>
      </c>
      <c r="AK960" s="1133"/>
      <c r="AL960" s="1133"/>
      <c r="AM960" s="1133"/>
      <c r="AN960" s="1133"/>
      <c r="AO960" s="1133"/>
      <c r="AP960" s="1133"/>
      <c r="AQ960" s="1134"/>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45"/>
      <c r="D961" s="1197" t="s">
        <v>1341</v>
      </c>
      <c r="E961" s="1198"/>
      <c r="F961" s="1198"/>
      <c r="G961" s="1198"/>
      <c r="H961" s="1198"/>
      <c r="I961" s="1198"/>
      <c r="J961" s="1198"/>
      <c r="K961" s="1198"/>
      <c r="L961" s="1198"/>
      <c r="M961" s="1198"/>
      <c r="N961" s="1198"/>
      <c r="O961" s="1198"/>
      <c r="P961" s="1198"/>
      <c r="Q961" s="1199"/>
      <c r="R961" s="1200">
        <f>IF(ISNA(IF($BA$819="4%",(INDEX($BC$825:$BG$881,MATCH($BO$825,$BB$834:$BB$891,0),MATCH(D961,$BC$822:$BG$822,0))),(INDEX($BJ$834:$BN$891,MATCH($BO$825,$BI$834:$BI$891,0),MATCH(D961,$BJ$832:$BN$832,0))))),0,IF($BA$819="4%",(INDEX($BC$825:$BG$881,MATCH($BO$825,$BB$834:$BB$891,0),MATCH(D961,$BC$822:$BG$822,0))),(INDEX($BJ$834:$BN$891,MATCH($BO$825,$BI$834:$BI$891,0),MATCH(D961,$BJ$832:$BN$832,0)))))</f>
        <v>307732</v>
      </c>
      <c r="S961" s="1200"/>
      <c r="T961" s="1200"/>
      <c r="U961" s="1200"/>
      <c r="V961" s="1200"/>
      <c r="W961" s="1200"/>
      <c r="X961" s="1200"/>
      <c r="Y961" s="1200"/>
      <c r="Z961" s="1200"/>
      <c r="AA961" s="1200"/>
      <c r="AB961" s="1304">
        <f>BN651</f>
        <v>0</v>
      </c>
      <c r="AC961" s="1305"/>
      <c r="AD961" s="1305"/>
      <c r="AE961" s="1305"/>
      <c r="AF961" s="1305"/>
      <c r="AG961" s="1305"/>
      <c r="AH961" s="1305"/>
      <c r="AI961" s="1306"/>
      <c r="AJ961" s="1176">
        <f>IF(ISERROR((R961*AB961)),0,(R961*AB961))</f>
        <v>0</v>
      </c>
      <c r="AK961" s="1177"/>
      <c r="AL961" s="1177"/>
      <c r="AM961" s="1177"/>
      <c r="AN961" s="1177"/>
      <c r="AO961" s="1177"/>
      <c r="AP961" s="1177"/>
      <c r="AQ961" s="1178"/>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197" t="s">
        <v>1342</v>
      </c>
      <c r="E962" s="1198"/>
      <c r="F962" s="1198"/>
      <c r="G962" s="1198"/>
      <c r="H962" s="1198"/>
      <c r="I962" s="1198"/>
      <c r="J962" s="1198"/>
      <c r="K962" s="1198"/>
      <c r="L962" s="1198"/>
      <c r="M962" s="1198"/>
      <c r="N962" s="1198"/>
      <c r="O962" s="1198"/>
      <c r="P962" s="1198"/>
      <c r="Q962" s="1199"/>
      <c r="R962" s="1200">
        <f>IF(ISNA(IF($BA$819="4%",(INDEX($BC$825:$BG$881,MATCH($BO$825,$BB$834:$BB$891,0),MATCH(D962,$BC$822:$BG$822,0))),(INDEX($BJ$834:$BN$891,MATCH($BO$825,$BI$834:$BI$891,0),MATCH(D962,$BJ$832:$BN$832,0))))),0,IF($BA$819="4%",(INDEX($BC$825:$BG$881,MATCH($BO$825,$BB$834:$BB$891,0),MATCH(D962,$BC$822:$BG$822,0))),(INDEX($BJ$834:$BN$891,MATCH($BO$825,$BI$834:$BI$891,0),MATCH(D962,$BJ$832:$BN$832,0)))))</f>
        <v>354812</v>
      </c>
      <c r="S962" s="1200"/>
      <c r="T962" s="1200"/>
      <c r="U962" s="1200"/>
      <c r="V962" s="1200"/>
      <c r="W962" s="1200"/>
      <c r="X962" s="1200"/>
      <c r="Y962" s="1200"/>
      <c r="Z962" s="1200"/>
      <c r="AA962" s="1200"/>
      <c r="AB962" s="1304">
        <f>BS651</f>
        <v>23</v>
      </c>
      <c r="AC962" s="1305"/>
      <c r="AD962" s="1305"/>
      <c r="AE962" s="1305"/>
      <c r="AF962" s="1305"/>
      <c r="AG962" s="1305"/>
      <c r="AH962" s="1305"/>
      <c r="AI962" s="1306"/>
      <c r="AJ962" s="1176">
        <f>IF(ISERROR((R962*AB962)),0,(R962*AB962))</f>
        <v>8160676</v>
      </c>
      <c r="AK962" s="1177"/>
      <c r="AL962" s="1177"/>
      <c r="AM962" s="1177"/>
      <c r="AN962" s="1177"/>
      <c r="AO962" s="1177"/>
      <c r="AP962" s="1177"/>
      <c r="AQ962" s="1178"/>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197" t="s">
        <v>1343</v>
      </c>
      <c r="E963" s="1198"/>
      <c r="F963" s="1198"/>
      <c r="G963" s="1198"/>
      <c r="H963" s="1198"/>
      <c r="I963" s="1198"/>
      <c r="J963" s="1198"/>
      <c r="K963" s="1198"/>
      <c r="L963" s="1198"/>
      <c r="M963" s="1198"/>
      <c r="N963" s="1198"/>
      <c r="O963" s="1198"/>
      <c r="P963" s="1198"/>
      <c r="Q963" s="1199"/>
      <c r="R963" s="1200">
        <f>IF(ISNA(IF($BA$819="4%",(INDEX($BC$825:$BG$881,MATCH($BO$825,$BB$834:$BB$891,0),MATCH(D963,$BC$822:$BG$822,0))),(INDEX($BJ$834:$BN$891,MATCH($BO$825,$BI$834:$BI$891,0),MATCH(D963,$BJ$832:$BN$832,0))))),0,IF($BA$819="4%",(INDEX($BC$825:$BG$881,MATCH($BO$825,$BB$834:$BB$891,0),MATCH(D963,$BC$822:$BG$822,0))),(INDEX($BJ$834:$BN$891,MATCH($BO$825,$BI$834:$BI$891,0),MATCH(D963,$BJ$832:$BN$832,0)))))</f>
        <v>428000</v>
      </c>
      <c r="S963" s="1200"/>
      <c r="T963" s="1200"/>
      <c r="U963" s="1200"/>
      <c r="V963" s="1200"/>
      <c r="W963" s="1200"/>
      <c r="X963" s="1200"/>
      <c r="Y963" s="1200"/>
      <c r="Z963" s="1200"/>
      <c r="AA963" s="1200"/>
      <c r="AB963" s="1304">
        <f>BX651</f>
        <v>0</v>
      </c>
      <c r="AC963" s="1305"/>
      <c r="AD963" s="1305"/>
      <c r="AE963" s="1305"/>
      <c r="AF963" s="1305"/>
      <c r="AG963" s="1305"/>
      <c r="AH963" s="1305"/>
      <c r="AI963" s="1306"/>
      <c r="AJ963" s="1176">
        <f>IF(ISERROR((R963*AB963)),0,(R963*AB963))</f>
        <v>0</v>
      </c>
      <c r="AK963" s="1177"/>
      <c r="AL963" s="1177"/>
      <c r="AM963" s="1177"/>
      <c r="AN963" s="1177"/>
      <c r="AO963" s="1177"/>
      <c r="AP963" s="1177"/>
      <c r="AQ963" s="1178"/>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197" t="s">
        <v>1344</v>
      </c>
      <c r="E964" s="1198"/>
      <c r="F964" s="1198"/>
      <c r="G964" s="1198"/>
      <c r="H964" s="1198"/>
      <c r="I964" s="1198"/>
      <c r="J964" s="1198"/>
      <c r="K964" s="1198"/>
      <c r="L964" s="1198"/>
      <c r="M964" s="1198"/>
      <c r="N964" s="1198"/>
      <c r="O964" s="1198"/>
      <c r="P964" s="1198"/>
      <c r="Q964" s="1199"/>
      <c r="R964" s="1200">
        <f>IF(ISNA(IF($BA$819="4%",(INDEX($BC$825:$BG$881,MATCH($BO$825,$BB$834:$BB$891,0),MATCH(D964,$BC$822:$BG$822,0))),(INDEX($BJ$834:$BN$891,MATCH($BO$825,$BI$834:$BI$891,0),MATCH(D964,$BJ$832:$BN$832,0))))),0,IF($BA$819="4%",(INDEX($BC$825:$BG$881,MATCH($BO$825,$BB$834:$BB$891,0),MATCH(D964,$BC$822:$BG$822,0))),(INDEX($BJ$834:$BN$891,MATCH($BO$825,$BI$834:$BI$891,0),MATCH(D964,$BJ$832:$BN$832,0)))))</f>
        <v>547840</v>
      </c>
      <c r="S964" s="1200"/>
      <c r="T964" s="1200"/>
      <c r="U964" s="1200"/>
      <c r="V964" s="1200"/>
      <c r="W964" s="1200"/>
      <c r="X964" s="1200"/>
      <c r="Y964" s="1200"/>
      <c r="Z964" s="1200"/>
      <c r="AA964" s="1200"/>
      <c r="AB964" s="1304">
        <f>CC651</f>
        <v>0</v>
      </c>
      <c r="AC964" s="1305"/>
      <c r="AD964" s="1305"/>
      <c r="AE964" s="1305"/>
      <c r="AF964" s="1305"/>
      <c r="AG964" s="1305"/>
      <c r="AH964" s="1305"/>
      <c r="AI964" s="1306"/>
      <c r="AJ964" s="1176">
        <f>IF(ISERROR((R964*AB964)),0,(R964*AB964))</f>
        <v>0</v>
      </c>
      <c r="AK964" s="1177"/>
      <c r="AL964" s="1177"/>
      <c r="AM964" s="1177"/>
      <c r="AN964" s="1177"/>
      <c r="AO964" s="1177"/>
      <c r="AP964" s="1177"/>
      <c r="AQ964" s="1178"/>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197" t="s">
        <v>1351</v>
      </c>
      <c r="E965" s="1198"/>
      <c r="F965" s="1198"/>
      <c r="G965" s="1198"/>
      <c r="H965" s="1198"/>
      <c r="I965" s="1198"/>
      <c r="J965" s="1198"/>
      <c r="K965" s="1198"/>
      <c r="L965" s="1198"/>
      <c r="M965" s="1198"/>
      <c r="N965" s="1198"/>
      <c r="O965" s="1198"/>
      <c r="P965" s="1198"/>
      <c r="Q965" s="1199"/>
      <c r="R965" s="1200">
        <f>IF(ISNA(IF($BA$819="4%",(INDEX($BC$825:$BG$881,MATCH($BO$825,$BB$834:$BB$891,0),MATCH(D965,$BC$822:$BG$822,0))),(INDEX($BJ$834:$BN$891,MATCH($BO$825,$BI$834:$BI$891,0),MATCH(D965,$BJ$832:$BN$832,0))))),0,IF($BA$819="4%",(INDEX($BC$825:$BG$881,MATCH($BO$825,$BB$834:$BB$891,0),MATCH(D965,$BC$822:$BG$822,0))),(INDEX($BJ$834:$BN$891,MATCH($BO$825,$BI$834:$BI$891,0),MATCH(D965,$BJ$832:$BN$832,0)))))</f>
        <v>610328</v>
      </c>
      <c r="S965" s="1200"/>
      <c r="T965" s="1200"/>
      <c r="U965" s="1200"/>
      <c r="V965" s="1200"/>
      <c r="W965" s="1200"/>
      <c r="X965" s="1200"/>
      <c r="Y965" s="1200"/>
      <c r="Z965" s="1200"/>
      <c r="AA965" s="1200"/>
      <c r="AB965" s="1304">
        <f>CM651+CH651</f>
        <v>0</v>
      </c>
      <c r="AC965" s="1305"/>
      <c r="AD965" s="1305"/>
      <c r="AE965" s="1305"/>
      <c r="AF965" s="1305"/>
      <c r="AG965" s="1305"/>
      <c r="AH965" s="1305"/>
      <c r="AI965" s="1306"/>
      <c r="AJ965" s="1176">
        <f>IF(ISERROR((R965*AB965)),0,(R965*AB965))</f>
        <v>0</v>
      </c>
      <c r="AK965" s="1177"/>
      <c r="AL965" s="1177"/>
      <c r="AM965" s="1177"/>
      <c r="AN965" s="1177"/>
      <c r="AO965" s="1177"/>
      <c r="AP965" s="1177"/>
      <c r="AQ965" s="1178"/>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476" t="s">
        <v>1567</v>
      </c>
      <c r="C966" s="1477"/>
      <c r="D966" s="1477"/>
      <c r="E966" s="1477"/>
      <c r="F966" s="1477"/>
      <c r="G966" s="1477"/>
      <c r="H966" s="1477"/>
      <c r="I966" s="1477"/>
      <c r="J966" s="1477"/>
      <c r="K966" s="1477"/>
      <c r="L966" s="1477"/>
      <c r="M966" s="1477"/>
      <c r="N966" s="1477"/>
      <c r="O966" s="1477"/>
      <c r="P966" s="1477"/>
      <c r="Q966" s="1477"/>
      <c r="R966" s="1477"/>
      <c r="S966" s="1477"/>
      <c r="T966" s="1477"/>
      <c r="U966" s="1477"/>
      <c r="V966" s="1477"/>
      <c r="W966" s="1477"/>
      <c r="X966" s="1477"/>
      <c r="Y966" s="1477"/>
      <c r="Z966" s="1477"/>
      <c r="AA966" s="1478"/>
      <c r="AB966" s="1304">
        <f>SUM(AB961:AI965)</f>
        <v>23</v>
      </c>
      <c r="AC966" s="1305"/>
      <c r="AD966" s="1305"/>
      <c r="AE966" s="1305"/>
      <c r="AF966" s="1305"/>
      <c r="AG966" s="1305"/>
      <c r="AH966" s="1305"/>
      <c r="AI966" s="1306"/>
      <c r="AJ966" s="1176"/>
      <c r="AK966" s="1177"/>
      <c r="AL966" s="1177"/>
      <c r="AM966" s="1177"/>
      <c r="AN966" s="1177"/>
      <c r="AO966" s="1177"/>
      <c r="AP966" s="1177"/>
      <c r="AQ966" s="1178"/>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07" t="s">
        <v>1568</v>
      </c>
      <c r="C967" s="1308"/>
      <c r="D967" s="1308"/>
      <c r="E967" s="1308"/>
      <c r="F967" s="1308"/>
      <c r="G967" s="1308"/>
      <c r="H967" s="1308"/>
      <c r="I967" s="1308"/>
      <c r="J967" s="1308"/>
      <c r="K967" s="1308"/>
      <c r="L967" s="1308"/>
      <c r="M967" s="1308"/>
      <c r="N967" s="1308"/>
      <c r="O967" s="1308"/>
      <c r="P967" s="1308"/>
      <c r="Q967" s="1308"/>
      <c r="R967" s="1308"/>
      <c r="S967" s="1308"/>
      <c r="T967" s="1308"/>
      <c r="U967" s="1308"/>
      <c r="V967" s="1308"/>
      <c r="W967" s="1308"/>
      <c r="X967" s="1308"/>
      <c r="Y967" s="1308"/>
      <c r="Z967" s="1308"/>
      <c r="AA967" s="1308"/>
      <c r="AB967" s="1308"/>
      <c r="AC967" s="1308"/>
      <c r="AD967" s="1308"/>
      <c r="AE967" s="1308"/>
      <c r="AF967" s="1308"/>
      <c r="AG967" s="1308"/>
      <c r="AH967" s="1308"/>
      <c r="AI967" s="1309"/>
      <c r="AJ967" s="1176">
        <f>SUM(AJ961:AQ965)</f>
        <v>8160676</v>
      </c>
      <c r="AK967" s="1177"/>
      <c r="AL967" s="1177"/>
      <c r="AM967" s="1177"/>
      <c r="AN967" s="1177"/>
      <c r="AO967" s="1177"/>
      <c r="AP967" s="1177"/>
      <c r="AQ967" s="1178"/>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179"/>
      <c r="C968" s="1180"/>
      <c r="D968" s="1180"/>
      <c r="E968" s="1180"/>
      <c r="F968" s="1180"/>
      <c r="G968" s="1180"/>
      <c r="H968" s="1180"/>
      <c r="I968" s="1180"/>
      <c r="J968" s="1180"/>
      <c r="K968" s="1180"/>
      <c r="L968" s="1180"/>
      <c r="M968" s="1180"/>
      <c r="N968" s="1180"/>
      <c r="O968" s="1180"/>
      <c r="P968" s="1180"/>
      <c r="Q968" s="1180"/>
      <c r="R968" s="1180"/>
      <c r="S968" s="1180"/>
      <c r="T968" s="1180"/>
      <c r="U968" s="1180"/>
      <c r="V968" s="1180"/>
      <c r="W968" s="1180"/>
      <c r="X968" s="1180"/>
      <c r="Y968" s="1180"/>
      <c r="Z968" s="1180"/>
      <c r="AA968" s="1180"/>
      <c r="AB968" s="1180"/>
      <c r="AC968" s="1180"/>
      <c r="AD968" s="1180"/>
      <c r="AE968" s="1181"/>
      <c r="AF968" s="1325" t="s">
        <v>1569</v>
      </c>
      <c r="AG968" s="1326"/>
      <c r="AH968" s="1326"/>
      <c r="AI968" s="1327"/>
      <c r="AJ968" s="1179"/>
      <c r="AK968" s="1180"/>
      <c r="AL968" s="1180"/>
      <c r="AM968" s="1180"/>
      <c r="AN968" s="1180"/>
      <c r="AO968" s="1180"/>
      <c r="AP968" s="1180"/>
      <c r="AQ968" s="1181"/>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46" t="s">
        <v>1570</v>
      </c>
      <c r="D969" s="1149" t="s">
        <v>1571</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68"/>
      <c r="AG969" s="1474" t="s">
        <v>759</v>
      </c>
      <c r="AH969" s="1475"/>
      <c r="AI969" s="71"/>
      <c r="AJ969" s="1292">
        <f>ROUND(IF(AND(AG969="yes",D975&lt;&gt;""),AJ967*0.2,0),0)</f>
        <v>0</v>
      </c>
      <c r="AK969" s="1293"/>
      <c r="AL969" s="1293"/>
      <c r="AM969" s="1293"/>
      <c r="AN969" s="1293"/>
      <c r="AO969" s="1293"/>
      <c r="AP969" s="1293"/>
      <c r="AQ969" s="129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47"/>
      <c r="C970" s="748"/>
      <c r="D970" s="1191" t="s">
        <v>1572</v>
      </c>
      <c r="E970" s="1192"/>
      <c r="F970" s="1192"/>
      <c r="G970" s="1192"/>
      <c r="H970" s="1192"/>
      <c r="I970" s="1192"/>
      <c r="J970" s="1192"/>
      <c r="K970" s="1192"/>
      <c r="L970" s="1192"/>
      <c r="M970" s="1192"/>
      <c r="N970" s="1192"/>
      <c r="O970" s="1192"/>
      <c r="P970" s="1192"/>
      <c r="Q970" s="1192"/>
      <c r="R970" s="1192"/>
      <c r="S970" s="1192"/>
      <c r="T970" s="1192"/>
      <c r="U970" s="1192"/>
      <c r="V970" s="1192"/>
      <c r="W970" s="1192"/>
      <c r="X970" s="1192"/>
      <c r="Y970" s="1192"/>
      <c r="Z970" s="1192"/>
      <c r="AA970" s="1192"/>
      <c r="AB970" s="1192"/>
      <c r="AC970" s="1192"/>
      <c r="AD970" s="1192"/>
      <c r="AE970" s="1193"/>
      <c r="AF970" s="65"/>
      <c r="AG970" s="21"/>
      <c r="AH970" s="21"/>
      <c r="AI970" s="69"/>
      <c r="AJ970" s="1295"/>
      <c r="AK970" s="1296"/>
      <c r="AL970" s="1296"/>
      <c r="AM970" s="1296"/>
      <c r="AN970" s="1296"/>
      <c r="AO970" s="1296"/>
      <c r="AP970" s="1296"/>
      <c r="AQ970" s="129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47"/>
      <c r="C971" s="748"/>
      <c r="D971" s="1191"/>
      <c r="E971" s="1192"/>
      <c r="F971" s="1192"/>
      <c r="G971" s="1192"/>
      <c r="H971" s="1192"/>
      <c r="I971" s="1192"/>
      <c r="J971" s="1192"/>
      <c r="K971" s="1192"/>
      <c r="L971" s="1192"/>
      <c r="M971" s="1192"/>
      <c r="N971" s="1192"/>
      <c r="O971" s="1192"/>
      <c r="P971" s="1192"/>
      <c r="Q971" s="1192"/>
      <c r="R971" s="1192"/>
      <c r="S971" s="1192"/>
      <c r="T971" s="1192"/>
      <c r="U971" s="1192"/>
      <c r="V971" s="1192"/>
      <c r="W971" s="1192"/>
      <c r="X971" s="1192"/>
      <c r="Y971" s="1192"/>
      <c r="Z971" s="1192"/>
      <c r="AA971" s="1192"/>
      <c r="AB971" s="1192"/>
      <c r="AC971" s="1192"/>
      <c r="AD971" s="1192"/>
      <c r="AE971" s="1193"/>
      <c r="AF971" s="65"/>
      <c r="AG971" s="21"/>
      <c r="AH971" s="21"/>
      <c r="AI971" s="69"/>
      <c r="AJ971" s="1295"/>
      <c r="AK971" s="1296"/>
      <c r="AL971" s="1296"/>
      <c r="AM971" s="1296"/>
      <c r="AN971" s="1296"/>
      <c r="AO971" s="1296"/>
      <c r="AP971" s="1296"/>
      <c r="AQ971" s="129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47"/>
      <c r="C972" s="748"/>
      <c r="D972" s="1191"/>
      <c r="E972" s="1192"/>
      <c r="F972" s="1192"/>
      <c r="G972" s="1192"/>
      <c r="H972" s="1192"/>
      <c r="I972" s="1192"/>
      <c r="J972" s="1192"/>
      <c r="K972" s="1192"/>
      <c r="L972" s="1192"/>
      <c r="M972" s="1192"/>
      <c r="N972" s="1192"/>
      <c r="O972" s="1192"/>
      <c r="P972" s="1192"/>
      <c r="Q972" s="1192"/>
      <c r="R972" s="1192"/>
      <c r="S972" s="1192"/>
      <c r="T972" s="1192"/>
      <c r="U972" s="1192"/>
      <c r="V972" s="1192"/>
      <c r="W972" s="1192"/>
      <c r="X972" s="1192"/>
      <c r="Y972" s="1192"/>
      <c r="Z972" s="1192"/>
      <c r="AA972" s="1192"/>
      <c r="AB972" s="1192"/>
      <c r="AC972" s="1192"/>
      <c r="AD972" s="1192"/>
      <c r="AE972" s="1193"/>
      <c r="AF972" s="65"/>
      <c r="AG972" s="21"/>
      <c r="AH972" s="21"/>
      <c r="AI972" s="69"/>
      <c r="AJ972" s="1295"/>
      <c r="AK972" s="1296"/>
      <c r="AL972" s="1296"/>
      <c r="AM972" s="1296"/>
      <c r="AN972" s="1296"/>
      <c r="AO972" s="1296"/>
      <c r="AP972" s="1296"/>
      <c r="AQ972" s="129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47"/>
      <c r="C973" s="748"/>
      <c r="D973" s="1191"/>
      <c r="E973" s="1192"/>
      <c r="F973" s="1192"/>
      <c r="G973" s="1192"/>
      <c r="H973" s="1192"/>
      <c r="I973" s="1192"/>
      <c r="J973" s="1192"/>
      <c r="K973" s="1192"/>
      <c r="L973" s="1192"/>
      <c r="M973" s="1192"/>
      <c r="N973" s="1192"/>
      <c r="O973" s="1192"/>
      <c r="P973" s="1192"/>
      <c r="Q973" s="1192"/>
      <c r="R973" s="1192"/>
      <c r="S973" s="1192"/>
      <c r="T973" s="1192"/>
      <c r="U973" s="1192"/>
      <c r="V973" s="1192"/>
      <c r="W973" s="1192"/>
      <c r="X973" s="1192"/>
      <c r="Y973" s="1192"/>
      <c r="Z973" s="1192"/>
      <c r="AA973" s="1192"/>
      <c r="AB973" s="1192"/>
      <c r="AC973" s="1192"/>
      <c r="AD973" s="1192"/>
      <c r="AE973" s="1193"/>
      <c r="AF973" s="65"/>
      <c r="AG973" s="21"/>
      <c r="AH973" s="21"/>
      <c r="AI973" s="69"/>
      <c r="AJ973" s="1295"/>
      <c r="AK973" s="1296"/>
      <c r="AL973" s="1296"/>
      <c r="AM973" s="1296"/>
      <c r="AN973" s="1296"/>
      <c r="AO973" s="1296"/>
      <c r="AP973" s="1296"/>
      <c r="AQ973" s="129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47"/>
      <c r="C974" s="748"/>
      <c r="D974" s="1194" t="s">
        <v>1573</v>
      </c>
      <c r="E974" s="1195"/>
      <c r="F974" s="1195"/>
      <c r="G974" s="1195"/>
      <c r="H974" s="1195"/>
      <c r="I974" s="1195"/>
      <c r="J974" s="1195"/>
      <c r="K974" s="1195"/>
      <c r="L974" s="1195"/>
      <c r="M974" s="1195"/>
      <c r="N974" s="1195"/>
      <c r="O974" s="1195"/>
      <c r="P974" s="1195"/>
      <c r="Q974" s="1195"/>
      <c r="R974" s="1195"/>
      <c r="S974" s="1195"/>
      <c r="T974" s="1195"/>
      <c r="U974" s="1195"/>
      <c r="V974" s="1195"/>
      <c r="W974" s="1195"/>
      <c r="X974" s="1195"/>
      <c r="Y974" s="1195"/>
      <c r="Z974" s="1195"/>
      <c r="AA974" s="1195"/>
      <c r="AB974" s="1195"/>
      <c r="AC974" s="1195"/>
      <c r="AD974" s="1195"/>
      <c r="AE974" s="1196"/>
      <c r="AF974" s="65"/>
      <c r="AG974" s="21"/>
      <c r="AH974" s="21"/>
      <c r="AI974" s="69"/>
      <c r="AJ974" s="1295"/>
      <c r="AK974" s="1296"/>
      <c r="AL974" s="1296"/>
      <c r="AM974" s="1296"/>
      <c r="AN974" s="1296"/>
      <c r="AO974" s="1296"/>
      <c r="AP974" s="1296"/>
      <c r="AQ974" s="129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47"/>
      <c r="C975" s="748"/>
      <c r="D975" s="1315"/>
      <c r="E975" s="1316"/>
      <c r="F975" s="1316"/>
      <c r="G975" s="1316"/>
      <c r="H975" s="1316"/>
      <c r="I975" s="1316"/>
      <c r="J975" s="1316"/>
      <c r="K975" s="1316"/>
      <c r="L975" s="1316"/>
      <c r="M975" s="1316"/>
      <c r="N975" s="1316"/>
      <c r="O975" s="1316"/>
      <c r="P975" s="1316"/>
      <c r="Q975" s="1316"/>
      <c r="R975" s="1316"/>
      <c r="S975" s="1316"/>
      <c r="T975" s="1316"/>
      <c r="U975" s="1316"/>
      <c r="V975" s="1316"/>
      <c r="W975" s="1316"/>
      <c r="X975" s="1316"/>
      <c r="Y975" s="1316"/>
      <c r="Z975" s="1316"/>
      <c r="AA975" s="1316"/>
      <c r="AB975" s="1316"/>
      <c r="AC975" s="1316"/>
      <c r="AD975" s="1316"/>
      <c r="AE975" s="1317"/>
      <c r="AF975" s="66"/>
      <c r="AG975" s="11"/>
      <c r="AH975" s="11"/>
      <c r="AI975" s="67"/>
      <c r="AJ975" s="1298"/>
      <c r="AK975" s="1299"/>
      <c r="AL975" s="1299"/>
      <c r="AM975" s="1299"/>
      <c r="AN975" s="1299"/>
      <c r="AO975" s="1299"/>
      <c r="AP975" s="1299"/>
      <c r="AQ975" s="130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49"/>
      <c r="C976" s="750"/>
      <c r="D976" s="1313" t="s">
        <v>1574</v>
      </c>
      <c r="E976" s="1184"/>
      <c r="F976" s="1184"/>
      <c r="G976" s="1184"/>
      <c r="H976" s="1184"/>
      <c r="I976" s="1184"/>
      <c r="J976" s="1184"/>
      <c r="K976" s="1184"/>
      <c r="L976" s="1184"/>
      <c r="M976" s="1184"/>
      <c r="N976" s="1184"/>
      <c r="O976" s="1184"/>
      <c r="P976" s="1184"/>
      <c r="Q976" s="1184"/>
      <c r="R976" s="1184"/>
      <c r="S976" s="1184"/>
      <c r="T976" s="1184"/>
      <c r="U976" s="1184"/>
      <c r="V976" s="1184"/>
      <c r="W976" s="1184"/>
      <c r="X976" s="1184"/>
      <c r="Y976" s="1184"/>
      <c r="Z976" s="1184"/>
      <c r="AA976" s="1184"/>
      <c r="AB976" s="1184"/>
      <c r="AC976" s="1184"/>
      <c r="AD976" s="1184"/>
      <c r="AE976" s="1314"/>
      <c r="AF976" s="68"/>
      <c r="AG976" s="1290" t="s">
        <v>759</v>
      </c>
      <c r="AH976" s="1291"/>
      <c r="AI976" s="71"/>
      <c r="AJ976" s="1292">
        <f>ROUND(IF(AG976="yes",AJ967*0.05,0),0)</f>
        <v>0</v>
      </c>
      <c r="AK976" s="1293"/>
      <c r="AL976" s="1293"/>
      <c r="AM976" s="1293"/>
      <c r="AN976" s="1293"/>
      <c r="AO976" s="1293"/>
      <c r="AP976" s="1293"/>
      <c r="AQ976" s="129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47"/>
      <c r="C977" s="751"/>
      <c r="D977" s="1191" t="s">
        <v>1575</v>
      </c>
      <c r="E977" s="1192"/>
      <c r="F977" s="1192"/>
      <c r="G977" s="1192"/>
      <c r="H977" s="1192"/>
      <c r="I977" s="1192"/>
      <c r="J977" s="1192"/>
      <c r="K977" s="1192"/>
      <c r="L977" s="1192"/>
      <c r="M977" s="1192"/>
      <c r="N977" s="1192"/>
      <c r="O977" s="1192"/>
      <c r="P977" s="1192"/>
      <c r="Q977" s="1192"/>
      <c r="R977" s="1192"/>
      <c r="S977" s="1192"/>
      <c r="T977" s="1192"/>
      <c r="U977" s="1192"/>
      <c r="V977" s="1192"/>
      <c r="W977" s="1192"/>
      <c r="X977" s="1192"/>
      <c r="Y977" s="1192"/>
      <c r="Z977" s="1192"/>
      <c r="AA977" s="1192"/>
      <c r="AB977" s="1192"/>
      <c r="AC977" s="1192"/>
      <c r="AD977" s="1192"/>
      <c r="AE977" s="1193"/>
      <c r="AF977" s="65"/>
      <c r="AG977" s="21"/>
      <c r="AH977" s="21"/>
      <c r="AI977" s="69"/>
      <c r="AJ977" s="1295"/>
      <c r="AK977" s="1296"/>
      <c r="AL977" s="1296"/>
      <c r="AM977" s="1296"/>
      <c r="AN977" s="1296"/>
      <c r="AO977" s="1296"/>
      <c r="AP977" s="1296"/>
      <c r="AQ977" s="129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47"/>
      <c r="C978" s="751"/>
      <c r="D978" s="1191"/>
      <c r="E978" s="1192"/>
      <c r="F978" s="1192"/>
      <c r="G978" s="1192"/>
      <c r="H978" s="1192"/>
      <c r="I978" s="1192"/>
      <c r="J978" s="1192"/>
      <c r="K978" s="1192"/>
      <c r="L978" s="1192"/>
      <c r="M978" s="1192"/>
      <c r="N978" s="1192"/>
      <c r="O978" s="1192"/>
      <c r="P978" s="1192"/>
      <c r="Q978" s="1192"/>
      <c r="R978" s="1192"/>
      <c r="S978" s="1192"/>
      <c r="T978" s="1192"/>
      <c r="U978" s="1192"/>
      <c r="V978" s="1192"/>
      <c r="W978" s="1192"/>
      <c r="X978" s="1192"/>
      <c r="Y978" s="1192"/>
      <c r="Z978" s="1192"/>
      <c r="AA978" s="1192"/>
      <c r="AB978" s="1192"/>
      <c r="AC978" s="1192"/>
      <c r="AD978" s="1192"/>
      <c r="AE978" s="1193"/>
      <c r="AF978" s="65"/>
      <c r="AG978" s="21"/>
      <c r="AH978" s="21"/>
      <c r="AI978" s="69"/>
      <c r="AJ978" s="1295"/>
      <c r="AK978" s="1296"/>
      <c r="AL978" s="1296"/>
      <c r="AM978" s="1296"/>
      <c r="AN978" s="1296"/>
      <c r="AO978" s="1296"/>
      <c r="AP978" s="1296"/>
      <c r="AQ978" s="129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47"/>
      <c r="C979" s="751"/>
      <c r="D979" s="1191"/>
      <c r="E979" s="1192"/>
      <c r="F979" s="1192"/>
      <c r="G979" s="1192"/>
      <c r="H979" s="1192"/>
      <c r="I979" s="1192"/>
      <c r="J979" s="1192"/>
      <c r="K979" s="1192"/>
      <c r="L979" s="1192"/>
      <c r="M979" s="1192"/>
      <c r="N979" s="1192"/>
      <c r="O979" s="1192"/>
      <c r="P979" s="1192"/>
      <c r="Q979" s="1192"/>
      <c r="R979" s="1192"/>
      <c r="S979" s="1192"/>
      <c r="T979" s="1192"/>
      <c r="U979" s="1192"/>
      <c r="V979" s="1192"/>
      <c r="W979" s="1192"/>
      <c r="X979" s="1192"/>
      <c r="Y979" s="1192"/>
      <c r="Z979" s="1192"/>
      <c r="AA979" s="1192"/>
      <c r="AB979" s="1192"/>
      <c r="AC979" s="1192"/>
      <c r="AD979" s="1192"/>
      <c r="AE979" s="1193"/>
      <c r="AF979" s="65"/>
      <c r="AG979" s="21"/>
      <c r="AH979" s="21"/>
      <c r="AI979" s="69"/>
      <c r="AJ979" s="1295"/>
      <c r="AK979" s="1296"/>
      <c r="AL979" s="1296"/>
      <c r="AM979" s="1296"/>
      <c r="AN979" s="1296"/>
      <c r="AO979" s="1296"/>
      <c r="AP979" s="1296"/>
      <c r="AQ979" s="129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47"/>
      <c r="C980" s="751"/>
      <c r="D980" s="1191"/>
      <c r="E980" s="1192"/>
      <c r="F980" s="1192"/>
      <c r="G980" s="1192"/>
      <c r="H980" s="1192"/>
      <c r="I980" s="1192"/>
      <c r="J980" s="1192"/>
      <c r="K980" s="1192"/>
      <c r="L980" s="1192"/>
      <c r="M980" s="1192"/>
      <c r="N980" s="1192"/>
      <c r="O980" s="1192"/>
      <c r="P980" s="1192"/>
      <c r="Q980" s="1192"/>
      <c r="R980" s="1192"/>
      <c r="S980" s="1192"/>
      <c r="T980" s="1192"/>
      <c r="U980" s="1192"/>
      <c r="V980" s="1192"/>
      <c r="W980" s="1192"/>
      <c r="X980" s="1192"/>
      <c r="Y980" s="1192"/>
      <c r="Z980" s="1192"/>
      <c r="AA980" s="1192"/>
      <c r="AB980" s="1192"/>
      <c r="AC980" s="1192"/>
      <c r="AD980" s="1192"/>
      <c r="AE980" s="1193"/>
      <c r="AF980" s="65"/>
      <c r="AG980" s="21"/>
      <c r="AH980" s="21"/>
      <c r="AI980" s="69"/>
      <c r="AJ980" s="1295"/>
      <c r="AK980" s="1296"/>
      <c r="AL980" s="1296"/>
      <c r="AM980" s="1296"/>
      <c r="AN980" s="1296"/>
      <c r="AO980" s="1296"/>
      <c r="AP980" s="1296"/>
      <c r="AQ980" s="129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2"/>
      <c r="C981" s="753"/>
      <c r="D981" s="1194"/>
      <c r="E981" s="1195"/>
      <c r="F981" s="1195"/>
      <c r="G981" s="1195"/>
      <c r="H981" s="1195"/>
      <c r="I981" s="1195"/>
      <c r="J981" s="1195"/>
      <c r="K981" s="1195"/>
      <c r="L981" s="1195"/>
      <c r="M981" s="1195"/>
      <c r="N981" s="1195"/>
      <c r="O981" s="1195"/>
      <c r="P981" s="1195"/>
      <c r="Q981" s="1195"/>
      <c r="R981" s="1195"/>
      <c r="S981" s="1195"/>
      <c r="T981" s="1195"/>
      <c r="U981" s="1195"/>
      <c r="V981" s="1195"/>
      <c r="W981" s="1195"/>
      <c r="X981" s="1195"/>
      <c r="Y981" s="1195"/>
      <c r="Z981" s="1195"/>
      <c r="AA981" s="1195"/>
      <c r="AB981" s="1195"/>
      <c r="AC981" s="1195"/>
      <c r="AD981" s="1195"/>
      <c r="AE981" s="1196"/>
      <c r="AF981" s="66"/>
      <c r="AG981" s="11"/>
      <c r="AH981" s="11"/>
      <c r="AI981" s="67"/>
      <c r="AJ981" s="1298"/>
      <c r="AK981" s="1299"/>
      <c r="AL981" s="1299"/>
      <c r="AM981" s="1299"/>
      <c r="AN981" s="1299"/>
      <c r="AO981" s="1299"/>
      <c r="AP981" s="1299"/>
      <c r="AQ981" s="130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49"/>
      <c r="C982" s="464" t="s">
        <v>1576</v>
      </c>
      <c r="D982" s="1313" t="s">
        <v>1577</v>
      </c>
      <c r="E982" s="1184"/>
      <c r="F982" s="1184"/>
      <c r="G982" s="1184"/>
      <c r="H982" s="1184"/>
      <c r="I982" s="1184"/>
      <c r="J982" s="1184"/>
      <c r="K982" s="1184"/>
      <c r="L982" s="1184"/>
      <c r="M982" s="1184"/>
      <c r="N982" s="1184"/>
      <c r="O982" s="1184"/>
      <c r="P982" s="1184"/>
      <c r="Q982" s="1184"/>
      <c r="R982" s="1184"/>
      <c r="S982" s="1184"/>
      <c r="T982" s="1184"/>
      <c r="U982" s="1184"/>
      <c r="V982" s="1184"/>
      <c r="W982" s="1184"/>
      <c r="X982" s="1184"/>
      <c r="Y982" s="1184"/>
      <c r="Z982" s="1184"/>
      <c r="AA982" s="1184"/>
      <c r="AB982" s="1184"/>
      <c r="AC982" s="1184"/>
      <c r="AD982" s="1184"/>
      <c r="AE982" s="1314"/>
      <c r="AF982" s="70"/>
      <c r="AG982" s="1290" t="s">
        <v>759</v>
      </c>
      <c r="AH982" s="1291"/>
      <c r="AI982" s="71"/>
      <c r="AJ982" s="1292">
        <f>ROUND(IF(AG982="yes",AJ967*0.1,0),0)</f>
        <v>0</v>
      </c>
      <c r="AK982" s="1293"/>
      <c r="AL982" s="1293"/>
      <c r="AM982" s="1293"/>
      <c r="AN982" s="1293"/>
      <c r="AO982" s="1293"/>
      <c r="AP982" s="1293"/>
      <c r="AQ982" s="129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5"/>
      <c r="D983" s="1438" t="s">
        <v>1578</v>
      </c>
      <c r="E983" s="1439"/>
      <c r="F983" s="1439"/>
      <c r="G983" s="1439"/>
      <c r="H983" s="1439"/>
      <c r="I983" s="1439"/>
      <c r="J983" s="1439"/>
      <c r="K983" s="1439"/>
      <c r="L983" s="1439"/>
      <c r="M983" s="1439"/>
      <c r="N983" s="1439"/>
      <c r="O983" s="1439"/>
      <c r="P983" s="1439"/>
      <c r="Q983" s="1439"/>
      <c r="R983" s="1439"/>
      <c r="S983" s="1439"/>
      <c r="T983" s="1439"/>
      <c r="U983" s="1439"/>
      <c r="V983" s="1439"/>
      <c r="W983" s="1439"/>
      <c r="X983" s="1439"/>
      <c r="Y983" s="1439"/>
      <c r="Z983" s="1439"/>
      <c r="AA983" s="1439"/>
      <c r="AB983" s="1439"/>
      <c r="AC983" s="1439"/>
      <c r="AD983" s="1439"/>
      <c r="AE983" s="1440"/>
      <c r="AF983" s="65"/>
      <c r="AI983" s="69"/>
      <c r="AJ983" s="1295"/>
      <c r="AK983" s="1296"/>
      <c r="AL983" s="1296"/>
      <c r="AM983" s="1296"/>
      <c r="AN983" s="1296"/>
      <c r="AO983" s="1296"/>
      <c r="AP983" s="1296"/>
      <c r="AQ983" s="1297"/>
      <c r="AR983" s="37"/>
      <c r="AS983" s="37"/>
      <c r="AT983" s="37"/>
      <c r="AU983" s="37"/>
      <c r="AV983" s="37"/>
      <c r="AW983" s="37"/>
      <c r="AX983" s="37"/>
      <c r="AY983" s="37"/>
      <c r="AZ983" s="37"/>
      <c r="BA983" s="378">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5"/>
      <c r="D984" s="1438"/>
      <c r="E984" s="1439"/>
      <c r="F984" s="1439"/>
      <c r="G984" s="1439"/>
      <c r="H984" s="1439"/>
      <c r="I984" s="1439"/>
      <c r="J984" s="1439"/>
      <c r="K984" s="1439"/>
      <c r="L984" s="1439"/>
      <c r="M984" s="1439"/>
      <c r="N984" s="1439"/>
      <c r="O984" s="1439"/>
      <c r="P984" s="1439"/>
      <c r="Q984" s="1439"/>
      <c r="R984" s="1439"/>
      <c r="S984" s="1439"/>
      <c r="T984" s="1439"/>
      <c r="U984" s="1439"/>
      <c r="V984" s="1439"/>
      <c r="W984" s="1439"/>
      <c r="X984" s="1439"/>
      <c r="Y984" s="1439"/>
      <c r="Z984" s="1439"/>
      <c r="AA984" s="1439"/>
      <c r="AB984" s="1439"/>
      <c r="AC984" s="1439"/>
      <c r="AD984" s="1439"/>
      <c r="AE984" s="1440"/>
      <c r="AF984" s="65"/>
      <c r="AG984" s="21"/>
      <c r="AH984" s="21"/>
      <c r="AI984" s="69"/>
      <c r="AJ984" s="1295"/>
      <c r="AK984" s="1296"/>
      <c r="AL984" s="1296"/>
      <c r="AM984" s="1296"/>
      <c r="AN984" s="1296"/>
      <c r="AO984" s="1296"/>
      <c r="AP984" s="1296"/>
      <c r="AQ984" s="1297"/>
      <c r="AR984" s="37"/>
      <c r="AS984" s="37"/>
      <c r="AT984" s="37"/>
      <c r="AU984" s="37"/>
      <c r="AV984" s="37"/>
      <c r="AW984" s="37"/>
      <c r="AX984" s="37"/>
      <c r="AY984" s="37"/>
      <c r="AZ984" s="37"/>
      <c r="BA984" s="378">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54"/>
      <c r="C985" s="753"/>
      <c r="D985" s="1301"/>
      <c r="E985" s="1302"/>
      <c r="F985" s="1302"/>
      <c r="G985" s="1302"/>
      <c r="H985" s="1302"/>
      <c r="I985" s="1302"/>
      <c r="J985" s="1302"/>
      <c r="K985" s="1302"/>
      <c r="L985" s="1302"/>
      <c r="M985" s="1302"/>
      <c r="N985" s="1302"/>
      <c r="O985" s="1302"/>
      <c r="P985" s="1302"/>
      <c r="Q985" s="1302"/>
      <c r="R985" s="1302"/>
      <c r="S985" s="1302"/>
      <c r="T985" s="1302"/>
      <c r="U985" s="1302"/>
      <c r="V985" s="1302"/>
      <c r="W985" s="1302"/>
      <c r="X985" s="1302"/>
      <c r="Y985" s="1302"/>
      <c r="Z985" s="1302"/>
      <c r="AA985" s="1302"/>
      <c r="AB985" s="1302"/>
      <c r="AC985" s="1302"/>
      <c r="AD985" s="1302"/>
      <c r="AE985" s="1303"/>
      <c r="AF985" s="66"/>
      <c r="AG985" s="11"/>
      <c r="AH985" s="11"/>
      <c r="AI985" s="67"/>
      <c r="AJ985" s="1298"/>
      <c r="AK985" s="1299"/>
      <c r="AL985" s="1299"/>
      <c r="AM985" s="1299"/>
      <c r="AN985" s="1299"/>
      <c r="AO985" s="1299"/>
      <c r="AP985" s="1299"/>
      <c r="AQ985" s="1300"/>
      <c r="AR985" s="37"/>
      <c r="AS985" s="37"/>
      <c r="AT985" s="37"/>
      <c r="AU985" s="37"/>
      <c r="AV985" s="37"/>
      <c r="AW985" s="37"/>
      <c r="AX985" s="37"/>
      <c r="AY985" s="37"/>
      <c r="AZ985" s="37"/>
      <c r="BA985" s="378">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4" t="s">
        <v>1579</v>
      </c>
      <c r="D986" s="1313" t="s">
        <v>1580</v>
      </c>
      <c r="E986" s="1184"/>
      <c r="F986" s="1184"/>
      <c r="G986" s="1184"/>
      <c r="H986" s="1184"/>
      <c r="I986" s="1184"/>
      <c r="J986" s="1184"/>
      <c r="K986" s="1184"/>
      <c r="L986" s="1184"/>
      <c r="M986" s="1184"/>
      <c r="N986" s="1184"/>
      <c r="O986" s="1184"/>
      <c r="P986" s="1184"/>
      <c r="Q986" s="1184"/>
      <c r="R986" s="1184"/>
      <c r="S986" s="1184"/>
      <c r="T986" s="1184"/>
      <c r="U986" s="1184"/>
      <c r="V986" s="1184"/>
      <c r="W986" s="1184"/>
      <c r="X986" s="1184"/>
      <c r="Y986" s="1184"/>
      <c r="Z986" s="1184"/>
      <c r="AA986" s="1184"/>
      <c r="AB986" s="1184"/>
      <c r="AC986" s="1184"/>
      <c r="AD986" s="1184"/>
      <c r="AE986" s="1314"/>
      <c r="AF986" s="68"/>
      <c r="AG986" s="1290" t="s">
        <v>759</v>
      </c>
      <c r="AH986" s="1291"/>
      <c r="AI986" s="71"/>
      <c r="AJ986" s="1292">
        <f>ROUND(IF(AG986="yes",AJ967*0.02,0),0)</f>
        <v>0</v>
      </c>
      <c r="AK986" s="1293"/>
      <c r="AL986" s="1293"/>
      <c r="AM986" s="1293"/>
      <c r="AN986" s="1293"/>
      <c r="AO986" s="1293"/>
      <c r="AP986" s="1293"/>
      <c r="AQ986" s="1294"/>
      <c r="AR986" s="37"/>
      <c r="AS986" s="37"/>
      <c r="AT986" s="37"/>
      <c r="AU986" s="37"/>
      <c r="AV986" s="37"/>
      <c r="AW986" s="37"/>
      <c r="AX986" s="37"/>
      <c r="AY986" s="37"/>
      <c r="AZ986" s="37"/>
      <c r="BA986" s="378">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5"/>
      <c r="D987" s="1301" t="s">
        <v>1581</v>
      </c>
      <c r="E987" s="1302"/>
      <c r="F987" s="1302"/>
      <c r="G987" s="1302"/>
      <c r="H987" s="1302"/>
      <c r="I987" s="1302"/>
      <c r="J987" s="1302"/>
      <c r="K987" s="1302"/>
      <c r="L987" s="1302"/>
      <c r="M987" s="1302"/>
      <c r="N987" s="1302"/>
      <c r="O987" s="1302"/>
      <c r="P987" s="1302"/>
      <c r="Q987" s="1302"/>
      <c r="R987" s="1302"/>
      <c r="S987" s="1302"/>
      <c r="T987" s="1302"/>
      <c r="U987" s="1302"/>
      <c r="V987" s="1302"/>
      <c r="W987" s="1302"/>
      <c r="X987" s="1302"/>
      <c r="Y987" s="1302"/>
      <c r="Z987" s="1302"/>
      <c r="AA987" s="1302"/>
      <c r="AB987" s="1302"/>
      <c r="AC987" s="1302"/>
      <c r="AD987" s="1302"/>
      <c r="AE987" s="1303"/>
      <c r="AF987" s="66"/>
      <c r="AG987" s="11"/>
      <c r="AH987" s="11"/>
      <c r="AI987" s="67"/>
      <c r="AJ987" s="1298"/>
      <c r="AK987" s="1299"/>
      <c r="AL987" s="1299"/>
      <c r="AM987" s="1299"/>
      <c r="AN987" s="1299"/>
      <c r="AO987" s="1299"/>
      <c r="AP987" s="1299"/>
      <c r="AQ987" s="1300"/>
      <c r="AR987" s="37"/>
      <c r="AS987" s="37"/>
      <c r="AT987" s="37"/>
      <c r="AU987" s="37"/>
      <c r="AV987" s="37"/>
      <c r="AW987" s="37"/>
      <c r="AX987" s="37"/>
      <c r="AY987" s="37"/>
      <c r="AZ987" s="37"/>
      <c r="BA987" s="378">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4" t="s">
        <v>1582</v>
      </c>
      <c r="D988" s="1313" t="s">
        <v>1583</v>
      </c>
      <c r="E988" s="1184"/>
      <c r="F988" s="1184"/>
      <c r="G988" s="1184"/>
      <c r="H988" s="1184"/>
      <c r="I988" s="1184"/>
      <c r="J988" s="1184"/>
      <c r="K988" s="1184"/>
      <c r="L988" s="1184"/>
      <c r="M988" s="1184"/>
      <c r="N988" s="1184"/>
      <c r="O988" s="1184"/>
      <c r="P988" s="1184"/>
      <c r="Q988" s="1184"/>
      <c r="R988" s="1184"/>
      <c r="S988" s="1184"/>
      <c r="T988" s="1184"/>
      <c r="U988" s="1184"/>
      <c r="V988" s="1184"/>
      <c r="W988" s="1184"/>
      <c r="X988" s="1184"/>
      <c r="Y988" s="1184"/>
      <c r="Z988" s="1184"/>
      <c r="AA988" s="1184"/>
      <c r="AB988" s="1184"/>
      <c r="AC988" s="1184"/>
      <c r="AD988" s="1184"/>
      <c r="AE988" s="1314"/>
      <c r="AF988" s="68"/>
      <c r="AG988" s="1290" t="s">
        <v>759</v>
      </c>
      <c r="AH988" s="1291"/>
      <c r="AI988" s="68"/>
      <c r="AJ988" s="1292">
        <f>ROUND(IF(AG988="yes",AJ967*0.02,0),0)</f>
        <v>0</v>
      </c>
      <c r="AK988" s="1293"/>
      <c r="AL988" s="1293"/>
      <c r="AM988" s="1293"/>
      <c r="AN988" s="1293"/>
      <c r="AO988" s="1293"/>
      <c r="AP988" s="1293"/>
      <c r="AQ988" s="1294"/>
      <c r="AS988" s="845"/>
      <c r="AT988" s="845"/>
      <c r="AU988" s="845"/>
      <c r="AV988" s="37"/>
      <c r="AW988" s="37"/>
      <c r="AX988" s="37"/>
      <c r="AY988" s="37"/>
      <c r="AZ988" s="37"/>
      <c r="BA988" s="378">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5"/>
      <c r="D989" s="1438" t="s">
        <v>1584</v>
      </c>
      <c r="E989" s="1439"/>
      <c r="F989" s="1439"/>
      <c r="G989" s="1439"/>
      <c r="H989" s="1439"/>
      <c r="I989" s="1439"/>
      <c r="J989" s="1439"/>
      <c r="K989" s="1439"/>
      <c r="L989" s="1439"/>
      <c r="M989" s="1439"/>
      <c r="N989" s="1439"/>
      <c r="O989" s="1439"/>
      <c r="P989" s="1439"/>
      <c r="Q989" s="1439"/>
      <c r="R989" s="1439"/>
      <c r="S989" s="1439"/>
      <c r="T989" s="1439"/>
      <c r="U989" s="1439"/>
      <c r="V989" s="1439"/>
      <c r="W989" s="1439"/>
      <c r="X989" s="1439"/>
      <c r="Y989" s="1439"/>
      <c r="Z989" s="1439"/>
      <c r="AA989" s="1439"/>
      <c r="AB989" s="1439"/>
      <c r="AC989" s="1439"/>
      <c r="AD989" s="1439"/>
      <c r="AE989" s="1440"/>
      <c r="AF989" s="1482" t="str">
        <f>IF(AND(AG988="yes",AF215&lt;&gt;1),"The project may not be eligible for this boost","")</f>
        <v/>
      </c>
      <c r="AG989" s="1483"/>
      <c r="AH989" s="1483"/>
      <c r="AI989" s="1484"/>
      <c r="AJ989" s="1295"/>
      <c r="AK989" s="1296"/>
      <c r="AL989" s="1296"/>
      <c r="AM989" s="1296"/>
      <c r="AN989" s="1296"/>
      <c r="AO989" s="1296"/>
      <c r="AP989" s="1296"/>
      <c r="AQ989" s="1297"/>
      <c r="AR989" s="844"/>
      <c r="AS989" s="845"/>
      <c r="AT989" s="845"/>
      <c r="AU989" s="845"/>
      <c r="AV989" s="37"/>
      <c r="AW989" s="37"/>
      <c r="AX989" s="37"/>
      <c r="AY989" s="37"/>
      <c r="AZ989" s="37"/>
      <c r="BA989" s="378">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2"/>
      <c r="C990" s="753"/>
      <c r="D990" s="1301"/>
      <c r="E990" s="1302"/>
      <c r="F990" s="1302"/>
      <c r="G990" s="1302"/>
      <c r="H990" s="1302"/>
      <c r="I990" s="1302"/>
      <c r="J990" s="1302"/>
      <c r="K990" s="1302"/>
      <c r="L990" s="1302"/>
      <c r="M990" s="1302"/>
      <c r="N990" s="1302"/>
      <c r="O990" s="1302"/>
      <c r="P990" s="1302"/>
      <c r="Q990" s="1302"/>
      <c r="R990" s="1302"/>
      <c r="S990" s="1302"/>
      <c r="T990" s="1302"/>
      <c r="U990" s="1302"/>
      <c r="V990" s="1302"/>
      <c r="W990" s="1302"/>
      <c r="X990" s="1302"/>
      <c r="Y990" s="1302"/>
      <c r="Z990" s="1302"/>
      <c r="AA990" s="1302"/>
      <c r="AB990" s="1302"/>
      <c r="AC990" s="1302"/>
      <c r="AD990" s="1302"/>
      <c r="AE990" s="1303"/>
      <c r="AF990" s="1485"/>
      <c r="AG990" s="1486"/>
      <c r="AH990" s="1486"/>
      <c r="AI990" s="1487"/>
      <c r="AJ990" s="1298"/>
      <c r="AK990" s="1299"/>
      <c r="AL990" s="1299"/>
      <c r="AM990" s="1299"/>
      <c r="AN990" s="1299"/>
      <c r="AO990" s="1299"/>
      <c r="AP990" s="1299"/>
      <c r="AQ990" s="1300"/>
      <c r="AR990" s="844"/>
      <c r="AS990" s="845"/>
      <c r="AT990" s="845"/>
      <c r="AU990" s="37"/>
      <c r="AV990" s="37"/>
      <c r="AW990" s="37"/>
      <c r="AX990" s="37"/>
      <c r="AY990" s="37"/>
      <c r="AZ990" s="37"/>
      <c r="BA990" s="378">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4" t="s">
        <v>1585</v>
      </c>
      <c r="D991" s="1149" t="s">
        <v>1586</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68"/>
      <c r="AG991" s="1290" t="s">
        <v>759</v>
      </c>
      <c r="AH991" s="1291"/>
      <c r="AI991" s="71"/>
      <c r="AJ991" s="1292">
        <f>IF(AG991="yes",AJ967*BA992,0)</f>
        <v>0</v>
      </c>
      <c r="AK991" s="1293"/>
      <c r="AL991" s="1293"/>
      <c r="AM991" s="1293"/>
      <c r="AN991" s="1293"/>
      <c r="AO991" s="1293"/>
      <c r="AP991" s="1293"/>
      <c r="AQ991" s="1294"/>
      <c r="AR991" s="37"/>
      <c r="AS991" s="37"/>
      <c r="AT991" s="37"/>
      <c r="AU991" s="37"/>
      <c r="AV991" s="37"/>
      <c r="AW991" s="37"/>
      <c r="AX991" s="37"/>
      <c r="AY991" s="37"/>
      <c r="AZ991" s="37"/>
      <c r="BA991" s="378">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5"/>
      <c r="D992" s="1438" t="s">
        <v>1587</v>
      </c>
      <c r="E992" s="1439"/>
      <c r="F992" s="1439"/>
      <c r="G992" s="1439"/>
      <c r="H992" s="1439"/>
      <c r="I992" s="1439"/>
      <c r="J992" s="1439"/>
      <c r="K992" s="1439"/>
      <c r="L992" s="1439"/>
      <c r="M992" s="1439"/>
      <c r="N992" s="1439"/>
      <c r="O992" s="1439"/>
      <c r="P992" s="1439"/>
      <c r="Q992" s="1439"/>
      <c r="R992" s="1439"/>
      <c r="S992" s="1439"/>
      <c r="T992" s="1439"/>
      <c r="U992" s="1439"/>
      <c r="V992" s="1439"/>
      <c r="W992" s="1439"/>
      <c r="X992" s="1439"/>
      <c r="Y992" s="1439"/>
      <c r="Z992" s="1439"/>
      <c r="AA992" s="1439"/>
      <c r="AB992" s="1439"/>
      <c r="AC992" s="1439"/>
      <c r="AD992" s="1439"/>
      <c r="AE992" s="1440"/>
      <c r="AF992" s="1152" t="str">
        <f>IF(AND(AG991="Yes",BA992=0),BA994,"")</f>
        <v/>
      </c>
      <c r="AG992" s="1153"/>
      <c r="AH992" s="1153"/>
      <c r="AI992" s="1154"/>
      <c r="AJ992" s="1295"/>
      <c r="AK992" s="1296"/>
      <c r="AL992" s="1296"/>
      <c r="AM992" s="1296"/>
      <c r="AN992" s="1296"/>
      <c r="AO992" s="1296"/>
      <c r="AP992" s="1296"/>
      <c r="AQ992" s="1297"/>
      <c r="AR992" s="37"/>
      <c r="AS992" s="37"/>
      <c r="AT992" s="37"/>
      <c r="AU992" s="37"/>
      <c r="AV992" s="37"/>
      <c r="AW992" s="37"/>
      <c r="AX992" s="37"/>
      <c r="AY992" s="37"/>
      <c r="AZ992" s="37"/>
      <c r="BA992" s="894">
        <f>IF(SUM(BA983:BA991)&lt;=0.1,SUM(BA983:BA991),0.1)</f>
        <v>0</v>
      </c>
      <c r="BB992" s="37" t="s">
        <v>1588</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5"/>
      <c r="D993" s="1438"/>
      <c r="E993" s="1439"/>
      <c r="F993" s="1439"/>
      <c r="G993" s="1439"/>
      <c r="H993" s="1439"/>
      <c r="I993" s="1439"/>
      <c r="J993" s="1439"/>
      <c r="K993" s="1439"/>
      <c r="L993" s="1439"/>
      <c r="M993" s="1439"/>
      <c r="N993" s="1439"/>
      <c r="O993" s="1439"/>
      <c r="P993" s="1439"/>
      <c r="Q993" s="1439"/>
      <c r="R993" s="1439"/>
      <c r="S993" s="1439"/>
      <c r="T993" s="1439"/>
      <c r="U993" s="1439"/>
      <c r="V993" s="1439"/>
      <c r="W993" s="1439"/>
      <c r="X993" s="1439"/>
      <c r="Y993" s="1439"/>
      <c r="Z993" s="1439"/>
      <c r="AA993" s="1439"/>
      <c r="AB993" s="1439"/>
      <c r="AC993" s="1439"/>
      <c r="AD993" s="1439"/>
      <c r="AE993" s="1440"/>
      <c r="AF993" s="1152"/>
      <c r="AG993" s="1153"/>
      <c r="AH993" s="1153"/>
      <c r="AI993" s="1154"/>
      <c r="AJ993" s="1295"/>
      <c r="AK993" s="1296"/>
      <c r="AL993" s="1296"/>
      <c r="AM993" s="1296"/>
      <c r="AN993" s="1296"/>
      <c r="AO993" s="1296"/>
      <c r="AP993" s="1296"/>
      <c r="AQ993" s="1297"/>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55"/>
      <c r="C994" s="751"/>
      <c r="D994" s="1301"/>
      <c r="E994" s="1302"/>
      <c r="F994" s="1302"/>
      <c r="G994" s="1302"/>
      <c r="H994" s="1302"/>
      <c r="I994" s="1302"/>
      <c r="J994" s="1302"/>
      <c r="K994" s="1302"/>
      <c r="L994" s="1302"/>
      <c r="M994" s="1302"/>
      <c r="N994" s="1302"/>
      <c r="O994" s="1302"/>
      <c r="P994" s="1302"/>
      <c r="Q994" s="1302"/>
      <c r="R994" s="1302"/>
      <c r="S994" s="1302"/>
      <c r="T994" s="1302"/>
      <c r="U994" s="1302"/>
      <c r="V994" s="1302"/>
      <c r="W994" s="1302"/>
      <c r="X994" s="1302"/>
      <c r="Y994" s="1302"/>
      <c r="Z994" s="1302"/>
      <c r="AA994" s="1302"/>
      <c r="AB994" s="1302"/>
      <c r="AC994" s="1302"/>
      <c r="AD994" s="1302"/>
      <c r="AE994" s="1303"/>
      <c r="AF994" s="1469"/>
      <c r="AG994" s="1470"/>
      <c r="AH994" s="1470"/>
      <c r="AI994" s="1471"/>
      <c r="AJ994" s="1298"/>
      <c r="AK994" s="1299"/>
      <c r="AL994" s="1299"/>
      <c r="AM994" s="1299"/>
      <c r="AN994" s="1299"/>
      <c r="AO994" s="1299"/>
      <c r="AP994" s="1299"/>
      <c r="AQ994" s="1300"/>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4" t="s">
        <v>1589</v>
      </c>
      <c r="D995" s="1460" t="s">
        <v>1590</v>
      </c>
      <c r="E995" s="1461"/>
      <c r="F995" s="1461"/>
      <c r="G995" s="1461"/>
      <c r="H995" s="1461"/>
      <c r="I995" s="1461"/>
      <c r="J995" s="1461"/>
      <c r="K995" s="1461"/>
      <c r="L995" s="1461"/>
      <c r="M995" s="1461"/>
      <c r="N995" s="1461"/>
      <c r="O995" s="1461"/>
      <c r="P995" s="1461"/>
      <c r="Q995" s="1461"/>
      <c r="R995" s="1461"/>
      <c r="S995" s="1461"/>
      <c r="T995" s="1461"/>
      <c r="U995" s="1461"/>
      <c r="V995" s="1461"/>
      <c r="W995" s="1461"/>
      <c r="X995" s="1461"/>
      <c r="Y995" s="1461"/>
      <c r="Z995" s="1461"/>
      <c r="AA995" s="1461"/>
      <c r="AB995" s="1461"/>
      <c r="AC995" s="1461"/>
      <c r="AD995" s="1461"/>
      <c r="AE995" s="1462"/>
      <c r="AF995" s="68"/>
      <c r="AG995" s="1290" t="s">
        <v>759</v>
      </c>
      <c r="AH995" s="1291"/>
      <c r="AI995" s="71"/>
      <c r="AJ995" s="1292">
        <f>ROUND(IF(AND(AG995="Yes",AF998&lt;&gt;"",J999&lt;&gt;"N/A"),MIN(AF998,(0.15*AJ967)),0),0)</f>
        <v>0</v>
      </c>
      <c r="AK995" s="1293"/>
      <c r="AL995" s="1293"/>
      <c r="AM995" s="1293"/>
      <c r="AN995" s="1293"/>
      <c r="AO995" s="1293"/>
      <c r="AP995" s="1293"/>
      <c r="AQ995" s="1294"/>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55"/>
      <c r="C996" s="756"/>
      <c r="D996" s="1463"/>
      <c r="E996" s="1464"/>
      <c r="F996" s="1464"/>
      <c r="G996" s="1464"/>
      <c r="H996" s="1464"/>
      <c r="I996" s="1464"/>
      <c r="J996" s="1464"/>
      <c r="K996" s="1464"/>
      <c r="L996" s="1464"/>
      <c r="M996" s="1464"/>
      <c r="N996" s="1464"/>
      <c r="O996" s="1464"/>
      <c r="P996" s="1464"/>
      <c r="Q996" s="1464"/>
      <c r="R996" s="1464"/>
      <c r="S996" s="1464"/>
      <c r="T996" s="1464"/>
      <c r="U996" s="1464"/>
      <c r="V996" s="1464"/>
      <c r="W996" s="1464"/>
      <c r="X996" s="1464"/>
      <c r="Y996" s="1464"/>
      <c r="Z996" s="1464"/>
      <c r="AA996" s="1464"/>
      <c r="AB996" s="1464"/>
      <c r="AC996" s="1464"/>
      <c r="AD996" s="1464"/>
      <c r="AE996" s="1465"/>
      <c r="AF996" s="1152" t="str">
        <f>IF(AG995="yes","Please Select Type and Enter Amount:","")</f>
        <v/>
      </c>
      <c r="AG996" s="1153"/>
      <c r="AH996" s="1153"/>
      <c r="AI996" s="1154"/>
      <c r="AJ996" s="1295"/>
      <c r="AK996" s="1296"/>
      <c r="AL996" s="1296"/>
      <c r="AM996" s="1296"/>
      <c r="AN996" s="1296"/>
      <c r="AO996" s="1296"/>
      <c r="AP996" s="1296"/>
      <c r="AQ996" s="1297"/>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55"/>
      <c r="C997" s="756"/>
      <c r="D997" s="1438" t="s">
        <v>1591</v>
      </c>
      <c r="E997" s="1439"/>
      <c r="F997" s="1439"/>
      <c r="G997" s="1439"/>
      <c r="H997" s="1439"/>
      <c r="I997" s="1439"/>
      <c r="J997" s="1439"/>
      <c r="K997" s="1439"/>
      <c r="L997" s="1439"/>
      <c r="M997" s="1439"/>
      <c r="N997" s="1439"/>
      <c r="O997" s="1439"/>
      <c r="P997" s="1439"/>
      <c r="Q997" s="1439"/>
      <c r="R997" s="1439"/>
      <c r="S997" s="1439"/>
      <c r="T997" s="1439"/>
      <c r="U997" s="1439"/>
      <c r="V997" s="1439"/>
      <c r="W997" s="1439"/>
      <c r="X997" s="1439"/>
      <c r="Y997" s="1439"/>
      <c r="Z997" s="1439"/>
      <c r="AA997" s="1439"/>
      <c r="AB997" s="1439"/>
      <c r="AC997" s="1439"/>
      <c r="AD997" s="1439"/>
      <c r="AE997" s="1440"/>
      <c r="AF997" s="1152"/>
      <c r="AG997" s="1153"/>
      <c r="AH997" s="1153"/>
      <c r="AI997" s="1154"/>
      <c r="AJ997" s="1295"/>
      <c r="AK997" s="1296"/>
      <c r="AL997" s="1296"/>
      <c r="AM997" s="1296"/>
      <c r="AN997" s="1296"/>
      <c r="AO997" s="1296"/>
      <c r="AP997" s="1296"/>
      <c r="AQ997" s="1297"/>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55"/>
      <c r="C998" s="756"/>
      <c r="D998" s="1438"/>
      <c r="E998" s="1439"/>
      <c r="F998" s="1439"/>
      <c r="G998" s="1439"/>
      <c r="H998" s="1439"/>
      <c r="I998" s="1439"/>
      <c r="J998" s="1439"/>
      <c r="K998" s="1439"/>
      <c r="L998" s="1439"/>
      <c r="M998" s="1439"/>
      <c r="N998" s="1439"/>
      <c r="O998" s="1439"/>
      <c r="P998" s="1439"/>
      <c r="Q998" s="1439"/>
      <c r="R998" s="1439"/>
      <c r="S998" s="1439"/>
      <c r="T998" s="1439"/>
      <c r="U998" s="1439"/>
      <c r="V998" s="1439"/>
      <c r="W998" s="1439"/>
      <c r="X998" s="1439"/>
      <c r="Y998" s="1439"/>
      <c r="Z998" s="1439"/>
      <c r="AA998" s="1439"/>
      <c r="AB998" s="1439"/>
      <c r="AC998" s="1439"/>
      <c r="AD998" s="1439"/>
      <c r="AE998" s="1440"/>
      <c r="AF998" s="1155"/>
      <c r="AG998" s="1155"/>
      <c r="AH998" s="1155"/>
      <c r="AI998" s="1155"/>
      <c r="AJ998" s="1295"/>
      <c r="AK998" s="1296"/>
      <c r="AL998" s="1296"/>
      <c r="AM998" s="1296"/>
      <c r="AN998" s="1296"/>
      <c r="AO998" s="1296"/>
      <c r="AP998" s="1296"/>
      <c r="AQ998" s="1297"/>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55"/>
      <c r="C999" s="756"/>
      <c r="D999" s="757" t="s">
        <v>1592</v>
      </c>
      <c r="E999" s="73"/>
      <c r="F999" s="73"/>
      <c r="G999" s="334"/>
      <c r="H999" s="334"/>
      <c r="I999" s="48"/>
      <c r="J999" s="1466" t="s">
        <v>325</v>
      </c>
      <c r="K999" s="1467"/>
      <c r="L999" s="1467"/>
      <c r="M999" s="1467"/>
      <c r="N999" s="1467"/>
      <c r="O999" s="1467"/>
      <c r="P999" s="1467"/>
      <c r="Q999" s="1467"/>
      <c r="R999" s="1467"/>
      <c r="S999" s="1467"/>
      <c r="T999" s="1467"/>
      <c r="U999" s="1467"/>
      <c r="V999" s="1467"/>
      <c r="W999" s="1467"/>
      <c r="X999" s="1467"/>
      <c r="Y999" s="1467"/>
      <c r="Z999" s="1467"/>
      <c r="AA999" s="1467"/>
      <c r="AB999" s="1467"/>
      <c r="AC999" s="1467"/>
      <c r="AD999" s="1467"/>
      <c r="AE999" s="1468"/>
      <c r="AF999" s="1155"/>
      <c r="AG999" s="1155"/>
      <c r="AH999" s="1155"/>
      <c r="AI999" s="1155"/>
      <c r="AJ999" s="1298"/>
      <c r="AK999" s="1299"/>
      <c r="AL999" s="1299"/>
      <c r="AM999" s="1299"/>
      <c r="AN999" s="1299"/>
      <c r="AO999" s="1299"/>
      <c r="AP999" s="1299"/>
      <c r="AQ999" s="1300"/>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4" t="s">
        <v>1593</v>
      </c>
      <c r="D1000" s="1313" t="s">
        <v>1594</v>
      </c>
      <c r="E1000" s="1184"/>
      <c r="F1000" s="1184"/>
      <c r="G1000" s="1184"/>
      <c r="H1000" s="1184"/>
      <c r="I1000" s="1184"/>
      <c r="J1000" s="1184"/>
      <c r="K1000" s="1184"/>
      <c r="L1000" s="1184"/>
      <c r="M1000" s="1184"/>
      <c r="N1000" s="1184"/>
      <c r="O1000" s="1184"/>
      <c r="P1000" s="1184"/>
      <c r="Q1000" s="1184"/>
      <c r="R1000" s="1184"/>
      <c r="S1000" s="1184"/>
      <c r="T1000" s="1184"/>
      <c r="U1000" s="1184"/>
      <c r="V1000" s="1184"/>
      <c r="W1000" s="1184"/>
      <c r="X1000" s="1184"/>
      <c r="Y1000" s="1184"/>
      <c r="Z1000" s="1184"/>
      <c r="AA1000" s="1184"/>
      <c r="AB1000" s="1184"/>
      <c r="AC1000" s="1184"/>
      <c r="AD1000" s="1184"/>
      <c r="AE1000" s="1314"/>
      <c r="AF1000" s="68"/>
      <c r="AG1000" s="1290" t="s">
        <v>759</v>
      </c>
      <c r="AH1000" s="1291"/>
      <c r="AI1000" s="71"/>
      <c r="AJ1000" s="1292">
        <f>ROUND(IF(AG1000="Yes",AF1002,0),0)</f>
        <v>0</v>
      </c>
      <c r="AK1000" s="1293"/>
      <c r="AL1000" s="1293"/>
      <c r="AM1000" s="1293"/>
      <c r="AN1000" s="1293"/>
      <c r="AO1000" s="1293"/>
      <c r="AP1000" s="1293"/>
      <c r="AQ1000" s="1294"/>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5"/>
      <c r="D1001" s="1438" t="s">
        <v>1595</v>
      </c>
      <c r="E1001" s="1439"/>
      <c r="F1001" s="1439"/>
      <c r="G1001" s="1439"/>
      <c r="H1001" s="1439"/>
      <c r="I1001" s="1439"/>
      <c r="J1001" s="1439"/>
      <c r="K1001" s="1439"/>
      <c r="L1001" s="1439"/>
      <c r="M1001" s="1439"/>
      <c r="N1001" s="1439"/>
      <c r="O1001" s="1439"/>
      <c r="P1001" s="1439"/>
      <c r="Q1001" s="1439"/>
      <c r="R1001" s="1439"/>
      <c r="S1001" s="1439"/>
      <c r="T1001" s="1439"/>
      <c r="U1001" s="1439"/>
      <c r="V1001" s="1439"/>
      <c r="W1001" s="1439"/>
      <c r="X1001" s="1439"/>
      <c r="Y1001" s="1439"/>
      <c r="Z1001" s="1439"/>
      <c r="AA1001" s="1439"/>
      <c r="AB1001" s="1439"/>
      <c r="AC1001" s="1439"/>
      <c r="AD1001" s="1439"/>
      <c r="AE1001" s="1440"/>
      <c r="AF1001" s="1156" t="str">
        <f>IF(AG1000="yes","Please Enter Amount:","")</f>
        <v/>
      </c>
      <c r="AG1001" s="1157"/>
      <c r="AH1001" s="1157"/>
      <c r="AI1001" s="1158"/>
      <c r="AJ1001" s="1295"/>
      <c r="AK1001" s="1296"/>
      <c r="AL1001" s="1296"/>
      <c r="AM1001" s="1296"/>
      <c r="AN1001" s="1296"/>
      <c r="AO1001" s="1296"/>
      <c r="AP1001" s="1296"/>
      <c r="AQ1001" s="1297"/>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5"/>
      <c r="D1002" s="1438"/>
      <c r="E1002" s="1439"/>
      <c r="F1002" s="1439"/>
      <c r="G1002" s="1439"/>
      <c r="H1002" s="1439"/>
      <c r="I1002" s="1439"/>
      <c r="J1002" s="1439"/>
      <c r="K1002" s="1439"/>
      <c r="L1002" s="1439"/>
      <c r="M1002" s="1439"/>
      <c r="N1002" s="1439"/>
      <c r="O1002" s="1439"/>
      <c r="P1002" s="1439"/>
      <c r="Q1002" s="1439"/>
      <c r="R1002" s="1439"/>
      <c r="S1002" s="1439"/>
      <c r="T1002" s="1439"/>
      <c r="U1002" s="1439"/>
      <c r="V1002" s="1439"/>
      <c r="W1002" s="1439"/>
      <c r="X1002" s="1439"/>
      <c r="Y1002" s="1439"/>
      <c r="Z1002" s="1439"/>
      <c r="AA1002" s="1439"/>
      <c r="AB1002" s="1439"/>
      <c r="AC1002" s="1439"/>
      <c r="AD1002" s="1439"/>
      <c r="AE1002" s="1440"/>
      <c r="AF1002" s="1155">
        <v>0</v>
      </c>
      <c r="AG1002" s="1155"/>
      <c r="AH1002" s="1155"/>
      <c r="AI1002" s="1155"/>
      <c r="AJ1002" s="1295"/>
      <c r="AK1002" s="1296"/>
      <c r="AL1002" s="1296"/>
      <c r="AM1002" s="1296"/>
      <c r="AN1002" s="1296"/>
      <c r="AO1002" s="1296"/>
      <c r="AP1002" s="1296"/>
      <c r="AQ1002" s="1297"/>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54"/>
      <c r="C1003" s="756"/>
      <c r="D1003" s="1301"/>
      <c r="E1003" s="1302"/>
      <c r="F1003" s="1302"/>
      <c r="G1003" s="1302"/>
      <c r="H1003" s="1302"/>
      <c r="I1003" s="1302"/>
      <c r="J1003" s="1302"/>
      <c r="K1003" s="1302"/>
      <c r="L1003" s="1302"/>
      <c r="M1003" s="1302"/>
      <c r="N1003" s="1302"/>
      <c r="O1003" s="1302"/>
      <c r="P1003" s="1302"/>
      <c r="Q1003" s="1302"/>
      <c r="R1003" s="1302"/>
      <c r="S1003" s="1302"/>
      <c r="T1003" s="1302"/>
      <c r="U1003" s="1302"/>
      <c r="V1003" s="1302"/>
      <c r="W1003" s="1302"/>
      <c r="X1003" s="1302"/>
      <c r="Y1003" s="1302"/>
      <c r="Z1003" s="1302"/>
      <c r="AA1003" s="1302"/>
      <c r="AB1003" s="1302"/>
      <c r="AC1003" s="1302"/>
      <c r="AD1003" s="1302"/>
      <c r="AE1003" s="1303"/>
      <c r="AF1003" s="1155"/>
      <c r="AG1003" s="1155"/>
      <c r="AH1003" s="1155"/>
      <c r="AI1003" s="1155"/>
      <c r="AJ1003" s="1298"/>
      <c r="AK1003" s="1299"/>
      <c r="AL1003" s="1299"/>
      <c r="AM1003" s="1299"/>
      <c r="AN1003" s="1299"/>
      <c r="AO1003" s="1299"/>
      <c r="AP1003" s="1299"/>
      <c r="AQ1003" s="1300"/>
      <c r="AT1003" s="37"/>
      <c r="AU1003" s="37"/>
      <c r="AV1003" s="37"/>
      <c r="AW1003" s="37"/>
      <c r="AX1003" s="34"/>
      <c r="AY1003" s="34"/>
      <c r="AZ1003" s="21"/>
      <c r="BA1003" s="21"/>
      <c r="BB1003" s="21"/>
      <c r="BC1003" s="37"/>
      <c r="BD1003" s="37"/>
    </row>
    <row r="1004" spans="1:97" ht="12.9" customHeight="1">
      <c r="A1004" s="21"/>
      <c r="B1004" s="68"/>
      <c r="C1004" s="464" t="s">
        <v>1596</v>
      </c>
      <c r="D1004" s="1149" t="s">
        <v>1597</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68"/>
      <c r="AG1004" s="1290" t="s">
        <v>759</v>
      </c>
      <c r="AH1004" s="1291"/>
      <c r="AI1004" s="71"/>
      <c r="AJ1004" s="1292">
        <f>ROUND(IF(AG1004="yes",(AJ967*0.1),0),0)</f>
        <v>0</v>
      </c>
      <c r="AK1004" s="1293"/>
      <c r="AL1004" s="1293"/>
      <c r="AM1004" s="1293"/>
      <c r="AN1004" s="1293"/>
      <c r="AO1004" s="1293"/>
      <c r="AP1004" s="1293"/>
      <c r="AQ1004" s="1294"/>
      <c r="AT1004" s="37"/>
      <c r="AU1004" s="37"/>
      <c r="AV1004" s="37"/>
      <c r="AW1004" s="37"/>
      <c r="AX1004" s="34"/>
      <c r="AY1004" s="34"/>
      <c r="AZ1004" s="21"/>
      <c r="BA1004" s="21"/>
      <c r="BB1004" s="21"/>
      <c r="BC1004" s="37"/>
      <c r="BD1004" s="37"/>
    </row>
    <row r="1005" spans="1:97" ht="12.9" customHeight="1">
      <c r="A1005" s="21"/>
      <c r="B1005" s="65"/>
      <c r="C1005" s="465"/>
      <c r="D1005" s="1438" t="s">
        <v>1598</v>
      </c>
      <c r="E1005" s="1439"/>
      <c r="F1005" s="1439"/>
      <c r="G1005" s="1439"/>
      <c r="H1005" s="1439"/>
      <c r="I1005" s="1439"/>
      <c r="J1005" s="1439"/>
      <c r="K1005" s="1439"/>
      <c r="L1005" s="1439"/>
      <c r="M1005" s="1439"/>
      <c r="N1005" s="1439"/>
      <c r="O1005" s="1439"/>
      <c r="P1005" s="1439"/>
      <c r="Q1005" s="1439"/>
      <c r="R1005" s="1439"/>
      <c r="S1005" s="1439"/>
      <c r="T1005" s="1439"/>
      <c r="U1005" s="1439"/>
      <c r="V1005" s="1439"/>
      <c r="W1005" s="1439"/>
      <c r="X1005" s="1439"/>
      <c r="Y1005" s="1439"/>
      <c r="Z1005" s="1439"/>
      <c r="AA1005" s="1439"/>
      <c r="AB1005" s="1439"/>
      <c r="AC1005" s="1439"/>
      <c r="AD1005" s="1439"/>
      <c r="AE1005" s="1440"/>
      <c r="AF1005" s="65"/>
      <c r="AG1005" s="21"/>
      <c r="AH1005" s="21"/>
      <c r="AI1005" s="69"/>
      <c r="AJ1005" s="1295"/>
      <c r="AK1005" s="1296"/>
      <c r="AL1005" s="1296"/>
      <c r="AM1005" s="1296"/>
      <c r="AN1005" s="1296"/>
      <c r="AO1005" s="1296"/>
      <c r="AP1005" s="1296"/>
      <c r="AQ1005" s="1297"/>
      <c r="AT1005" s="37"/>
      <c r="AU1005" s="37"/>
      <c r="AV1005" s="37"/>
      <c r="AW1005" s="37"/>
      <c r="AX1005" s="34"/>
      <c r="AY1005" s="34"/>
      <c r="AZ1005" s="21"/>
      <c r="BA1005" s="21"/>
      <c r="BB1005" s="21"/>
      <c r="BC1005" s="37"/>
      <c r="BD1005" s="37"/>
    </row>
    <row r="1006" spans="1:97" ht="12.9" customHeight="1">
      <c r="A1006" s="21"/>
      <c r="B1006" s="66"/>
      <c r="C1006" s="465"/>
      <c r="D1006" s="1301"/>
      <c r="E1006" s="1302"/>
      <c r="F1006" s="1302"/>
      <c r="G1006" s="1302"/>
      <c r="H1006" s="1302"/>
      <c r="I1006" s="1302"/>
      <c r="J1006" s="1302"/>
      <c r="K1006" s="1302"/>
      <c r="L1006" s="1302"/>
      <c r="M1006" s="1302"/>
      <c r="N1006" s="1302"/>
      <c r="O1006" s="1302"/>
      <c r="P1006" s="1302"/>
      <c r="Q1006" s="1302"/>
      <c r="R1006" s="1302"/>
      <c r="S1006" s="1302"/>
      <c r="T1006" s="1302"/>
      <c r="U1006" s="1302"/>
      <c r="V1006" s="1302"/>
      <c r="W1006" s="1302"/>
      <c r="X1006" s="1302"/>
      <c r="Y1006" s="1302"/>
      <c r="Z1006" s="1302"/>
      <c r="AA1006" s="1302"/>
      <c r="AB1006" s="1302"/>
      <c r="AC1006" s="1302"/>
      <c r="AD1006" s="1302"/>
      <c r="AE1006" s="1303"/>
      <c r="AF1006" s="65"/>
      <c r="AG1006" s="21"/>
      <c r="AH1006" s="21"/>
      <c r="AI1006" s="69"/>
      <c r="AJ1006" s="1298"/>
      <c r="AK1006" s="1299"/>
      <c r="AL1006" s="1299"/>
      <c r="AM1006" s="1299"/>
      <c r="AN1006" s="1299"/>
      <c r="AO1006" s="1299"/>
      <c r="AP1006" s="1299"/>
      <c r="AQ1006" s="1300"/>
      <c r="AT1006" s="37"/>
      <c r="AU1006" s="37"/>
      <c r="AV1006" s="37"/>
      <c r="AW1006" s="37"/>
      <c r="AX1006" s="34"/>
      <c r="AY1006" s="34"/>
      <c r="AZ1006" s="21"/>
      <c r="BA1006" s="21"/>
      <c r="BB1006" s="21"/>
      <c r="BC1006" s="37"/>
      <c r="BD1006" s="37"/>
    </row>
    <row r="1007" spans="1:97" ht="12.9" customHeight="1">
      <c r="A1007" s="21"/>
      <c r="B1007" s="65"/>
      <c r="C1007" s="464" t="s">
        <v>18</v>
      </c>
      <c r="D1007" s="1313" t="s">
        <v>1599</v>
      </c>
      <c r="E1007" s="1184"/>
      <c r="F1007" s="1184"/>
      <c r="G1007" s="1184"/>
      <c r="H1007" s="1184"/>
      <c r="I1007" s="1184"/>
      <c r="J1007" s="1184"/>
      <c r="K1007" s="1184"/>
      <c r="L1007" s="1184"/>
      <c r="M1007" s="1184"/>
      <c r="N1007" s="1184"/>
      <c r="O1007" s="1184"/>
      <c r="P1007" s="1184"/>
      <c r="Q1007" s="1184"/>
      <c r="R1007" s="1184"/>
      <c r="S1007" s="1184"/>
      <c r="T1007" s="1184"/>
      <c r="U1007" s="1184"/>
      <c r="V1007" s="1184"/>
      <c r="W1007" s="1184"/>
      <c r="X1007" s="1184"/>
      <c r="Y1007" s="1184"/>
      <c r="Z1007" s="1184"/>
      <c r="AA1007" s="1184"/>
      <c r="AB1007" s="1184"/>
      <c r="AC1007" s="1184"/>
      <c r="AD1007" s="1184"/>
      <c r="AE1007" s="1314"/>
      <c r="AF1007" s="68"/>
      <c r="AG1007" s="1290" t="s">
        <v>759</v>
      </c>
      <c r="AH1007" s="1291"/>
      <c r="AI1007" s="71"/>
      <c r="AJ1007" s="1292">
        <f>ROUND(IF(AG1007="yes",(AJ967*0.15),0),0)</f>
        <v>0</v>
      </c>
      <c r="AK1007" s="1293"/>
      <c r="AL1007" s="1293"/>
      <c r="AM1007" s="1293"/>
      <c r="AN1007" s="1293"/>
      <c r="AO1007" s="1293"/>
      <c r="AP1007" s="1293"/>
      <c r="AQ1007" s="1294"/>
      <c r="AT1007" s="37"/>
      <c r="AU1007" s="37"/>
      <c r="AV1007" s="37"/>
      <c r="AW1007" s="37"/>
      <c r="AX1007" s="37"/>
      <c r="AY1007" s="37"/>
      <c r="AZ1007" s="37"/>
      <c r="BA1007" s="37"/>
      <c r="BB1007" s="37"/>
      <c r="BC1007" s="37"/>
      <c r="BD1007" s="37"/>
    </row>
    <row r="1008" spans="1:97" ht="12.9" customHeight="1">
      <c r="A1008" s="21"/>
      <c r="B1008" s="65"/>
      <c r="C1008" s="465"/>
      <c r="D1008" s="1446" t="s">
        <v>1600</v>
      </c>
      <c r="E1008" s="933"/>
      <c r="F1008" s="933"/>
      <c r="G1008" s="933"/>
      <c r="H1008" s="933"/>
      <c r="I1008" s="933"/>
      <c r="J1008" s="933"/>
      <c r="K1008" s="933"/>
      <c r="L1008" s="933"/>
      <c r="M1008" s="933"/>
      <c r="N1008" s="933"/>
      <c r="O1008" s="933"/>
      <c r="P1008" s="933"/>
      <c r="Q1008" s="933"/>
      <c r="R1008" s="933"/>
      <c r="S1008" s="933"/>
      <c r="T1008" s="933"/>
      <c r="U1008" s="933"/>
      <c r="V1008" s="933"/>
      <c r="W1008" s="933"/>
      <c r="X1008" s="933"/>
      <c r="Y1008" s="933"/>
      <c r="Z1008" s="933"/>
      <c r="AA1008" s="933"/>
      <c r="AB1008" s="933"/>
      <c r="AC1008" s="933"/>
      <c r="AD1008" s="933"/>
      <c r="AE1008" s="1447"/>
      <c r="AF1008" s="758"/>
      <c r="AG1008" s="759"/>
      <c r="AH1008" s="759"/>
      <c r="AI1008" s="760"/>
      <c r="AJ1008" s="1295"/>
      <c r="AK1008" s="1296"/>
      <c r="AL1008" s="1296"/>
      <c r="AM1008" s="1296"/>
      <c r="AN1008" s="1296"/>
      <c r="AO1008" s="1296"/>
      <c r="AP1008" s="1296"/>
      <c r="AQ1008" s="1297"/>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5"/>
      <c r="D1009" s="1446"/>
      <c r="E1009" s="933"/>
      <c r="F1009" s="933"/>
      <c r="G1009" s="933"/>
      <c r="H1009" s="933"/>
      <c r="I1009" s="933"/>
      <c r="J1009" s="933"/>
      <c r="K1009" s="933"/>
      <c r="L1009" s="933"/>
      <c r="M1009" s="933"/>
      <c r="N1009" s="933"/>
      <c r="O1009" s="933"/>
      <c r="P1009" s="933"/>
      <c r="Q1009" s="933"/>
      <c r="R1009" s="933"/>
      <c r="S1009" s="933"/>
      <c r="T1009" s="933"/>
      <c r="U1009" s="933"/>
      <c r="V1009" s="933"/>
      <c r="W1009" s="933"/>
      <c r="X1009" s="933"/>
      <c r="Y1009" s="933"/>
      <c r="Z1009" s="933"/>
      <c r="AA1009" s="933"/>
      <c r="AB1009" s="933"/>
      <c r="AC1009" s="933"/>
      <c r="AD1009" s="933"/>
      <c r="AE1009" s="1447"/>
      <c r="AF1009" s="758"/>
      <c r="AG1009" s="759"/>
      <c r="AH1009" s="759"/>
      <c r="AI1009" s="760"/>
      <c r="AJ1009" s="1295"/>
      <c r="AK1009" s="1296"/>
      <c r="AL1009" s="1296"/>
      <c r="AM1009" s="1296"/>
      <c r="AN1009" s="1296"/>
      <c r="AO1009" s="1296"/>
      <c r="AP1009" s="1296"/>
      <c r="AQ1009" s="1297"/>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5"/>
      <c r="D1010" s="1448"/>
      <c r="E1010" s="1349"/>
      <c r="F1010" s="1349"/>
      <c r="G1010" s="1349"/>
      <c r="H1010" s="1349"/>
      <c r="I1010" s="1349"/>
      <c r="J1010" s="1349"/>
      <c r="K1010" s="1349"/>
      <c r="L1010" s="1349"/>
      <c r="M1010" s="1349"/>
      <c r="N1010" s="1349"/>
      <c r="O1010" s="1349"/>
      <c r="P1010" s="1349"/>
      <c r="Q1010" s="1349"/>
      <c r="R1010" s="1349"/>
      <c r="S1010" s="1349"/>
      <c r="T1010" s="1349"/>
      <c r="U1010" s="1349"/>
      <c r="V1010" s="1349"/>
      <c r="W1010" s="1349"/>
      <c r="X1010" s="1349"/>
      <c r="Y1010" s="1349"/>
      <c r="Z1010" s="1349"/>
      <c r="AA1010" s="1349"/>
      <c r="AB1010" s="1349"/>
      <c r="AC1010" s="1349"/>
      <c r="AD1010" s="1349"/>
      <c r="AE1010" s="1449"/>
      <c r="AF1010" s="761"/>
      <c r="AG1010" s="762"/>
      <c r="AH1010" s="762"/>
      <c r="AI1010" s="763"/>
      <c r="AJ1010" s="1298"/>
      <c r="AK1010" s="1299"/>
      <c r="AL1010" s="1299"/>
      <c r="AM1010" s="1299"/>
      <c r="AN1010" s="1299"/>
      <c r="AO1010" s="1299"/>
      <c r="AP1010" s="1299"/>
      <c r="AQ1010" s="1300"/>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5"/>
      <c r="B1011" s="65"/>
      <c r="C1011" s="464" t="s">
        <v>18</v>
      </c>
      <c r="D1011" s="1149" t="s">
        <v>1601</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65"/>
      <c r="AG1011" s="1457" t="s">
        <v>759</v>
      </c>
      <c r="AH1011" s="1458"/>
      <c r="AI1011" s="69"/>
      <c r="AJ1011" s="1292">
        <f>ROUND(IF(AG1011="yes",(AJ967*0.1),0),0)</f>
        <v>0</v>
      </c>
      <c r="AK1011" s="1293"/>
      <c r="AL1011" s="1293"/>
      <c r="AM1011" s="1293"/>
      <c r="AN1011" s="1293"/>
      <c r="AO1011" s="1293"/>
      <c r="AP1011" s="1293"/>
      <c r="AQ1011" s="1294"/>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5"/>
      <c r="B1012" s="65"/>
      <c r="C1012" s="465"/>
      <c r="D1012" s="1446" t="s">
        <v>1602</v>
      </c>
      <c r="E1012" s="933"/>
      <c r="F1012" s="933"/>
      <c r="G1012" s="933"/>
      <c r="H1012" s="933"/>
      <c r="I1012" s="933"/>
      <c r="J1012" s="933"/>
      <c r="K1012" s="933"/>
      <c r="L1012" s="933"/>
      <c r="M1012" s="933"/>
      <c r="N1012" s="933"/>
      <c r="O1012" s="933"/>
      <c r="P1012" s="933"/>
      <c r="Q1012" s="933"/>
      <c r="R1012" s="933"/>
      <c r="S1012" s="933"/>
      <c r="T1012" s="933"/>
      <c r="U1012" s="933"/>
      <c r="V1012" s="933"/>
      <c r="W1012" s="933"/>
      <c r="X1012" s="933"/>
      <c r="Y1012" s="933"/>
      <c r="Z1012" s="933"/>
      <c r="AA1012" s="933"/>
      <c r="AB1012" s="933"/>
      <c r="AC1012" s="933"/>
      <c r="AD1012" s="933"/>
      <c r="AE1012" s="1447"/>
      <c r="AF1012" s="65"/>
      <c r="AG1012" s="21"/>
      <c r="AH1012" s="21"/>
      <c r="AI1012" s="69"/>
      <c r="AJ1012" s="1295"/>
      <c r="AK1012" s="1296"/>
      <c r="AL1012" s="1296"/>
      <c r="AM1012" s="1296"/>
      <c r="AN1012" s="1296"/>
      <c r="AO1012" s="1296"/>
      <c r="AP1012" s="1296"/>
      <c r="AQ1012" s="1297"/>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5"/>
      <c r="B1013" s="65"/>
      <c r="C1013" s="465"/>
      <c r="D1013" s="1446"/>
      <c r="E1013" s="933"/>
      <c r="F1013" s="933"/>
      <c r="G1013" s="933"/>
      <c r="H1013" s="933"/>
      <c r="I1013" s="933"/>
      <c r="J1013" s="933"/>
      <c r="K1013" s="933"/>
      <c r="L1013" s="933"/>
      <c r="M1013" s="933"/>
      <c r="N1013" s="933"/>
      <c r="O1013" s="933"/>
      <c r="P1013" s="933"/>
      <c r="Q1013" s="933"/>
      <c r="R1013" s="933"/>
      <c r="S1013" s="933"/>
      <c r="T1013" s="933"/>
      <c r="U1013" s="933"/>
      <c r="V1013" s="933"/>
      <c r="W1013" s="933"/>
      <c r="X1013" s="933"/>
      <c r="Y1013" s="933"/>
      <c r="Z1013" s="933"/>
      <c r="AA1013" s="933"/>
      <c r="AB1013" s="933"/>
      <c r="AC1013" s="933"/>
      <c r="AD1013" s="933"/>
      <c r="AE1013" s="1447"/>
      <c r="AF1013" s="65"/>
      <c r="AG1013" s="21"/>
      <c r="AH1013" s="21"/>
      <c r="AI1013" s="69"/>
      <c r="AJ1013" s="1295"/>
      <c r="AK1013" s="1296"/>
      <c r="AL1013" s="1296"/>
      <c r="AM1013" s="1296"/>
      <c r="AN1013" s="1296"/>
      <c r="AO1013" s="1296"/>
      <c r="AP1013" s="1296"/>
      <c r="AQ1013" s="1297"/>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5"/>
      <c r="B1014" s="65"/>
      <c r="C1014" s="465"/>
      <c r="D1014" s="1446"/>
      <c r="E1014" s="933"/>
      <c r="F1014" s="933"/>
      <c r="G1014" s="933"/>
      <c r="H1014" s="933"/>
      <c r="I1014" s="933"/>
      <c r="J1014" s="933"/>
      <c r="K1014" s="933"/>
      <c r="L1014" s="933"/>
      <c r="M1014" s="933"/>
      <c r="N1014" s="933"/>
      <c r="O1014" s="933"/>
      <c r="P1014" s="933"/>
      <c r="Q1014" s="933"/>
      <c r="R1014" s="933"/>
      <c r="S1014" s="933"/>
      <c r="T1014" s="933"/>
      <c r="U1014" s="933"/>
      <c r="V1014" s="933"/>
      <c r="W1014" s="933"/>
      <c r="X1014" s="933"/>
      <c r="Y1014" s="933"/>
      <c r="Z1014" s="933"/>
      <c r="AA1014" s="933"/>
      <c r="AB1014" s="933"/>
      <c r="AC1014" s="933"/>
      <c r="AD1014" s="933"/>
      <c r="AE1014" s="1447"/>
      <c r="AF1014" s="65"/>
      <c r="AG1014" s="21"/>
      <c r="AH1014" s="21"/>
      <c r="AI1014" s="69"/>
      <c r="AJ1014" s="1295"/>
      <c r="AK1014" s="1296"/>
      <c r="AL1014" s="1296"/>
      <c r="AM1014" s="1296"/>
      <c r="AN1014" s="1296"/>
      <c r="AO1014" s="1296"/>
      <c r="AP1014" s="1296"/>
      <c r="AQ1014" s="1297"/>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5"/>
      <c r="B1015" s="65"/>
      <c r="C1015" s="465"/>
      <c r="D1015" s="1448"/>
      <c r="E1015" s="1349"/>
      <c r="F1015" s="1349"/>
      <c r="G1015" s="1349"/>
      <c r="H1015" s="1349"/>
      <c r="I1015" s="1349"/>
      <c r="J1015" s="1349"/>
      <c r="K1015" s="1349"/>
      <c r="L1015" s="1349"/>
      <c r="M1015" s="1349"/>
      <c r="N1015" s="1349"/>
      <c r="O1015" s="1349"/>
      <c r="P1015" s="1349"/>
      <c r="Q1015" s="1349"/>
      <c r="R1015" s="1349"/>
      <c r="S1015" s="1349"/>
      <c r="T1015" s="1349"/>
      <c r="U1015" s="1349"/>
      <c r="V1015" s="1349"/>
      <c r="W1015" s="1349"/>
      <c r="X1015" s="1349"/>
      <c r="Y1015" s="1349"/>
      <c r="Z1015" s="1349"/>
      <c r="AA1015" s="1349"/>
      <c r="AB1015" s="1349"/>
      <c r="AC1015" s="1349"/>
      <c r="AD1015" s="1349"/>
      <c r="AE1015" s="1449"/>
      <c r="AF1015" s="65"/>
      <c r="AG1015" s="21"/>
      <c r="AH1015" s="21"/>
      <c r="AI1015" s="69"/>
      <c r="AJ1015" s="1295"/>
      <c r="AK1015" s="1296"/>
      <c r="AL1015" s="1296"/>
      <c r="AM1015" s="1296"/>
      <c r="AN1015" s="1296"/>
      <c r="AO1015" s="1296"/>
      <c r="AP1015" s="1296"/>
      <c r="AQ1015" s="1297"/>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5"/>
      <c r="B1016" s="68"/>
      <c r="C1016" s="764" t="s">
        <v>1603</v>
      </c>
      <c r="D1016" s="1313" t="s">
        <v>1604</v>
      </c>
      <c r="E1016" s="1184"/>
      <c r="F1016" s="1184"/>
      <c r="G1016" s="1184"/>
      <c r="H1016" s="1184"/>
      <c r="I1016" s="1184"/>
      <c r="J1016" s="1184"/>
      <c r="K1016" s="1184"/>
      <c r="L1016" s="1184"/>
      <c r="M1016" s="1184"/>
      <c r="N1016" s="1184"/>
      <c r="O1016" s="1184"/>
      <c r="P1016" s="1184"/>
      <c r="Q1016" s="1184"/>
      <c r="R1016" s="1184"/>
      <c r="S1016" s="1184"/>
      <c r="T1016" s="1184"/>
      <c r="U1016" s="1184"/>
      <c r="V1016" s="1184"/>
      <c r="W1016" s="1184"/>
      <c r="X1016" s="1184"/>
      <c r="Y1016" s="1184"/>
      <c r="Z1016" s="1184"/>
      <c r="AA1016" s="1184"/>
      <c r="AB1016" s="1184"/>
      <c r="AC1016" s="1184"/>
      <c r="AD1016" s="1184"/>
      <c r="AE1016" s="1314"/>
      <c r="AF1016" s="68"/>
      <c r="AG1016" s="1290" t="s">
        <v>759</v>
      </c>
      <c r="AH1016" s="1291"/>
      <c r="AI1016" s="71"/>
      <c r="AJ1016" s="1292">
        <f>ROUND(IF(AG1016="yes",(AJ967*0.1),0),0)</f>
        <v>0</v>
      </c>
      <c r="AK1016" s="1293"/>
      <c r="AL1016" s="1293"/>
      <c r="AM1016" s="1293"/>
      <c r="AN1016" s="1293"/>
      <c r="AO1016" s="1293"/>
      <c r="AP1016" s="1293"/>
      <c r="AQ1016" s="1294"/>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5"/>
      <c r="B1017" s="65"/>
      <c r="C1017" s="465"/>
      <c r="D1017" s="1438" t="s">
        <v>1605</v>
      </c>
      <c r="E1017" s="1439"/>
      <c r="F1017" s="1439"/>
      <c r="G1017" s="1439"/>
      <c r="H1017" s="1439"/>
      <c r="I1017" s="1439"/>
      <c r="J1017" s="1439"/>
      <c r="K1017" s="1439"/>
      <c r="L1017" s="1439"/>
      <c r="M1017" s="1439"/>
      <c r="N1017" s="1439"/>
      <c r="O1017" s="1439"/>
      <c r="P1017" s="1439"/>
      <c r="Q1017" s="1439"/>
      <c r="R1017" s="1439"/>
      <c r="S1017" s="1439"/>
      <c r="T1017" s="1439"/>
      <c r="U1017" s="1439"/>
      <c r="V1017" s="1439"/>
      <c r="W1017" s="1439"/>
      <c r="X1017" s="1439"/>
      <c r="Y1017" s="1439"/>
      <c r="Z1017" s="1439"/>
      <c r="AA1017" s="1439"/>
      <c r="AB1017" s="1439"/>
      <c r="AC1017" s="1439"/>
      <c r="AD1017" s="1439"/>
      <c r="AE1017" s="1440"/>
      <c r="AF1017" s="65"/>
      <c r="AG1017" s="21"/>
      <c r="AH1017" s="21"/>
      <c r="AI1017" s="69"/>
      <c r="AJ1017" s="1295"/>
      <c r="AK1017" s="1296"/>
      <c r="AL1017" s="1296"/>
      <c r="AM1017" s="1296"/>
      <c r="AN1017" s="1296"/>
      <c r="AO1017" s="1296"/>
      <c r="AP1017" s="1296"/>
      <c r="AQ1017" s="1297"/>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5"/>
      <c r="B1018" s="65"/>
      <c r="C1018" s="465"/>
      <c r="D1018" s="1438"/>
      <c r="E1018" s="1439"/>
      <c r="F1018" s="1439"/>
      <c r="G1018" s="1439"/>
      <c r="H1018" s="1439"/>
      <c r="I1018" s="1439"/>
      <c r="J1018" s="1439"/>
      <c r="K1018" s="1439"/>
      <c r="L1018" s="1439"/>
      <c r="M1018" s="1439"/>
      <c r="N1018" s="1439"/>
      <c r="O1018" s="1439"/>
      <c r="P1018" s="1439"/>
      <c r="Q1018" s="1439"/>
      <c r="R1018" s="1439"/>
      <c r="S1018" s="1439"/>
      <c r="T1018" s="1439"/>
      <c r="U1018" s="1439"/>
      <c r="V1018" s="1439"/>
      <c r="W1018" s="1439"/>
      <c r="X1018" s="1439"/>
      <c r="Y1018" s="1439"/>
      <c r="Z1018" s="1439"/>
      <c r="AA1018" s="1439"/>
      <c r="AB1018" s="1439"/>
      <c r="AC1018" s="1439"/>
      <c r="AD1018" s="1439"/>
      <c r="AE1018" s="1440"/>
      <c r="AF1018" s="65"/>
      <c r="AG1018" s="21"/>
      <c r="AH1018" s="21"/>
      <c r="AI1018" s="69"/>
      <c r="AJ1018" s="1295"/>
      <c r="AK1018" s="1296"/>
      <c r="AL1018" s="1296"/>
      <c r="AM1018" s="1296"/>
      <c r="AN1018" s="1296"/>
      <c r="AO1018" s="1296"/>
      <c r="AP1018" s="1296"/>
      <c r="AQ1018" s="129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5"/>
      <c r="B1019" s="65"/>
      <c r="C1019" s="465"/>
      <c r="D1019" s="1301"/>
      <c r="E1019" s="1302"/>
      <c r="F1019" s="1302"/>
      <c r="G1019" s="1302"/>
      <c r="H1019" s="1302"/>
      <c r="I1019" s="1302"/>
      <c r="J1019" s="1302"/>
      <c r="K1019" s="1302"/>
      <c r="L1019" s="1302"/>
      <c r="M1019" s="1302"/>
      <c r="N1019" s="1302"/>
      <c r="O1019" s="1302"/>
      <c r="P1019" s="1302"/>
      <c r="Q1019" s="1302"/>
      <c r="R1019" s="1302"/>
      <c r="S1019" s="1302"/>
      <c r="T1019" s="1302"/>
      <c r="U1019" s="1302"/>
      <c r="V1019" s="1302"/>
      <c r="W1019" s="1302"/>
      <c r="X1019" s="1302"/>
      <c r="Y1019" s="1302"/>
      <c r="Z1019" s="1302"/>
      <c r="AA1019" s="1302"/>
      <c r="AB1019" s="1302"/>
      <c r="AC1019" s="1302"/>
      <c r="AD1019" s="1302"/>
      <c r="AE1019" s="1303"/>
      <c r="AF1019" s="65"/>
      <c r="AG1019" s="21"/>
      <c r="AH1019" s="21"/>
      <c r="AI1019" s="69"/>
      <c r="AJ1019" s="1298"/>
      <c r="AK1019" s="1299"/>
      <c r="AL1019" s="1299"/>
      <c r="AM1019" s="1299"/>
      <c r="AN1019" s="1299"/>
      <c r="AO1019" s="1299"/>
      <c r="AP1019" s="1299"/>
      <c r="AQ1019" s="1300"/>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5"/>
      <c r="B1020" s="155"/>
      <c r="C1020" s="765"/>
      <c r="D1020" s="1144" t="s">
        <v>1606</v>
      </c>
      <c r="E1020" s="1144"/>
      <c r="F1020" s="1144"/>
      <c r="G1020" s="1144"/>
      <c r="H1020" s="1144"/>
      <c r="I1020" s="1144"/>
      <c r="J1020" s="1144"/>
      <c r="K1020" s="1144"/>
      <c r="L1020" s="1144"/>
      <c r="M1020" s="1144"/>
      <c r="N1020" s="1144"/>
      <c r="O1020" s="1144"/>
      <c r="P1020" s="1144"/>
      <c r="Q1020" s="1144"/>
      <c r="R1020" s="1144"/>
      <c r="S1020" s="1144"/>
      <c r="T1020" s="1144"/>
      <c r="U1020" s="1144"/>
      <c r="V1020" s="1144"/>
      <c r="W1020" s="1144"/>
      <c r="X1020" s="1144"/>
      <c r="Y1020" s="1144"/>
      <c r="Z1020" s="1144"/>
      <c r="AA1020" s="1144"/>
      <c r="AB1020" s="1144"/>
      <c r="AC1020" s="1144"/>
      <c r="AD1020" s="1144"/>
      <c r="AE1020" s="1144"/>
      <c r="AF1020" s="1144"/>
      <c r="AG1020" s="1144"/>
      <c r="AH1020" s="1144"/>
      <c r="AI1020" s="1145"/>
      <c r="AJ1020" s="1146">
        <f>SUM(AJ967:AQ1019)</f>
        <v>8160676</v>
      </c>
      <c r="AK1020" s="1147"/>
      <c r="AL1020" s="1147"/>
      <c r="AM1020" s="1147"/>
      <c r="AN1020" s="1147"/>
      <c r="AO1020" s="1147"/>
      <c r="AP1020" s="1147"/>
      <c r="AQ1020" s="114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5"/>
      <c r="B1021" s="21"/>
      <c r="C1021" s="896"/>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5"/>
      <c r="B1022" s="21"/>
      <c r="C1022" s="896"/>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5"/>
      <c r="B1023" s="21"/>
      <c r="C1023" s="896"/>
      <c r="D1023" s="297" t="s">
        <v>1607</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5"/>
      <c r="B1024" s="21"/>
      <c r="C1024" s="896"/>
      <c r="D1024" s="897" t="s">
        <v>1608</v>
      </c>
      <c r="E1024" s="898"/>
      <c r="F1024" s="898"/>
      <c r="G1024" s="898"/>
      <c r="H1024" s="898"/>
      <c r="I1024" s="898"/>
      <c r="J1024" s="898"/>
      <c r="K1024" s="898"/>
      <c r="L1024" s="898"/>
      <c r="M1024" s="898"/>
      <c r="N1024" s="898"/>
      <c r="O1024" s="898"/>
      <c r="P1024" s="898"/>
      <c r="Q1024" s="898"/>
      <c r="R1024" s="898"/>
      <c r="S1024" s="898"/>
      <c r="T1024" s="898"/>
      <c r="U1024" s="898"/>
      <c r="V1024" s="898"/>
      <c r="W1024" s="898"/>
      <c r="X1024" s="1379">
        <f>'Sources and Uses Budget'!S106+'Sources and Uses Budget'!T106</f>
        <v>4810800.75</v>
      </c>
      <c r="Y1024" s="1379"/>
      <c r="Z1024" s="1379"/>
      <c r="AA1024" s="1379"/>
      <c r="AB1024" s="1379"/>
      <c r="AC1024" s="1379"/>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5"/>
      <c r="B1025" s="21"/>
      <c r="C1025" s="896"/>
      <c r="D1025" s="897"/>
      <c r="E1025" s="897" t="s">
        <v>1609</v>
      </c>
      <c r="F1025" s="898"/>
      <c r="G1025" s="898"/>
      <c r="H1025" s="898"/>
      <c r="I1025" s="898"/>
      <c r="J1025" s="898"/>
      <c r="K1025" s="898"/>
      <c r="L1025" s="898"/>
      <c r="M1025" s="898"/>
      <c r="N1025" s="898"/>
      <c r="O1025" s="898"/>
      <c r="P1025" s="898"/>
      <c r="Q1025" s="898"/>
      <c r="R1025" s="898"/>
      <c r="S1025" s="898"/>
      <c r="T1025" s="898"/>
      <c r="U1025" s="898"/>
      <c r="V1025" s="898"/>
      <c r="W1025" s="898"/>
      <c r="X1025" s="1375">
        <f>IFERROR(X1024/AJ1020,"")</f>
        <v>0.5895100785768238</v>
      </c>
      <c r="Y1025" s="1376"/>
      <c r="Z1025" s="1376"/>
      <c r="AA1025" s="1376"/>
      <c r="AB1025" s="1376"/>
      <c r="AC1025" s="1377"/>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5"/>
      <c r="C1026" s="896"/>
      <c r="D1026" s="118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4"/>
      <c r="F1026" s="1184"/>
      <c r="G1026" s="1184"/>
      <c r="H1026" s="1184"/>
      <c r="I1026" s="1184"/>
      <c r="J1026" s="1184"/>
      <c r="K1026" s="1184"/>
      <c r="L1026" s="1184"/>
      <c r="M1026" s="1184"/>
      <c r="N1026" s="1184"/>
      <c r="O1026" s="1184"/>
      <c r="P1026" s="1184"/>
      <c r="Q1026" s="1184"/>
      <c r="R1026" s="1184"/>
      <c r="S1026" s="1184"/>
      <c r="T1026" s="1184"/>
      <c r="U1026" s="1184"/>
      <c r="V1026" s="1184"/>
      <c r="W1026" s="1184"/>
      <c r="X1026" s="1184"/>
      <c r="Y1026" s="1184"/>
      <c r="Z1026" s="1184"/>
      <c r="AA1026" s="1184"/>
      <c r="AB1026" s="1184"/>
      <c r="AC1026" s="1184"/>
      <c r="AD1026" s="1184"/>
      <c r="AE1026" s="1184"/>
      <c r="AF1026" s="1184"/>
      <c r="AG1026" s="1184"/>
      <c r="AH1026" s="1184"/>
      <c r="AI1026" s="1184"/>
      <c r="AJ1026" s="1184"/>
      <c r="AK1026" s="1184"/>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5"/>
      <c r="C1027" s="896"/>
      <c r="D1027" s="1184"/>
      <c r="E1027" s="1184"/>
      <c r="F1027" s="1184"/>
      <c r="G1027" s="1184"/>
      <c r="H1027" s="1184"/>
      <c r="I1027" s="1184"/>
      <c r="J1027" s="1184"/>
      <c r="K1027" s="1184"/>
      <c r="L1027" s="1184"/>
      <c r="M1027" s="1184"/>
      <c r="N1027" s="1184"/>
      <c r="O1027" s="1184"/>
      <c r="P1027" s="1184"/>
      <c r="Q1027" s="1184"/>
      <c r="R1027" s="1184"/>
      <c r="S1027" s="1184"/>
      <c r="T1027" s="1184"/>
      <c r="U1027" s="1184"/>
      <c r="V1027" s="1184"/>
      <c r="W1027" s="1184"/>
      <c r="X1027" s="1184"/>
      <c r="Y1027" s="1184"/>
      <c r="Z1027" s="1184"/>
      <c r="AA1027" s="1184"/>
      <c r="AB1027" s="1184"/>
      <c r="AC1027" s="1184"/>
      <c r="AD1027" s="1184"/>
      <c r="AE1027" s="1184"/>
      <c r="AF1027" s="1184"/>
      <c r="AG1027" s="1184"/>
      <c r="AH1027" s="1184"/>
      <c r="AI1027" s="1184"/>
      <c r="AJ1027" s="1184"/>
      <c r="AK1027" s="1184"/>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5"/>
      <c r="B1028"/>
      <c r="C1028" s="896"/>
      <c r="D1028" s="1184"/>
      <c r="E1028" s="1184"/>
      <c r="F1028" s="1184"/>
      <c r="G1028" s="1184"/>
      <c r="H1028" s="1184"/>
      <c r="I1028" s="1184"/>
      <c r="J1028" s="1184"/>
      <c r="K1028" s="1184"/>
      <c r="L1028" s="1184"/>
      <c r="M1028" s="1184"/>
      <c r="N1028" s="1184"/>
      <c r="O1028" s="1184"/>
      <c r="P1028" s="1184"/>
      <c r="Q1028" s="1184"/>
      <c r="R1028" s="1184"/>
      <c r="S1028" s="1184"/>
      <c r="T1028" s="1184"/>
      <c r="U1028" s="1184"/>
      <c r="V1028" s="1184"/>
      <c r="W1028" s="1184"/>
      <c r="X1028" s="1184"/>
      <c r="Y1028" s="1184"/>
      <c r="Z1028" s="1184"/>
      <c r="AA1028" s="1184"/>
      <c r="AB1028" s="1184"/>
      <c r="AC1028" s="1184"/>
      <c r="AD1028" s="1184"/>
      <c r="AE1028" s="1184"/>
      <c r="AF1028" s="1184"/>
      <c r="AG1028" s="1184"/>
      <c r="AH1028" s="1184"/>
      <c r="AI1028" s="1184"/>
      <c r="AJ1028" s="1184"/>
      <c r="AK1028" s="1184"/>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5"/>
      <c r="B1029" s="831"/>
      <c r="C1029" s="831"/>
      <c r="D1029" s="831"/>
      <c r="E1029" s="831"/>
      <c r="F1029" s="831"/>
      <c r="G1029" s="831"/>
      <c r="H1029" s="831"/>
      <c r="I1029" s="831"/>
      <c r="J1029" s="831"/>
      <c r="K1029" s="831"/>
      <c r="L1029" s="831"/>
      <c r="M1029" s="831"/>
      <c r="N1029" s="831"/>
      <c r="O1029" s="831"/>
      <c r="P1029" s="831"/>
      <c r="Q1029" s="831"/>
      <c r="R1029" s="831"/>
      <c r="S1029" s="831"/>
      <c r="T1029" s="831"/>
      <c r="U1029" s="831"/>
      <c r="V1029" s="831"/>
      <c r="W1029" s="831"/>
      <c r="X1029" s="831"/>
      <c r="Y1029" s="831"/>
      <c r="Z1029" s="831"/>
      <c r="AA1029" s="831"/>
      <c r="AB1029" s="831"/>
      <c r="AC1029" s="831"/>
      <c r="AD1029" s="831"/>
      <c r="AE1029" s="831"/>
      <c r="AF1029" s="831"/>
      <c r="AG1029" s="831"/>
      <c r="AH1029" s="831"/>
      <c r="AI1029" s="831"/>
      <c r="AJ1029" s="831"/>
      <c r="AK1029" s="831"/>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5"/>
      <c r="B1030" s="831"/>
      <c r="C1030" s="831"/>
      <c r="D1030" s="831"/>
      <c r="E1030" s="831"/>
      <c r="F1030" s="831"/>
      <c r="G1030" s="831"/>
      <c r="H1030" s="831"/>
      <c r="I1030" s="831"/>
      <c r="J1030" s="831"/>
      <c r="K1030" s="831"/>
      <c r="L1030" s="831"/>
      <c r="M1030" s="831"/>
      <c r="N1030" s="831"/>
      <c r="O1030" s="831"/>
      <c r="P1030" s="831"/>
      <c r="Q1030" s="831"/>
      <c r="R1030" s="831"/>
      <c r="S1030" s="831"/>
      <c r="T1030" s="831"/>
      <c r="U1030" s="831"/>
      <c r="V1030" s="831"/>
      <c r="W1030" s="831"/>
      <c r="X1030" s="831"/>
      <c r="Y1030" s="831"/>
      <c r="Z1030" s="831"/>
      <c r="AA1030" s="831"/>
      <c r="AB1030" s="831"/>
      <c r="AC1030" s="831"/>
      <c r="AD1030" s="831"/>
      <c r="AE1030" s="831"/>
      <c r="AF1030" s="831"/>
      <c r="AG1030" s="831"/>
      <c r="AH1030" s="831"/>
      <c r="AI1030" s="831"/>
      <c r="AJ1030" s="831"/>
      <c r="AK1030" s="831"/>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78"/>
      <c r="C1031" s="1378"/>
      <c r="D1031" s="1378"/>
      <c r="E1031" s="1378"/>
      <c r="F1031" s="1378"/>
      <c r="G1031" s="1378"/>
      <c r="H1031" s="1378"/>
      <c r="I1031" s="1378"/>
      <c r="J1031" s="1378"/>
      <c r="K1031" s="1378"/>
      <c r="L1031" s="1378"/>
      <c r="M1031" s="1378"/>
      <c r="N1031" s="1378"/>
      <c r="O1031" s="1378"/>
      <c r="P1031" s="1378"/>
      <c r="Q1031" s="1378"/>
      <c r="R1031" s="1378"/>
      <c r="S1031" s="1378"/>
      <c r="T1031" s="1378"/>
      <c r="U1031" s="1378"/>
      <c r="V1031" s="1378"/>
      <c r="W1031" s="1378"/>
      <c r="X1031" s="1378"/>
      <c r="Y1031" s="1378"/>
      <c r="Z1031" s="1378"/>
      <c r="AA1031" s="1378"/>
      <c r="AB1031" s="1378"/>
      <c r="AC1031" s="1378"/>
      <c r="AD1031" s="1378"/>
      <c r="AE1031" s="1378"/>
      <c r="AF1031" s="1378"/>
      <c r="AG1031" s="1378"/>
      <c r="AH1031" s="1378"/>
      <c r="AI1031" s="1378"/>
      <c r="AJ1031" s="1378"/>
      <c r="AK1031" s="1378"/>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459" t="s">
        <v>1610</v>
      </c>
      <c r="B1032" s="1459"/>
      <c r="C1032" s="1459"/>
      <c r="D1032" s="1459"/>
      <c r="E1032" s="1459"/>
      <c r="F1032" s="1459"/>
      <c r="G1032" s="1459"/>
      <c r="H1032" s="1459"/>
      <c r="I1032" s="1459"/>
      <c r="J1032" s="1459"/>
      <c r="K1032" s="1459"/>
      <c r="L1032" s="1459"/>
      <c r="M1032" s="1459"/>
      <c r="N1032" s="1459"/>
      <c r="O1032" s="1459"/>
      <c r="P1032" s="1459"/>
      <c r="Q1032" s="1459"/>
      <c r="R1032" s="1459"/>
      <c r="S1032" s="1459"/>
      <c r="T1032" s="1459"/>
      <c r="U1032" s="1459"/>
      <c r="V1032" s="1459"/>
      <c r="W1032" s="1459"/>
      <c r="X1032" s="1459"/>
      <c r="Y1032" s="1459"/>
      <c r="Z1032" s="1459"/>
      <c r="AA1032" s="1459"/>
      <c r="AB1032" s="1459"/>
      <c r="AC1032" s="1459"/>
      <c r="AD1032" s="1459"/>
      <c r="AE1032" s="1459"/>
      <c r="AF1032" s="1459"/>
      <c r="AG1032" s="1459"/>
      <c r="AH1032" s="1459"/>
      <c r="AI1032" s="1459"/>
      <c r="AJ1032" s="1459"/>
      <c r="AK1032" s="1459"/>
      <c r="AL1032" s="1459"/>
      <c r="AM1032" s="1459"/>
      <c r="AN1032" s="1459"/>
      <c r="AO1032" s="1459"/>
      <c r="AP1032" s="1459"/>
      <c r="AQ1032" s="1459"/>
      <c r="AR1032" s="1459"/>
      <c r="AS1032" s="1459"/>
      <c r="AT1032" s="1459"/>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1611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1612</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63" t="s">
        <v>325</v>
      </c>
      <c r="B1036" s="1063"/>
      <c r="C1036" s="12">
        <v>1</v>
      </c>
      <c r="D1036" s="930" t="s">
        <v>1613</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2.9"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63" t="s">
        <v>325</v>
      </c>
      <c r="B1042" s="1063"/>
      <c r="C1042" s="12">
        <v>2</v>
      </c>
      <c r="D1042" s="930" t="s">
        <v>1614</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63" t="s">
        <v>325</v>
      </c>
      <c r="B1048" s="1063"/>
      <c r="C1048" s="12">
        <v>3</v>
      </c>
      <c r="D1048" s="930" t="s">
        <v>1615</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63" t="s">
        <v>325</v>
      </c>
      <c r="B1055" s="1063"/>
      <c r="C1055" s="12">
        <v>4</v>
      </c>
      <c r="D1055" s="930" t="s">
        <v>1616</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63" t="s">
        <v>325</v>
      </c>
      <c r="B1059" s="1063"/>
      <c r="C1059" s="12">
        <v>5</v>
      </c>
      <c r="D1059" s="930" t="s">
        <v>1617</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63" t="s">
        <v>325</v>
      </c>
      <c r="B1063" s="1063"/>
      <c r="C1063" s="12">
        <v>6</v>
      </c>
      <c r="D1063" s="930" t="s">
        <v>1618</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63" t="s">
        <v>325</v>
      </c>
      <c r="B1066" s="1063"/>
      <c r="C1066" s="899">
        <v>7</v>
      </c>
      <c r="D1066" s="930" t="s">
        <v>1619</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899"/>
      <c r="B1067" s="899"/>
      <c r="C1067" s="899"/>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899"/>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899"/>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899"/>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63" t="s">
        <v>325</v>
      </c>
      <c r="B1071" s="1063"/>
      <c r="C1071" s="899">
        <v>8</v>
      </c>
      <c r="D1071" s="930" t="s">
        <v>1620</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2.9" customHeight="1">
      <c r="A1072" s="1"/>
      <c r="B1072" s="1"/>
      <c r="C1072" s="899"/>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2.9" customHeight="1">
      <c r="A1073" s="1"/>
      <c r="B1073" s="1"/>
      <c r="C1073" s="899"/>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2.9" customHeight="1">
      <c r="A1074" s="232"/>
      <c r="B1074" s="29"/>
      <c r="C1074" s="899"/>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2.9" customHeight="1">
      <c r="A1075" s="1183" t="s">
        <v>325</v>
      </c>
      <c r="B1075" s="1183"/>
      <c r="C1075" s="899">
        <v>9</v>
      </c>
      <c r="D1075" s="930" t="s">
        <v>1621</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2.9" customHeight="1">
      <c r="A1076" s="232"/>
      <c r="B1076" s="29"/>
      <c r="C1076" s="899"/>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2.9"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zoomScale="70" zoomScaleNormal="70" workbookViewId="0">
      <selection activeCell="A27" sqref="A27"/>
    </sheetView>
  </sheetViews>
  <sheetFormatPr defaultColWidth="8.88671875" defaultRowHeight="12" zeroHeight="1"/>
  <cols>
    <col min="1" max="1" width="32.44140625" style="395" customWidth="1"/>
    <col min="2" max="12" width="12.109375" style="393" customWidth="1"/>
    <col min="13" max="17" width="11.44140625" style="393" customWidth="1"/>
    <col min="18" max="18" width="12.44140625" style="393" customWidth="1"/>
    <col min="19" max="20" width="12.109375" style="393" customWidth="1"/>
    <col min="21" max="21" width="0.44140625" style="394" customWidth="1"/>
    <col min="22" max="16384" width="8.88671875" style="393"/>
  </cols>
  <sheetData>
    <row r="1" spans="1:21" s="171" customFormat="1" ht="13.8">
      <c r="A1" s="226" t="s">
        <v>1622</v>
      </c>
      <c r="B1" s="193"/>
      <c r="C1" s="193"/>
      <c r="D1" s="193"/>
      <c r="E1" s="194"/>
      <c r="F1" s="1491" t="s">
        <v>1623</v>
      </c>
      <c r="G1" s="1492"/>
      <c r="H1" s="1492"/>
      <c r="I1" s="1492"/>
      <c r="J1" s="1492"/>
      <c r="K1" s="1492"/>
      <c r="L1" s="1492"/>
      <c r="M1" s="1492"/>
      <c r="N1" s="1492"/>
      <c r="O1" s="1492"/>
      <c r="P1" s="1492"/>
      <c r="Q1" s="1492"/>
      <c r="R1" s="1493"/>
      <c r="S1" s="173"/>
      <c r="T1" s="172"/>
      <c r="U1" s="174"/>
    </row>
    <row r="2" spans="1:21" s="198" customFormat="1" ht="60" customHeight="1">
      <c r="A2" s="197"/>
      <c r="B2" s="198" t="s">
        <v>1624</v>
      </c>
      <c r="C2" s="198" t="s">
        <v>1625</v>
      </c>
      <c r="D2" s="198" t="s">
        <v>1626</v>
      </c>
      <c r="E2" s="198" t="s">
        <v>1627</v>
      </c>
      <c r="F2" s="199" t="str">
        <f>Application!B621&amp;Application!C621</f>
        <v>1)USDA 515 (New)</v>
      </c>
      <c r="G2" s="199" t="str">
        <f>Application!B622&amp;Application!C622</f>
        <v>2)USDA 515 (Existing)</v>
      </c>
      <c r="H2" s="199" t="str">
        <f>Application!B623&amp;Application!C623</f>
        <v>3)GP Capital - existing reserves</v>
      </c>
      <c r="I2" s="199" t="str">
        <f>Application!B624&amp;Application!C624</f>
        <v>4)Sponsor Loan - CMF funds</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1628</v>
      </c>
      <c r="S2" s="198" t="s">
        <v>1629</v>
      </c>
      <c r="T2" s="198" t="s">
        <v>1630</v>
      </c>
      <c r="U2" s="200"/>
    </row>
    <row r="3" spans="1:21" s="204" customFormat="1" ht="11.4">
      <c r="A3" s="201" t="s">
        <v>1631</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1632</v>
      </c>
      <c r="B4" s="206">
        <f>SUM(C4+D4)</f>
        <v>284074</v>
      </c>
      <c r="C4" s="207">
        <v>284074</v>
      </c>
      <c r="D4" s="207"/>
      <c r="E4" s="207"/>
      <c r="F4" s="207">
        <f>+F107-F9</f>
        <v>115516</v>
      </c>
      <c r="G4" s="207">
        <f>+G107</f>
        <v>144836</v>
      </c>
      <c r="H4" s="207"/>
      <c r="I4" s="207">
        <f>+B4-F4-G4</f>
        <v>23722</v>
      </c>
      <c r="J4" s="207"/>
      <c r="K4" s="207"/>
      <c r="L4" s="207"/>
      <c r="M4" s="207"/>
      <c r="N4" s="207"/>
      <c r="O4" s="207"/>
      <c r="P4" s="207"/>
      <c r="Q4" s="207"/>
      <c r="R4" s="207">
        <f>C4</f>
        <v>284074</v>
      </c>
      <c r="S4" s="208"/>
      <c r="T4" s="208"/>
      <c r="U4" s="203"/>
    </row>
    <row r="5" spans="1:21" s="204" customFormat="1" ht="13.2">
      <c r="A5" s="256" t="s">
        <v>1633</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1634</v>
      </c>
      <c r="B6" s="206">
        <f>SUM(C6+D6)</f>
        <v>2321</v>
      </c>
      <c r="C6" s="207">
        <v>2321</v>
      </c>
      <c r="D6" s="207"/>
      <c r="E6" s="207">
        <f>+C6</f>
        <v>2321</v>
      </c>
      <c r="F6" s="207"/>
      <c r="G6" s="207"/>
      <c r="H6" s="207"/>
      <c r="I6" s="207"/>
      <c r="J6" s="207"/>
      <c r="K6" s="207"/>
      <c r="L6" s="207"/>
      <c r="M6" s="207"/>
      <c r="N6" s="207"/>
      <c r="O6" s="207"/>
      <c r="P6" s="207"/>
      <c r="Q6" s="207"/>
      <c r="R6" s="207">
        <f>SUM(E6:Q6)</f>
        <v>2321</v>
      </c>
      <c r="S6" s="208"/>
      <c r="T6" s="208"/>
      <c r="U6" s="203"/>
    </row>
    <row r="7" spans="1:21" s="204" customFormat="1" ht="11.4">
      <c r="A7" s="205" t="s">
        <v>1635</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1636</v>
      </c>
      <c r="B8" s="206">
        <f>SUM(C8:D8)</f>
        <v>286395</v>
      </c>
      <c r="C8" s="206">
        <f t="shared" ref="C8:R8" si="0">SUM(C4:C7)</f>
        <v>286395</v>
      </c>
      <c r="D8" s="206">
        <f t="shared" si="0"/>
        <v>0</v>
      </c>
      <c r="E8" s="206">
        <f t="shared" si="0"/>
        <v>2321</v>
      </c>
      <c r="F8" s="206">
        <f t="shared" si="0"/>
        <v>115516</v>
      </c>
      <c r="G8" s="206">
        <f t="shared" si="0"/>
        <v>144836</v>
      </c>
      <c r="H8" s="206">
        <f t="shared" si="0"/>
        <v>0</v>
      </c>
      <c r="I8" s="206">
        <f t="shared" si="0"/>
        <v>23722</v>
      </c>
      <c r="J8" s="206">
        <f t="shared" si="0"/>
        <v>0</v>
      </c>
      <c r="K8" s="206">
        <f t="shared" si="0"/>
        <v>0</v>
      </c>
      <c r="L8" s="206">
        <f t="shared" si="0"/>
        <v>0</v>
      </c>
      <c r="M8" s="206">
        <f t="shared" si="0"/>
        <v>0</v>
      </c>
      <c r="N8" s="206">
        <f t="shared" si="0"/>
        <v>0</v>
      </c>
      <c r="O8" s="206">
        <f t="shared" si="0"/>
        <v>0</v>
      </c>
      <c r="P8" s="206">
        <f t="shared" si="0"/>
        <v>0</v>
      </c>
      <c r="Q8" s="206">
        <f t="shared" si="0"/>
        <v>0</v>
      </c>
      <c r="R8" s="206">
        <f t="shared" si="0"/>
        <v>286395</v>
      </c>
      <c r="S8" s="208"/>
      <c r="T8" s="208"/>
      <c r="U8" s="203"/>
    </row>
    <row r="9" spans="1:21" s="204" customFormat="1" ht="11.4">
      <c r="A9" s="205" t="s">
        <v>1637</v>
      </c>
      <c r="B9" s="206">
        <f>SUM(C9+D9)</f>
        <v>1825926</v>
      </c>
      <c r="C9" s="207">
        <v>1825926</v>
      </c>
      <c r="D9" s="207"/>
      <c r="E9" s="207"/>
      <c r="F9" s="207">
        <f>+C9</f>
        <v>1825926</v>
      </c>
      <c r="G9" s="207"/>
      <c r="H9" s="207"/>
      <c r="I9" s="207"/>
      <c r="J9" s="207"/>
      <c r="K9" s="207"/>
      <c r="L9" s="207"/>
      <c r="M9" s="207"/>
      <c r="N9" s="207"/>
      <c r="O9" s="207"/>
      <c r="P9" s="207"/>
      <c r="Q9" s="207"/>
      <c r="R9" s="207">
        <f>C9</f>
        <v>1825926</v>
      </c>
      <c r="S9" s="208"/>
      <c r="T9" s="207"/>
      <c r="U9" s="203"/>
    </row>
    <row r="10" spans="1:21" s="204" customFormat="1" ht="13.2">
      <c r="A10" s="256" t="s">
        <v>1638</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1639</v>
      </c>
      <c r="B11" s="206">
        <f>SUM(C11:D11)</f>
        <v>1825926</v>
      </c>
      <c r="C11" s="206">
        <f t="shared" ref="C11:T11" si="1">SUM(C9:C10)</f>
        <v>1825926</v>
      </c>
      <c r="D11" s="206">
        <f t="shared" si="1"/>
        <v>0</v>
      </c>
      <c r="E11" s="206">
        <f t="shared" si="1"/>
        <v>0</v>
      </c>
      <c r="F11" s="206">
        <f t="shared" si="1"/>
        <v>1825926</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1825926</v>
      </c>
      <c r="S11" s="208"/>
      <c r="T11" s="206">
        <f t="shared" si="1"/>
        <v>0</v>
      </c>
      <c r="U11" s="203"/>
    </row>
    <row r="12" spans="1:21" s="204" customFormat="1">
      <c r="A12" s="209" t="s">
        <v>1640</v>
      </c>
      <c r="B12" s="206">
        <f t="shared" ref="B12:R12" si="2">SUM(B8+B11)</f>
        <v>2112321</v>
      </c>
      <c r="C12" s="206">
        <f t="shared" si="2"/>
        <v>2112321</v>
      </c>
      <c r="D12" s="206">
        <f t="shared" si="2"/>
        <v>0</v>
      </c>
      <c r="E12" s="206">
        <f t="shared" si="2"/>
        <v>2321</v>
      </c>
      <c r="F12" s="206">
        <f t="shared" si="2"/>
        <v>1941442</v>
      </c>
      <c r="G12" s="206">
        <f t="shared" si="2"/>
        <v>144836</v>
      </c>
      <c r="H12" s="206">
        <f t="shared" si="2"/>
        <v>0</v>
      </c>
      <c r="I12" s="206">
        <f t="shared" si="2"/>
        <v>23722</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2112321</v>
      </c>
      <c r="S12" s="208"/>
      <c r="T12" s="208"/>
      <c r="U12" s="203"/>
    </row>
    <row r="13" spans="1:21" s="204" customFormat="1" ht="11.4">
      <c r="A13" s="371" t="s">
        <v>1641</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2.8">
      <c r="A14" s="205" t="s">
        <v>1642</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1643</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1644</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1645</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1646</v>
      </c>
      <c r="B18" s="206">
        <f t="shared" si="3"/>
        <v>2535558</v>
      </c>
      <c r="C18" s="207">
        <v>2535558</v>
      </c>
      <c r="D18" s="207"/>
      <c r="E18" s="207">
        <f>+C18-H18-I18</f>
        <v>2117288</v>
      </c>
      <c r="F18" s="207"/>
      <c r="G18" s="207"/>
      <c r="H18" s="207">
        <f>+H107</f>
        <v>341992</v>
      </c>
      <c r="I18" s="207">
        <f>+I107-I4</f>
        <v>76278</v>
      </c>
      <c r="J18" s="207"/>
      <c r="K18" s="207"/>
      <c r="L18" s="207"/>
      <c r="M18" s="207"/>
      <c r="N18" s="207"/>
      <c r="O18" s="207"/>
      <c r="P18" s="207"/>
      <c r="Q18" s="207"/>
      <c r="R18" s="207">
        <f>SUM(E18:Q18)</f>
        <v>2535558</v>
      </c>
      <c r="S18" s="207">
        <f>+R18</f>
        <v>2535558</v>
      </c>
      <c r="T18" s="207"/>
      <c r="U18" s="203"/>
    </row>
    <row r="19" spans="1:21" s="204" customFormat="1" ht="11.4">
      <c r="A19" s="205" t="s">
        <v>1647</v>
      </c>
      <c r="B19" s="206">
        <f t="shared" si="3"/>
        <v>152133</v>
      </c>
      <c r="C19" s="207">
        <v>152133</v>
      </c>
      <c r="D19" s="207"/>
      <c r="E19" s="207">
        <f>+C19</f>
        <v>152133</v>
      </c>
      <c r="F19" s="207"/>
      <c r="G19" s="207"/>
      <c r="H19" s="207"/>
      <c r="I19" s="207"/>
      <c r="J19" s="207"/>
      <c r="K19" s="207"/>
      <c r="L19" s="207"/>
      <c r="M19" s="207"/>
      <c r="N19" s="207"/>
      <c r="O19" s="207"/>
      <c r="P19" s="207"/>
      <c r="Q19" s="207"/>
      <c r="R19" s="207">
        <f>SUM(E19:Q19)</f>
        <v>152133</v>
      </c>
      <c r="S19" s="207">
        <f>+R19</f>
        <v>152133</v>
      </c>
      <c r="T19" s="207"/>
      <c r="U19" s="203"/>
    </row>
    <row r="20" spans="1:21" s="204" customFormat="1" ht="11.4">
      <c r="A20" s="205" t="s">
        <v>1648</v>
      </c>
      <c r="B20" s="206">
        <f t="shared" si="3"/>
        <v>101422</v>
      </c>
      <c r="C20" s="207">
        <f>202844/2</f>
        <v>101422</v>
      </c>
      <c r="D20" s="207"/>
      <c r="E20" s="207">
        <f t="shared" ref="E20:E21" si="4">+C20</f>
        <v>101422</v>
      </c>
      <c r="F20" s="207"/>
      <c r="G20" s="207"/>
      <c r="H20" s="207"/>
      <c r="I20" s="207"/>
      <c r="J20" s="207"/>
      <c r="K20" s="207"/>
      <c r="L20" s="207"/>
      <c r="M20" s="207"/>
      <c r="N20" s="207"/>
      <c r="O20" s="207"/>
      <c r="P20" s="207"/>
      <c r="Q20" s="207"/>
      <c r="R20" s="207">
        <f t="shared" ref="R20:R27" si="5">SUM(E20:Q20)</f>
        <v>101422</v>
      </c>
      <c r="S20" s="207">
        <f>+R20</f>
        <v>101422</v>
      </c>
      <c r="T20" s="207"/>
      <c r="U20" s="203"/>
    </row>
    <row r="21" spans="1:21" s="204" customFormat="1" ht="11.4">
      <c r="A21" s="205" t="s">
        <v>1649</v>
      </c>
      <c r="B21" s="206">
        <f t="shared" si="3"/>
        <v>101422</v>
      </c>
      <c r="C21" s="207">
        <f>+C20</f>
        <v>101422</v>
      </c>
      <c r="D21" s="207"/>
      <c r="E21" s="207">
        <f t="shared" si="4"/>
        <v>101422</v>
      </c>
      <c r="F21" s="207"/>
      <c r="G21" s="207"/>
      <c r="H21" s="207"/>
      <c r="I21" s="207"/>
      <c r="J21" s="207"/>
      <c r="K21" s="207"/>
      <c r="L21" s="207"/>
      <c r="M21" s="207"/>
      <c r="N21" s="207"/>
      <c r="O21" s="207"/>
      <c r="P21" s="207"/>
      <c r="Q21" s="207"/>
      <c r="R21" s="207">
        <f t="shared" si="5"/>
        <v>101422</v>
      </c>
      <c r="S21" s="207">
        <f>+R21</f>
        <v>101422</v>
      </c>
      <c r="T21" s="207"/>
      <c r="U21" s="203"/>
    </row>
    <row r="22" spans="1:21" s="204" customFormat="1" ht="11.4">
      <c r="A22" s="205" t="s">
        <v>1650</v>
      </c>
      <c r="B22" s="206">
        <f t="shared" si="3"/>
        <v>0</v>
      </c>
      <c r="C22" s="207"/>
      <c r="D22" s="207"/>
      <c r="E22" s="207"/>
      <c r="F22" s="207"/>
      <c r="G22" s="207"/>
      <c r="H22" s="207"/>
      <c r="I22" s="207"/>
      <c r="J22" s="207"/>
      <c r="K22" s="207"/>
      <c r="L22" s="207"/>
      <c r="M22" s="207"/>
      <c r="N22" s="207"/>
      <c r="O22" s="207"/>
      <c r="P22" s="207"/>
      <c r="Q22" s="207"/>
      <c r="R22" s="207">
        <f t="shared" si="5"/>
        <v>0</v>
      </c>
      <c r="S22" s="207"/>
      <c r="T22" s="207"/>
      <c r="U22" s="203"/>
    </row>
    <row r="23" spans="1:21" s="204" customFormat="1" ht="11.4">
      <c r="A23" s="205" t="s">
        <v>1651</v>
      </c>
      <c r="B23" s="206">
        <f t="shared" si="3"/>
        <v>0</v>
      </c>
      <c r="C23" s="207"/>
      <c r="D23" s="207"/>
      <c r="E23" s="207"/>
      <c r="F23" s="207"/>
      <c r="G23" s="207"/>
      <c r="H23" s="207"/>
      <c r="I23" s="207"/>
      <c r="J23" s="207"/>
      <c r="K23" s="207"/>
      <c r="L23" s="207"/>
      <c r="M23" s="207"/>
      <c r="N23" s="207"/>
      <c r="O23" s="207"/>
      <c r="P23" s="207"/>
      <c r="Q23" s="207"/>
      <c r="R23" s="207">
        <f t="shared" si="5"/>
        <v>0</v>
      </c>
      <c r="S23" s="207"/>
      <c r="T23" s="207"/>
      <c r="U23" s="203"/>
    </row>
    <row r="24" spans="1:21" s="204" customFormat="1" ht="11.4">
      <c r="A24" s="216" t="s">
        <v>1652</v>
      </c>
      <c r="B24" s="206">
        <f t="shared" si="3"/>
        <v>0</v>
      </c>
      <c r="C24" s="207"/>
      <c r="D24" s="207"/>
      <c r="E24" s="207"/>
      <c r="F24" s="207"/>
      <c r="G24" s="207"/>
      <c r="H24" s="207"/>
      <c r="I24" s="207"/>
      <c r="J24" s="207"/>
      <c r="K24" s="207"/>
      <c r="L24" s="207"/>
      <c r="M24" s="207"/>
      <c r="N24" s="207"/>
      <c r="O24" s="207"/>
      <c r="P24" s="207"/>
      <c r="Q24" s="207"/>
      <c r="R24" s="207">
        <f t="shared" si="5"/>
        <v>0</v>
      </c>
      <c r="S24" s="207"/>
      <c r="T24" s="207"/>
      <c r="U24" s="203"/>
    </row>
    <row r="25" spans="1:21" s="204" customFormat="1" ht="11.4">
      <c r="A25" s="212" t="s">
        <v>1653</v>
      </c>
      <c r="B25" s="206">
        <f t="shared" si="3"/>
        <v>0</v>
      </c>
      <c r="C25" s="207"/>
      <c r="D25" s="207"/>
      <c r="E25" s="207"/>
      <c r="F25" s="207"/>
      <c r="G25" s="207"/>
      <c r="H25" s="207"/>
      <c r="I25" s="207"/>
      <c r="J25" s="207"/>
      <c r="K25" s="207"/>
      <c r="L25" s="207"/>
      <c r="M25" s="207"/>
      <c r="N25" s="207"/>
      <c r="O25" s="207"/>
      <c r="P25" s="207"/>
      <c r="Q25" s="207"/>
      <c r="R25" s="207">
        <f t="shared" si="5"/>
        <v>0</v>
      </c>
      <c r="S25" s="207"/>
      <c r="T25" s="207"/>
      <c r="U25" s="203"/>
    </row>
    <row r="26" spans="1:21" s="204" customFormat="1">
      <c r="A26" s="209" t="s">
        <v>1654</v>
      </c>
      <c r="B26" s="206">
        <f t="shared" si="3"/>
        <v>2890535</v>
      </c>
      <c r="C26" s="206">
        <f>SUM(C17:C25)</f>
        <v>2890535</v>
      </c>
      <c r="D26" s="206">
        <f>SUM(D17:D25)</f>
        <v>0</v>
      </c>
      <c r="E26" s="206">
        <f>SUM(E17:E25)</f>
        <v>2472265</v>
      </c>
      <c r="F26" s="206">
        <f t="shared" ref="F26:T26" si="6">SUM(F17:F25)</f>
        <v>0</v>
      </c>
      <c r="G26" s="206">
        <f t="shared" si="6"/>
        <v>0</v>
      </c>
      <c r="H26" s="206">
        <f t="shared" si="6"/>
        <v>341992</v>
      </c>
      <c r="I26" s="206">
        <f t="shared" si="6"/>
        <v>76278</v>
      </c>
      <c r="J26" s="206">
        <f t="shared" si="6"/>
        <v>0</v>
      </c>
      <c r="K26" s="206">
        <f t="shared" si="6"/>
        <v>0</v>
      </c>
      <c r="L26" s="206">
        <f t="shared" si="6"/>
        <v>0</v>
      </c>
      <c r="M26" s="206">
        <f t="shared" si="6"/>
        <v>0</v>
      </c>
      <c r="N26" s="206">
        <f t="shared" si="6"/>
        <v>0</v>
      </c>
      <c r="O26" s="206">
        <f t="shared" si="6"/>
        <v>0</v>
      </c>
      <c r="P26" s="206">
        <f t="shared" si="6"/>
        <v>0</v>
      </c>
      <c r="Q26" s="206">
        <f t="shared" si="6"/>
        <v>0</v>
      </c>
      <c r="R26" s="206">
        <f>SUM(R17:R25)</f>
        <v>2890535</v>
      </c>
      <c r="S26" s="210">
        <f t="shared" si="6"/>
        <v>2890535</v>
      </c>
      <c r="T26" s="210">
        <f t="shared" si="6"/>
        <v>0</v>
      </c>
      <c r="U26" s="203"/>
    </row>
    <row r="27" spans="1:21" s="204" customFormat="1">
      <c r="A27" s="209" t="s">
        <v>1655</v>
      </c>
      <c r="B27" s="206">
        <f t="shared" si="3"/>
        <v>161000</v>
      </c>
      <c r="C27" s="207">
        <v>161000</v>
      </c>
      <c r="D27" s="207"/>
      <c r="E27" s="207">
        <f t="shared" ref="E27" si="7">+C27</f>
        <v>161000</v>
      </c>
      <c r="F27" s="207"/>
      <c r="G27" s="207"/>
      <c r="H27" s="207"/>
      <c r="I27" s="207"/>
      <c r="J27" s="207"/>
      <c r="K27" s="207"/>
      <c r="L27" s="207"/>
      <c r="M27" s="207"/>
      <c r="N27" s="207"/>
      <c r="O27" s="207"/>
      <c r="P27" s="207"/>
      <c r="Q27" s="207"/>
      <c r="R27" s="207">
        <f t="shared" si="5"/>
        <v>161000</v>
      </c>
      <c r="S27" s="207">
        <f>+R27</f>
        <v>161000</v>
      </c>
      <c r="T27" s="207"/>
      <c r="U27" s="203"/>
    </row>
    <row r="28" spans="1:21" s="204" customFormat="1" ht="11.4">
      <c r="A28" s="201" t="s">
        <v>1656</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1645</v>
      </c>
      <c r="B29" s="206">
        <f t="shared" ref="B29:B38" si="8">SUM(C29+D29)</f>
        <v>0</v>
      </c>
      <c r="C29" s="207"/>
      <c r="D29" s="207"/>
      <c r="E29" s="207"/>
      <c r="F29" s="207"/>
      <c r="G29" s="207"/>
      <c r="H29" s="207"/>
      <c r="I29" s="207"/>
      <c r="J29" s="207"/>
      <c r="K29" s="207"/>
      <c r="L29" s="207"/>
      <c r="M29" s="207"/>
      <c r="N29" s="207"/>
      <c r="O29" s="207"/>
      <c r="P29" s="207"/>
      <c r="Q29" s="207"/>
      <c r="R29" s="207">
        <f t="shared" ref="R29:R37" si="9">SUM(E29:Q29)</f>
        <v>0</v>
      </c>
      <c r="S29" s="207"/>
      <c r="T29" s="207"/>
      <c r="U29" s="203"/>
    </row>
    <row r="30" spans="1:21" s="204" customFormat="1" ht="11.4">
      <c r="A30" s="205" t="s">
        <v>1646</v>
      </c>
      <c r="B30" s="206">
        <f t="shared" si="8"/>
        <v>0</v>
      </c>
      <c r="C30" s="207"/>
      <c r="D30" s="207"/>
      <c r="E30" s="207"/>
      <c r="F30" s="207"/>
      <c r="G30" s="207"/>
      <c r="H30" s="207"/>
      <c r="I30" s="207"/>
      <c r="J30" s="207"/>
      <c r="K30" s="207"/>
      <c r="L30" s="207"/>
      <c r="M30" s="207"/>
      <c r="N30" s="207"/>
      <c r="O30" s="207"/>
      <c r="P30" s="207"/>
      <c r="Q30" s="207"/>
      <c r="R30" s="207">
        <f t="shared" si="9"/>
        <v>0</v>
      </c>
      <c r="S30" s="207"/>
      <c r="T30" s="207"/>
      <c r="U30" s="203"/>
    </row>
    <row r="31" spans="1:21" s="204" customFormat="1" ht="11.4">
      <c r="A31" s="205" t="s">
        <v>1647</v>
      </c>
      <c r="B31" s="206">
        <f t="shared" si="8"/>
        <v>0</v>
      </c>
      <c r="C31" s="207"/>
      <c r="D31" s="207"/>
      <c r="E31" s="207"/>
      <c r="F31" s="207"/>
      <c r="G31" s="207"/>
      <c r="H31" s="207"/>
      <c r="I31" s="207"/>
      <c r="J31" s="207"/>
      <c r="K31" s="207"/>
      <c r="L31" s="207"/>
      <c r="M31" s="207"/>
      <c r="N31" s="207"/>
      <c r="O31" s="207"/>
      <c r="P31" s="207"/>
      <c r="Q31" s="207"/>
      <c r="R31" s="207">
        <f t="shared" si="9"/>
        <v>0</v>
      </c>
      <c r="S31" s="207"/>
      <c r="T31" s="207"/>
      <c r="U31" s="203"/>
    </row>
    <row r="32" spans="1:21" s="204" customFormat="1" ht="11.4">
      <c r="A32" s="205" t="s">
        <v>1648</v>
      </c>
      <c r="B32" s="206">
        <f t="shared" si="8"/>
        <v>0</v>
      </c>
      <c r="C32" s="207"/>
      <c r="D32" s="207"/>
      <c r="E32" s="207"/>
      <c r="F32" s="207"/>
      <c r="G32" s="207"/>
      <c r="H32" s="207"/>
      <c r="I32" s="207"/>
      <c r="J32" s="207"/>
      <c r="K32" s="207"/>
      <c r="L32" s="207"/>
      <c r="M32" s="207"/>
      <c r="N32" s="207"/>
      <c r="O32" s="207"/>
      <c r="P32" s="207"/>
      <c r="Q32" s="207"/>
      <c r="R32" s="207">
        <f t="shared" si="9"/>
        <v>0</v>
      </c>
      <c r="S32" s="207"/>
      <c r="T32" s="207"/>
      <c r="U32" s="203"/>
    </row>
    <row r="33" spans="1:21" s="204" customFormat="1" ht="11.4">
      <c r="A33" s="205" t="s">
        <v>1649</v>
      </c>
      <c r="B33" s="206">
        <f t="shared" si="8"/>
        <v>0</v>
      </c>
      <c r="C33" s="207"/>
      <c r="D33" s="207"/>
      <c r="E33" s="207"/>
      <c r="F33" s="207"/>
      <c r="G33" s="207"/>
      <c r="H33" s="207"/>
      <c r="I33" s="207"/>
      <c r="J33" s="207"/>
      <c r="K33" s="207"/>
      <c r="L33" s="207"/>
      <c r="M33" s="207"/>
      <c r="N33" s="207"/>
      <c r="O33" s="207"/>
      <c r="P33" s="207"/>
      <c r="Q33" s="207"/>
      <c r="R33" s="207">
        <f t="shared" si="9"/>
        <v>0</v>
      </c>
      <c r="S33" s="207"/>
      <c r="T33" s="207"/>
      <c r="U33" s="203"/>
    </row>
    <row r="34" spans="1:21" s="204" customFormat="1" ht="11.4">
      <c r="A34" s="205" t="s">
        <v>1650</v>
      </c>
      <c r="B34" s="206">
        <f t="shared" si="8"/>
        <v>0</v>
      </c>
      <c r="C34" s="207"/>
      <c r="D34" s="207"/>
      <c r="E34" s="207"/>
      <c r="F34" s="207"/>
      <c r="G34" s="207"/>
      <c r="H34" s="207"/>
      <c r="I34" s="207"/>
      <c r="J34" s="207"/>
      <c r="K34" s="207"/>
      <c r="L34" s="207"/>
      <c r="M34" s="207"/>
      <c r="N34" s="207"/>
      <c r="O34" s="207"/>
      <c r="P34" s="207"/>
      <c r="Q34" s="207"/>
      <c r="R34" s="207">
        <f t="shared" si="9"/>
        <v>0</v>
      </c>
      <c r="S34" s="207"/>
      <c r="T34" s="207"/>
      <c r="U34" s="203"/>
    </row>
    <row r="35" spans="1:21" s="204" customFormat="1" ht="11.4">
      <c r="A35" s="205" t="s">
        <v>1651</v>
      </c>
      <c r="B35" s="206">
        <f t="shared" si="8"/>
        <v>0</v>
      </c>
      <c r="C35" s="207"/>
      <c r="D35" s="207"/>
      <c r="E35" s="207"/>
      <c r="F35" s="207"/>
      <c r="G35" s="207"/>
      <c r="H35" s="207"/>
      <c r="I35" s="207"/>
      <c r="J35" s="207"/>
      <c r="K35" s="207"/>
      <c r="L35" s="207"/>
      <c r="M35" s="207"/>
      <c r="N35" s="207"/>
      <c r="O35" s="207"/>
      <c r="P35" s="207"/>
      <c r="Q35" s="207"/>
      <c r="R35" s="207">
        <f t="shared" si="9"/>
        <v>0</v>
      </c>
      <c r="S35" s="207"/>
      <c r="T35" s="207"/>
      <c r="U35" s="203"/>
    </row>
    <row r="36" spans="1:21" s="204" customFormat="1" ht="11.4">
      <c r="A36" s="216" t="s">
        <v>1652</v>
      </c>
      <c r="B36" s="206">
        <f t="shared" si="8"/>
        <v>0</v>
      </c>
      <c r="C36" s="207"/>
      <c r="D36" s="207"/>
      <c r="E36" s="207"/>
      <c r="F36" s="207"/>
      <c r="G36" s="207"/>
      <c r="H36" s="207"/>
      <c r="I36" s="207"/>
      <c r="J36" s="207"/>
      <c r="K36" s="207"/>
      <c r="L36" s="207"/>
      <c r="M36" s="207"/>
      <c r="N36" s="207"/>
      <c r="O36" s="207"/>
      <c r="P36" s="207"/>
      <c r="Q36" s="207"/>
      <c r="R36" s="207">
        <f t="shared" si="9"/>
        <v>0</v>
      </c>
      <c r="S36" s="207"/>
      <c r="T36" s="207"/>
      <c r="U36" s="203"/>
    </row>
    <row r="37" spans="1:21" s="204" customFormat="1" ht="11.4">
      <c r="A37" s="212" t="s">
        <v>1653</v>
      </c>
      <c r="B37" s="206">
        <f t="shared" si="8"/>
        <v>0</v>
      </c>
      <c r="C37" s="207"/>
      <c r="D37" s="207"/>
      <c r="E37" s="207"/>
      <c r="F37" s="207"/>
      <c r="G37" s="207"/>
      <c r="H37" s="207"/>
      <c r="I37" s="207"/>
      <c r="J37" s="207"/>
      <c r="K37" s="207"/>
      <c r="L37" s="207"/>
      <c r="M37" s="207"/>
      <c r="N37" s="207"/>
      <c r="O37" s="207"/>
      <c r="P37" s="207"/>
      <c r="Q37" s="207"/>
      <c r="R37" s="207">
        <f t="shared" si="9"/>
        <v>0</v>
      </c>
      <c r="S37" s="207"/>
      <c r="T37" s="207"/>
      <c r="U37" s="203"/>
    </row>
    <row r="38" spans="1:21" s="204" customFormat="1">
      <c r="A38" s="209" t="s">
        <v>1657</v>
      </c>
      <c r="B38" s="206">
        <f t="shared" si="8"/>
        <v>0</v>
      </c>
      <c r="C38" s="206">
        <f>SUM(C29:C37)</f>
        <v>0</v>
      </c>
      <c r="D38" s="206">
        <f>SUM(D29:D37)</f>
        <v>0</v>
      </c>
      <c r="E38" s="206">
        <f>SUM(E29:E37)</f>
        <v>0</v>
      </c>
      <c r="F38" s="206">
        <f t="shared" ref="F38:T38" si="10">SUM(F29:F37)</f>
        <v>0</v>
      </c>
      <c r="G38" s="206">
        <f t="shared" si="10"/>
        <v>0</v>
      </c>
      <c r="H38" s="206">
        <f t="shared" si="10"/>
        <v>0</v>
      </c>
      <c r="I38" s="206">
        <f t="shared" si="10"/>
        <v>0</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0</v>
      </c>
      <c r="S38" s="210">
        <f t="shared" si="10"/>
        <v>0</v>
      </c>
      <c r="T38" s="210">
        <f t="shared" si="10"/>
        <v>0</v>
      </c>
      <c r="U38" s="203"/>
    </row>
    <row r="39" spans="1:21" s="204" customFormat="1" ht="11.4">
      <c r="A39" s="201" t="s">
        <v>1658</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1659</v>
      </c>
      <c r="B40" s="206">
        <f>SUM(C40+D40)</f>
        <v>100000</v>
      </c>
      <c r="C40" s="207">
        <v>100000</v>
      </c>
      <c r="D40" s="207"/>
      <c r="E40" s="207">
        <f t="shared" ref="E40" si="11">+C40</f>
        <v>100000</v>
      </c>
      <c r="F40" s="207"/>
      <c r="G40" s="207"/>
      <c r="H40" s="207"/>
      <c r="I40" s="207"/>
      <c r="J40" s="207"/>
      <c r="K40" s="207"/>
      <c r="L40" s="207"/>
      <c r="M40" s="207"/>
      <c r="N40" s="207"/>
      <c r="O40" s="207"/>
      <c r="P40" s="207"/>
      <c r="Q40" s="207"/>
      <c r="R40" s="207">
        <f>SUM(E40:Q40)</f>
        <v>100000</v>
      </c>
      <c r="S40" s="207">
        <f>+R40</f>
        <v>100000</v>
      </c>
      <c r="T40" s="207"/>
      <c r="U40" s="203"/>
    </row>
    <row r="41" spans="1:21" s="204" customFormat="1" ht="11.4">
      <c r="A41" s="205" t="s">
        <v>1660</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c r="A42" s="209" t="s">
        <v>1661</v>
      </c>
      <c r="B42" s="206">
        <f>SUM(C42:D42)</f>
        <v>100000</v>
      </c>
      <c r="C42" s="206">
        <f>SUM(C39:C41)</f>
        <v>100000</v>
      </c>
      <c r="D42" s="206">
        <f>SUM(D39:D41)</f>
        <v>0</v>
      </c>
      <c r="E42" s="206">
        <f t="shared" ref="E42:T42" si="12">SUM(E40:E41)</f>
        <v>100000</v>
      </c>
      <c r="F42" s="206">
        <f t="shared" si="12"/>
        <v>0</v>
      </c>
      <c r="G42" s="206">
        <f t="shared" si="12"/>
        <v>0</v>
      </c>
      <c r="H42" s="206">
        <f t="shared" si="12"/>
        <v>0</v>
      </c>
      <c r="I42" s="206">
        <f t="shared" si="12"/>
        <v>0</v>
      </c>
      <c r="J42" s="206">
        <f t="shared" si="12"/>
        <v>0</v>
      </c>
      <c r="K42" s="206">
        <f t="shared" si="12"/>
        <v>0</v>
      </c>
      <c r="L42" s="206">
        <f t="shared" si="12"/>
        <v>0</v>
      </c>
      <c r="M42" s="206">
        <f t="shared" si="12"/>
        <v>0</v>
      </c>
      <c r="N42" s="206">
        <f t="shared" si="12"/>
        <v>0</v>
      </c>
      <c r="O42" s="206">
        <f t="shared" si="12"/>
        <v>0</v>
      </c>
      <c r="P42" s="206">
        <f t="shared" si="12"/>
        <v>0</v>
      </c>
      <c r="Q42" s="206">
        <f t="shared" si="12"/>
        <v>0</v>
      </c>
      <c r="R42" s="206">
        <f t="shared" si="12"/>
        <v>100000</v>
      </c>
      <c r="S42" s="210">
        <f t="shared" si="12"/>
        <v>100000</v>
      </c>
      <c r="T42" s="210">
        <f t="shared" si="12"/>
        <v>0</v>
      </c>
      <c r="U42" s="203"/>
    </row>
    <row r="43" spans="1:21" s="204" customFormat="1">
      <c r="A43" s="209" t="s">
        <v>1662</v>
      </c>
      <c r="B43" s="206">
        <f>SUM(C43:D43)</f>
        <v>82500</v>
      </c>
      <c r="C43" s="207">
        <f>75000+7500</f>
        <v>82500</v>
      </c>
      <c r="D43" s="207"/>
      <c r="E43" s="207">
        <f t="shared" ref="E43" si="13">+C43</f>
        <v>82500</v>
      </c>
      <c r="F43" s="207">
        <v>0</v>
      </c>
      <c r="G43" s="207"/>
      <c r="H43" s="207"/>
      <c r="I43" s="207"/>
      <c r="J43" s="207"/>
      <c r="K43" s="207"/>
      <c r="L43" s="207"/>
      <c r="M43" s="207"/>
      <c r="N43" s="207"/>
      <c r="O43" s="207"/>
      <c r="P43" s="207"/>
      <c r="Q43" s="207"/>
      <c r="R43" s="207">
        <f>SUM(E43:Q43)</f>
        <v>82500</v>
      </c>
      <c r="S43" s="207">
        <f>+R43</f>
        <v>82500</v>
      </c>
      <c r="T43" s="207"/>
      <c r="U43" s="203"/>
    </row>
    <row r="44" spans="1:21" s="204" customFormat="1" ht="11.4">
      <c r="A44" s="201" t="s">
        <v>1663</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1664</v>
      </c>
      <c r="B45" s="206">
        <f t="shared" ref="B45:B52" si="14">SUM(C45+D45)</f>
        <v>301304</v>
      </c>
      <c r="C45" s="207">
        <v>301304</v>
      </c>
      <c r="D45" s="207"/>
      <c r="E45" s="207">
        <f t="shared" ref="E45:E47" si="15">+C45</f>
        <v>301304</v>
      </c>
      <c r="F45" s="207"/>
      <c r="G45" s="207"/>
      <c r="H45" s="207"/>
      <c r="I45" s="207"/>
      <c r="J45" s="207"/>
      <c r="K45" s="207"/>
      <c r="L45" s="207"/>
      <c r="M45" s="207"/>
      <c r="N45" s="207"/>
      <c r="O45" s="207"/>
      <c r="P45" s="207"/>
      <c r="Q45" s="207"/>
      <c r="R45" s="207">
        <f t="shared" ref="R45:R52" si="16">SUM(E45:Q45)</f>
        <v>301304</v>
      </c>
      <c r="S45" s="207">
        <v>94695</v>
      </c>
      <c r="T45" s="207"/>
      <c r="U45" s="203"/>
    </row>
    <row r="46" spans="1:21" s="204" customFormat="1" ht="11.4">
      <c r="A46" s="205" t="s">
        <v>1665</v>
      </c>
      <c r="B46" s="206">
        <f t="shared" si="14"/>
        <v>27346</v>
      </c>
      <c r="C46" s="207">
        <v>27346</v>
      </c>
      <c r="D46" s="207"/>
      <c r="E46" s="207">
        <f t="shared" si="15"/>
        <v>27346</v>
      </c>
      <c r="F46" s="207"/>
      <c r="G46" s="207"/>
      <c r="H46" s="207"/>
      <c r="I46" s="207"/>
      <c r="J46" s="207"/>
      <c r="K46" s="207"/>
      <c r="L46" s="207"/>
      <c r="M46" s="207"/>
      <c r="N46" s="207"/>
      <c r="O46" s="207"/>
      <c r="P46" s="207"/>
      <c r="Q46" s="207"/>
      <c r="R46" s="207">
        <f t="shared" si="16"/>
        <v>27346</v>
      </c>
      <c r="S46" s="207">
        <v>8595</v>
      </c>
      <c r="T46" s="207"/>
      <c r="U46" s="203"/>
    </row>
    <row r="47" spans="1:21" s="204" customFormat="1" ht="12" customHeight="1">
      <c r="A47" s="205" t="s">
        <v>1666</v>
      </c>
      <c r="B47" s="206">
        <f t="shared" si="14"/>
        <v>20000</v>
      </c>
      <c r="C47" s="207">
        <v>20000</v>
      </c>
      <c r="D47" s="207"/>
      <c r="E47" s="207">
        <f t="shared" si="15"/>
        <v>20000</v>
      </c>
      <c r="F47" s="207"/>
      <c r="G47" s="207"/>
      <c r="H47" s="207"/>
      <c r="I47" s="207"/>
      <c r="J47" s="207"/>
      <c r="K47" s="207"/>
      <c r="L47" s="207"/>
      <c r="M47" s="207"/>
      <c r="N47" s="207"/>
      <c r="O47" s="207"/>
      <c r="P47" s="207"/>
      <c r="Q47" s="207"/>
      <c r="R47" s="207">
        <f t="shared" si="16"/>
        <v>20000</v>
      </c>
      <c r="S47" s="207">
        <v>6286</v>
      </c>
      <c r="T47" s="207"/>
      <c r="U47" s="203"/>
    </row>
    <row r="48" spans="1:21" s="204" customFormat="1" ht="11.4">
      <c r="A48" s="205" t="s">
        <v>1667</v>
      </c>
      <c r="B48" s="206">
        <f t="shared" si="14"/>
        <v>0</v>
      </c>
      <c r="C48" s="207"/>
      <c r="D48" s="207"/>
      <c r="E48" s="207"/>
      <c r="F48" s="207"/>
      <c r="G48" s="207"/>
      <c r="H48" s="207"/>
      <c r="I48" s="207"/>
      <c r="J48" s="207"/>
      <c r="K48" s="207"/>
      <c r="L48" s="207"/>
      <c r="M48" s="207"/>
      <c r="N48" s="207"/>
      <c r="O48" s="207"/>
      <c r="P48" s="207"/>
      <c r="Q48" s="207"/>
      <c r="R48" s="207">
        <f t="shared" si="16"/>
        <v>0</v>
      </c>
      <c r="S48" s="207"/>
      <c r="T48" s="207"/>
      <c r="U48" s="203"/>
    </row>
    <row r="49" spans="1:21" s="204" customFormat="1" ht="11.4">
      <c r="A49" s="205" t="s">
        <v>1668</v>
      </c>
      <c r="B49" s="206">
        <f t="shared" si="14"/>
        <v>50000</v>
      </c>
      <c r="C49" s="207">
        <v>50000</v>
      </c>
      <c r="D49" s="207"/>
      <c r="E49" s="207">
        <f t="shared" ref="E49:E51" si="17">+C49</f>
        <v>50000</v>
      </c>
      <c r="F49" s="207"/>
      <c r="G49" s="207"/>
      <c r="H49" s="207"/>
      <c r="I49" s="207"/>
      <c r="J49" s="207"/>
      <c r="K49" s="207"/>
      <c r="L49" s="207"/>
      <c r="M49" s="207"/>
      <c r="N49" s="207"/>
      <c r="O49" s="207"/>
      <c r="P49" s="207"/>
      <c r="Q49" s="207"/>
      <c r="R49" s="207">
        <f t="shared" si="16"/>
        <v>50000</v>
      </c>
      <c r="S49" s="207">
        <f>+R49</f>
        <v>50000</v>
      </c>
      <c r="T49" s="207"/>
      <c r="U49" s="203"/>
    </row>
    <row r="50" spans="1:21" s="204" customFormat="1" ht="11.4">
      <c r="A50" s="205" t="s">
        <v>1669</v>
      </c>
      <c r="B50" s="206">
        <f t="shared" si="14"/>
        <v>10000</v>
      </c>
      <c r="C50" s="207">
        <v>10000</v>
      </c>
      <c r="D50" s="207"/>
      <c r="E50" s="207">
        <f t="shared" si="17"/>
        <v>10000</v>
      </c>
      <c r="F50" s="207"/>
      <c r="G50" s="207"/>
      <c r="H50" s="207"/>
      <c r="I50" s="207"/>
      <c r="J50" s="207"/>
      <c r="K50" s="207"/>
      <c r="L50" s="207"/>
      <c r="M50" s="207"/>
      <c r="N50" s="207"/>
      <c r="O50" s="207"/>
      <c r="P50" s="207"/>
      <c r="Q50" s="207"/>
      <c r="R50" s="207">
        <f t="shared" si="16"/>
        <v>10000</v>
      </c>
      <c r="S50" s="207">
        <f>+R50</f>
        <v>10000</v>
      </c>
      <c r="T50" s="207"/>
      <c r="U50" s="203"/>
    </row>
    <row r="51" spans="1:21" s="204" customFormat="1" ht="11.4">
      <c r="A51" s="205" t="s">
        <v>1670</v>
      </c>
      <c r="B51" s="206">
        <f t="shared" si="14"/>
        <v>50000</v>
      </c>
      <c r="C51" s="207">
        <v>50000</v>
      </c>
      <c r="D51" s="207"/>
      <c r="E51" s="207">
        <f t="shared" si="17"/>
        <v>50000</v>
      </c>
      <c r="F51" s="207"/>
      <c r="G51" s="207"/>
      <c r="H51" s="207"/>
      <c r="I51" s="207"/>
      <c r="J51" s="207"/>
      <c r="K51" s="207"/>
      <c r="L51" s="207"/>
      <c r="M51" s="207"/>
      <c r="N51" s="207"/>
      <c r="O51" s="207"/>
      <c r="P51" s="207"/>
      <c r="Q51" s="207"/>
      <c r="R51" s="207">
        <f t="shared" si="16"/>
        <v>50000</v>
      </c>
      <c r="S51" s="207">
        <f>+R51</f>
        <v>50000</v>
      </c>
      <c r="T51" s="207"/>
      <c r="U51" s="203"/>
    </row>
    <row r="52" spans="1:21" s="204" customFormat="1" ht="11.4">
      <c r="A52" s="212" t="s">
        <v>1653</v>
      </c>
      <c r="B52" s="206">
        <f t="shared" si="14"/>
        <v>0</v>
      </c>
      <c r="C52" s="207"/>
      <c r="D52" s="207"/>
      <c r="E52" s="207"/>
      <c r="F52" s="207"/>
      <c r="G52" s="207"/>
      <c r="H52" s="207"/>
      <c r="I52" s="207"/>
      <c r="J52" s="207"/>
      <c r="K52" s="207"/>
      <c r="L52" s="207"/>
      <c r="M52" s="207"/>
      <c r="N52" s="207"/>
      <c r="O52" s="207"/>
      <c r="P52" s="207"/>
      <c r="Q52" s="207"/>
      <c r="R52" s="207">
        <f t="shared" si="16"/>
        <v>0</v>
      </c>
      <c r="S52" s="207"/>
      <c r="T52" s="207"/>
      <c r="U52" s="203"/>
    </row>
    <row r="53" spans="1:21" s="214" customFormat="1">
      <c r="A53" s="209" t="s">
        <v>1671</v>
      </c>
      <c r="B53" s="210">
        <f>SUM(C53:D53)</f>
        <v>458650</v>
      </c>
      <c r="C53" s="210">
        <f t="shared" ref="C53:T53" si="18">SUM(C45:C52)</f>
        <v>458650</v>
      </c>
      <c r="D53" s="210">
        <f t="shared" si="18"/>
        <v>0</v>
      </c>
      <c r="E53" s="210">
        <f t="shared" si="18"/>
        <v>458650</v>
      </c>
      <c r="F53" s="210">
        <f t="shared" si="18"/>
        <v>0</v>
      </c>
      <c r="G53" s="210">
        <f t="shared" si="18"/>
        <v>0</v>
      </c>
      <c r="H53" s="210">
        <f t="shared" si="18"/>
        <v>0</v>
      </c>
      <c r="I53" s="210">
        <f t="shared" si="18"/>
        <v>0</v>
      </c>
      <c r="J53" s="210">
        <f t="shared" si="18"/>
        <v>0</v>
      </c>
      <c r="K53" s="210">
        <f t="shared" si="18"/>
        <v>0</v>
      </c>
      <c r="L53" s="210">
        <f t="shared" si="18"/>
        <v>0</v>
      </c>
      <c r="M53" s="210">
        <f t="shared" si="18"/>
        <v>0</v>
      </c>
      <c r="N53" s="210">
        <f t="shared" si="18"/>
        <v>0</v>
      </c>
      <c r="O53" s="210">
        <f t="shared" si="18"/>
        <v>0</v>
      </c>
      <c r="P53" s="210">
        <f t="shared" si="18"/>
        <v>0</v>
      </c>
      <c r="Q53" s="210">
        <f t="shared" si="18"/>
        <v>0</v>
      </c>
      <c r="R53" s="206">
        <f t="shared" si="18"/>
        <v>458650</v>
      </c>
      <c r="S53" s="210">
        <f t="shared" si="18"/>
        <v>219576</v>
      </c>
      <c r="T53" s="210">
        <f t="shared" si="18"/>
        <v>0</v>
      </c>
      <c r="U53" s="213"/>
    </row>
    <row r="54" spans="1:21" s="204" customFormat="1" ht="11.4">
      <c r="A54" s="201" t="s">
        <v>1256</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1672</v>
      </c>
      <c r="B55" s="206">
        <f t="shared" ref="B55:B60" si="19">SUM(C55+D55)</f>
        <v>15647</v>
      </c>
      <c r="C55" s="207">
        <v>15647</v>
      </c>
      <c r="D55" s="207"/>
      <c r="E55" s="207">
        <f t="shared" ref="E55:E57" si="20">+C55</f>
        <v>15647</v>
      </c>
      <c r="F55" s="207"/>
      <c r="G55" s="207"/>
      <c r="H55" s="207"/>
      <c r="I55" s="207"/>
      <c r="J55" s="207"/>
      <c r="K55" s="207"/>
      <c r="L55" s="207"/>
      <c r="M55" s="207"/>
      <c r="N55" s="207"/>
      <c r="O55" s="207"/>
      <c r="P55" s="207"/>
      <c r="Q55" s="207"/>
      <c r="R55" s="207">
        <f t="shared" ref="R55:R60" si="21">SUM(E55:Q55)</f>
        <v>15647</v>
      </c>
      <c r="S55" s="208"/>
      <c r="T55" s="208"/>
      <c r="U55" s="203"/>
    </row>
    <row r="56" spans="1:21" s="204" customFormat="1" ht="12" customHeight="1">
      <c r="A56" s="205" t="s">
        <v>1666</v>
      </c>
      <c r="B56" s="206">
        <f t="shared" si="19"/>
        <v>15000</v>
      </c>
      <c r="C56" s="207">
        <v>15000</v>
      </c>
      <c r="D56" s="207"/>
      <c r="E56" s="207">
        <f t="shared" si="20"/>
        <v>15000</v>
      </c>
      <c r="F56" s="207"/>
      <c r="G56" s="207"/>
      <c r="H56" s="207"/>
      <c r="I56" s="207"/>
      <c r="J56" s="207"/>
      <c r="K56" s="207"/>
      <c r="L56" s="207"/>
      <c r="M56" s="207"/>
      <c r="N56" s="207"/>
      <c r="O56" s="207"/>
      <c r="P56" s="207"/>
      <c r="Q56" s="207"/>
      <c r="R56" s="207">
        <f t="shared" si="21"/>
        <v>15000</v>
      </c>
      <c r="S56" s="208"/>
      <c r="T56" s="208"/>
      <c r="U56" s="203"/>
    </row>
    <row r="57" spans="1:21" s="204" customFormat="1" ht="11.4">
      <c r="A57" s="205" t="s">
        <v>1668</v>
      </c>
      <c r="B57" s="206">
        <f t="shared" si="19"/>
        <v>15000</v>
      </c>
      <c r="C57" s="207">
        <v>15000</v>
      </c>
      <c r="D57" s="207"/>
      <c r="E57" s="207">
        <f t="shared" si="20"/>
        <v>15000</v>
      </c>
      <c r="F57" s="207"/>
      <c r="G57" s="207"/>
      <c r="H57" s="207"/>
      <c r="I57" s="207"/>
      <c r="J57" s="207"/>
      <c r="K57" s="207"/>
      <c r="L57" s="207"/>
      <c r="M57" s="207"/>
      <c r="N57" s="207"/>
      <c r="O57" s="207"/>
      <c r="P57" s="207"/>
      <c r="Q57" s="207"/>
      <c r="R57" s="207">
        <f t="shared" si="21"/>
        <v>15000</v>
      </c>
      <c r="S57" s="208"/>
      <c r="T57" s="208"/>
      <c r="U57" s="203"/>
    </row>
    <row r="58" spans="1:21" s="204" customFormat="1" ht="11.4">
      <c r="A58" s="205" t="s">
        <v>1669</v>
      </c>
      <c r="B58" s="206">
        <f t="shared" si="19"/>
        <v>0</v>
      </c>
      <c r="C58" s="207"/>
      <c r="D58" s="207"/>
      <c r="E58" s="207"/>
      <c r="F58" s="207"/>
      <c r="G58" s="207"/>
      <c r="H58" s="207"/>
      <c r="I58" s="207"/>
      <c r="J58" s="207"/>
      <c r="K58" s="207"/>
      <c r="L58" s="207"/>
      <c r="M58" s="207"/>
      <c r="N58" s="207"/>
      <c r="O58" s="207"/>
      <c r="P58" s="207"/>
      <c r="Q58" s="207"/>
      <c r="R58" s="207">
        <f t="shared" si="21"/>
        <v>0</v>
      </c>
      <c r="S58" s="208"/>
      <c r="T58" s="208"/>
      <c r="U58" s="203"/>
    </row>
    <row r="59" spans="1:21" s="204" customFormat="1" ht="11.4">
      <c r="A59" s="205" t="s">
        <v>1670</v>
      </c>
      <c r="B59" s="206">
        <f t="shared" si="19"/>
        <v>0</v>
      </c>
      <c r="C59" s="207"/>
      <c r="D59" s="207"/>
      <c r="E59" s="207"/>
      <c r="F59" s="207"/>
      <c r="G59" s="207"/>
      <c r="H59" s="207"/>
      <c r="I59" s="207"/>
      <c r="J59" s="207"/>
      <c r="K59" s="207"/>
      <c r="L59" s="207"/>
      <c r="M59" s="207"/>
      <c r="N59" s="207"/>
      <c r="O59" s="207"/>
      <c r="P59" s="207"/>
      <c r="Q59" s="207"/>
      <c r="R59" s="207">
        <f t="shared" si="21"/>
        <v>0</v>
      </c>
      <c r="S59" s="208"/>
      <c r="T59" s="208"/>
      <c r="U59" s="203"/>
    </row>
    <row r="60" spans="1:21" s="204" customFormat="1" ht="11.4">
      <c r="A60" s="212" t="s">
        <v>1653</v>
      </c>
      <c r="B60" s="206">
        <f t="shared" si="19"/>
        <v>0</v>
      </c>
      <c r="C60" s="207"/>
      <c r="D60" s="207"/>
      <c r="E60" s="207"/>
      <c r="F60" s="207"/>
      <c r="G60" s="207"/>
      <c r="H60" s="207"/>
      <c r="I60" s="207"/>
      <c r="J60" s="207"/>
      <c r="K60" s="207"/>
      <c r="L60" s="207"/>
      <c r="M60" s="207"/>
      <c r="N60" s="207"/>
      <c r="O60" s="207"/>
      <c r="P60" s="207"/>
      <c r="Q60" s="207"/>
      <c r="R60" s="207">
        <f t="shared" si="21"/>
        <v>0</v>
      </c>
      <c r="S60" s="208"/>
      <c r="T60" s="208"/>
      <c r="U60" s="203"/>
    </row>
    <row r="61" spans="1:21" s="204" customFormat="1" ht="14.1" customHeight="1">
      <c r="A61" s="209" t="s">
        <v>1673</v>
      </c>
      <c r="B61" s="206">
        <f>SUM(C61:D61)</f>
        <v>45647</v>
      </c>
      <c r="C61" s="206">
        <f t="shared" ref="C61:R61" si="22">SUM(C55:C60)</f>
        <v>45647</v>
      </c>
      <c r="D61" s="206">
        <f t="shared" si="22"/>
        <v>0</v>
      </c>
      <c r="E61" s="206">
        <f t="shared" si="22"/>
        <v>45647</v>
      </c>
      <c r="F61" s="206">
        <f t="shared" si="22"/>
        <v>0</v>
      </c>
      <c r="G61" s="206">
        <f t="shared" si="22"/>
        <v>0</v>
      </c>
      <c r="H61" s="206">
        <f t="shared" si="22"/>
        <v>0</v>
      </c>
      <c r="I61" s="206">
        <f t="shared" si="22"/>
        <v>0</v>
      </c>
      <c r="J61" s="206">
        <f t="shared" si="22"/>
        <v>0</v>
      </c>
      <c r="K61" s="206">
        <f t="shared" si="22"/>
        <v>0</v>
      </c>
      <c r="L61" s="206">
        <f t="shared" si="22"/>
        <v>0</v>
      </c>
      <c r="M61" s="206">
        <f t="shared" si="22"/>
        <v>0</v>
      </c>
      <c r="N61" s="206">
        <f t="shared" si="22"/>
        <v>0</v>
      </c>
      <c r="O61" s="206">
        <f t="shared" si="22"/>
        <v>0</v>
      </c>
      <c r="P61" s="206">
        <f t="shared" si="22"/>
        <v>0</v>
      </c>
      <c r="Q61" s="206">
        <f t="shared" si="22"/>
        <v>0</v>
      </c>
      <c r="R61" s="206">
        <f t="shared" si="22"/>
        <v>45647</v>
      </c>
      <c r="S61" s="208"/>
      <c r="T61" s="208"/>
      <c r="U61" s="203"/>
    </row>
    <row r="62" spans="1:21" s="204" customFormat="1" ht="11.4">
      <c r="A62" s="215" t="s">
        <v>1674</v>
      </c>
      <c r="B62" s="206">
        <f>SUM(C62:D62)</f>
        <v>5850653</v>
      </c>
      <c r="C62" s="206">
        <f t="shared" ref="C62:R62" si="23">SUM(C8+C11+C13+C14+C15+C26+C27+C38+C42+C43+C53+C61)</f>
        <v>5850653</v>
      </c>
      <c r="D62" s="206">
        <f t="shared" si="23"/>
        <v>0</v>
      </c>
      <c r="E62" s="206">
        <f t="shared" si="23"/>
        <v>3322383</v>
      </c>
      <c r="F62" s="206">
        <f t="shared" si="23"/>
        <v>1941442</v>
      </c>
      <c r="G62" s="206">
        <f t="shared" si="23"/>
        <v>144836</v>
      </c>
      <c r="H62" s="206">
        <f t="shared" si="23"/>
        <v>341992</v>
      </c>
      <c r="I62" s="206">
        <f t="shared" si="23"/>
        <v>100000</v>
      </c>
      <c r="J62" s="206">
        <f t="shared" si="23"/>
        <v>0</v>
      </c>
      <c r="K62" s="206">
        <f t="shared" si="23"/>
        <v>0</v>
      </c>
      <c r="L62" s="206">
        <f t="shared" si="23"/>
        <v>0</v>
      </c>
      <c r="M62" s="206">
        <f t="shared" si="23"/>
        <v>0</v>
      </c>
      <c r="N62" s="206">
        <f t="shared" si="23"/>
        <v>0</v>
      </c>
      <c r="O62" s="206">
        <f t="shared" si="23"/>
        <v>0</v>
      </c>
      <c r="P62" s="206">
        <f t="shared" si="23"/>
        <v>0</v>
      </c>
      <c r="Q62" s="206">
        <f t="shared" si="23"/>
        <v>0</v>
      </c>
      <c r="R62" s="206">
        <f t="shared" si="23"/>
        <v>5850653</v>
      </c>
      <c r="S62" s="206">
        <f>SUM(S10+S13+S14+S15+S26+S27+S38+S42+S43+S53)</f>
        <v>3453611</v>
      </c>
      <c r="T62" s="206">
        <f>SUM(T11+T13+T14+T15+T26+T27+T38+T42+T43+T53)</f>
        <v>0</v>
      </c>
      <c r="U62" s="203"/>
    </row>
    <row r="63" spans="1:21" s="204" customFormat="1" ht="22.8">
      <c r="A63" s="201" t="s">
        <v>1675</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1676</v>
      </c>
      <c r="B64" s="206">
        <f>SUM(C64+D64)</f>
        <v>75000</v>
      </c>
      <c r="C64" s="207">
        <f>25000+50000</f>
        <v>75000</v>
      </c>
      <c r="D64" s="207"/>
      <c r="E64" s="207">
        <f t="shared" ref="E64" si="24">+C64</f>
        <v>75000</v>
      </c>
      <c r="F64" s="207"/>
      <c r="G64" s="207"/>
      <c r="H64" s="207"/>
      <c r="I64" s="207"/>
      <c r="J64" s="207"/>
      <c r="K64" s="207"/>
      <c r="L64" s="207"/>
      <c r="M64" s="207"/>
      <c r="N64" s="207"/>
      <c r="O64" s="207"/>
      <c r="P64" s="207"/>
      <c r="Q64" s="207"/>
      <c r="R64" s="207">
        <f>SUM(E64:Q64)</f>
        <v>75000</v>
      </c>
      <c r="S64" s="207">
        <v>15714</v>
      </c>
      <c r="T64" s="207"/>
      <c r="U64" s="203"/>
    </row>
    <row r="65" spans="1:21" s="204" customFormat="1" ht="22.8">
      <c r="A65" s="205" t="s">
        <v>1677</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2.8">
      <c r="A66" s="205" t="s">
        <v>1678</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1679</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1680</v>
      </c>
      <c r="B68" s="206">
        <f>SUM(C68+D68)</f>
        <v>55000</v>
      </c>
      <c r="C68" s="207">
        <f>50000+5000</f>
        <v>55000</v>
      </c>
      <c r="D68" s="207"/>
      <c r="E68" s="207">
        <f t="shared" ref="E68" si="25">+C68</f>
        <v>55000</v>
      </c>
      <c r="F68" s="207"/>
      <c r="G68" s="207"/>
      <c r="H68" s="207"/>
      <c r="I68" s="207"/>
      <c r="J68" s="207"/>
      <c r="K68" s="207"/>
      <c r="L68" s="207"/>
      <c r="M68" s="207"/>
      <c r="N68" s="207"/>
      <c r="O68" s="207"/>
      <c r="P68" s="207"/>
      <c r="Q68" s="207"/>
      <c r="R68" s="207">
        <f>SUM(E68:Q68)</f>
        <v>55000</v>
      </c>
      <c r="S68" s="207">
        <v>50000</v>
      </c>
      <c r="T68" s="207"/>
      <c r="U68" s="203"/>
    </row>
    <row r="69" spans="1:21" s="204" customFormat="1">
      <c r="A69" s="209" t="s">
        <v>1681</v>
      </c>
      <c r="B69" s="206">
        <f>SUM(C69:D69)</f>
        <v>130000</v>
      </c>
      <c r="C69" s="206">
        <f>SUM(C63:C68)</f>
        <v>130000</v>
      </c>
      <c r="D69" s="206">
        <f>SUM(D63:D68)</f>
        <v>0</v>
      </c>
      <c r="E69" s="206">
        <f t="shared" ref="E69:T69" si="26">SUM(E64:E68)</f>
        <v>130000</v>
      </c>
      <c r="F69" s="206">
        <f t="shared" si="26"/>
        <v>0</v>
      </c>
      <c r="G69" s="206">
        <f t="shared" si="26"/>
        <v>0</v>
      </c>
      <c r="H69" s="206">
        <f t="shared" si="26"/>
        <v>0</v>
      </c>
      <c r="I69" s="206">
        <f t="shared" si="26"/>
        <v>0</v>
      </c>
      <c r="J69" s="206">
        <f t="shared" si="26"/>
        <v>0</v>
      </c>
      <c r="K69" s="206">
        <f t="shared" si="26"/>
        <v>0</v>
      </c>
      <c r="L69" s="206">
        <f t="shared" si="26"/>
        <v>0</v>
      </c>
      <c r="M69" s="206">
        <f t="shared" si="26"/>
        <v>0</v>
      </c>
      <c r="N69" s="206">
        <f t="shared" si="26"/>
        <v>0</v>
      </c>
      <c r="O69" s="206">
        <f t="shared" si="26"/>
        <v>0</v>
      </c>
      <c r="P69" s="206">
        <f t="shared" si="26"/>
        <v>0</v>
      </c>
      <c r="Q69" s="206">
        <f t="shared" si="26"/>
        <v>0</v>
      </c>
      <c r="R69" s="206">
        <f t="shared" si="26"/>
        <v>130000</v>
      </c>
      <c r="S69" s="210">
        <f t="shared" si="26"/>
        <v>65714</v>
      </c>
      <c r="T69" s="210">
        <f t="shared" si="26"/>
        <v>0</v>
      </c>
      <c r="U69" s="203"/>
    </row>
    <row r="70" spans="1:21" s="204" customFormat="1" ht="11.4">
      <c r="A70" s="201" t="s">
        <v>1682</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1683</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1684</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1" t="s">
        <v>1685</v>
      </c>
      <c r="B73" s="206">
        <f>SUM(C73+D73)</f>
        <v>23000</v>
      </c>
      <c r="C73" s="207">
        <v>23000</v>
      </c>
      <c r="D73" s="207"/>
      <c r="E73" s="207">
        <f t="shared" ref="E73:E74" si="27">+C73</f>
        <v>23000</v>
      </c>
      <c r="F73" s="207"/>
      <c r="G73" s="207"/>
      <c r="H73" s="207"/>
      <c r="I73" s="207"/>
      <c r="J73" s="207"/>
      <c r="K73" s="207"/>
      <c r="L73" s="207"/>
      <c r="M73" s="207"/>
      <c r="N73" s="207"/>
      <c r="O73" s="207"/>
      <c r="P73" s="207"/>
      <c r="Q73" s="207"/>
      <c r="R73" s="207">
        <f>SUM(E73:Q73)</f>
        <v>23000</v>
      </c>
      <c r="S73" s="208"/>
      <c r="T73" s="208"/>
      <c r="U73" s="203"/>
    </row>
    <row r="74" spans="1:21" s="204" customFormat="1" ht="11.4">
      <c r="A74" s="205" t="s">
        <v>1686</v>
      </c>
      <c r="B74" s="206">
        <f>SUM(C74+D74)</f>
        <v>75106.914407576332</v>
      </c>
      <c r="C74" s="207">
        <f>+Application!AC865</f>
        <v>75106.914407576332</v>
      </c>
      <c r="D74" s="207"/>
      <c r="E74" s="207">
        <f t="shared" si="27"/>
        <v>75106.914407576332</v>
      </c>
      <c r="F74" s="207"/>
      <c r="G74" s="207"/>
      <c r="H74" s="207"/>
      <c r="I74" s="207"/>
      <c r="J74" s="207"/>
      <c r="K74" s="207"/>
      <c r="L74" s="207"/>
      <c r="M74" s="207"/>
      <c r="N74" s="207"/>
      <c r="O74" s="207"/>
      <c r="P74" s="207"/>
      <c r="Q74" s="207"/>
      <c r="R74" s="207">
        <f>SUM(E74:Q74)</f>
        <v>75106.914407576332</v>
      </c>
      <c r="S74" s="208"/>
      <c r="T74" s="208"/>
      <c r="U74" s="203"/>
    </row>
    <row r="75" spans="1:21" s="204" customFormat="1" ht="11.4">
      <c r="A75" s="212" t="s">
        <v>1653</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1687</v>
      </c>
      <c r="B76" s="206">
        <f>SUM(C76:D76)</f>
        <v>98106.914407576332</v>
      </c>
      <c r="C76" s="206">
        <f t="shared" ref="C76:Q76" si="28">SUM(C71:C75)</f>
        <v>98106.914407576332</v>
      </c>
      <c r="D76" s="206">
        <f t="shared" si="28"/>
        <v>0</v>
      </c>
      <c r="E76" s="206">
        <f>SUM(E71:E75)</f>
        <v>98106.914407576332</v>
      </c>
      <c r="F76" s="206">
        <f>SUM(F71:F75)</f>
        <v>0</v>
      </c>
      <c r="G76" s="206">
        <f>SUM(G71:G75)</f>
        <v>0</v>
      </c>
      <c r="H76" s="206">
        <f t="shared" si="28"/>
        <v>0</v>
      </c>
      <c r="I76" s="206">
        <f t="shared" si="28"/>
        <v>0</v>
      </c>
      <c r="J76" s="206">
        <f t="shared" si="28"/>
        <v>0</v>
      </c>
      <c r="K76" s="206">
        <f t="shared" si="28"/>
        <v>0</v>
      </c>
      <c r="L76" s="206">
        <f t="shared" si="28"/>
        <v>0</v>
      </c>
      <c r="M76" s="206">
        <f t="shared" si="28"/>
        <v>0</v>
      </c>
      <c r="N76" s="206">
        <f t="shared" si="28"/>
        <v>0</v>
      </c>
      <c r="O76" s="206">
        <f t="shared" si="28"/>
        <v>0</v>
      </c>
      <c r="P76" s="206">
        <f t="shared" si="28"/>
        <v>0</v>
      </c>
      <c r="Q76" s="206">
        <f t="shared" si="28"/>
        <v>0</v>
      </c>
      <c r="R76" s="206">
        <f>SUM(R71:R75)</f>
        <v>98106.914407576332</v>
      </c>
      <c r="S76" s="208"/>
      <c r="T76" s="208"/>
      <c r="U76" s="203"/>
    </row>
    <row r="77" spans="1:21" s="204" customFormat="1" ht="12" customHeight="1">
      <c r="A77" s="201" t="s">
        <v>1688</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1689</v>
      </c>
      <c r="B78" s="206">
        <f>SUM(C78+D78)</f>
        <v>433580</v>
      </c>
      <c r="C78" s="207">
        <v>433580</v>
      </c>
      <c r="D78" s="207"/>
      <c r="E78" s="207">
        <f t="shared" ref="E78:E79" si="29">+C78</f>
        <v>433580</v>
      </c>
      <c r="F78" s="207"/>
      <c r="G78" s="207"/>
      <c r="H78" s="207"/>
      <c r="I78" s="207"/>
      <c r="J78" s="207"/>
      <c r="K78" s="207"/>
      <c r="L78" s="207"/>
      <c r="M78" s="207"/>
      <c r="N78" s="207"/>
      <c r="O78" s="207"/>
      <c r="P78" s="207"/>
      <c r="Q78" s="207"/>
      <c r="R78" s="207">
        <f>SUM(E78:Q78)</f>
        <v>433580</v>
      </c>
      <c r="S78" s="207">
        <f>+R78</f>
        <v>433580</v>
      </c>
      <c r="T78" s="207"/>
      <c r="U78" s="203"/>
    </row>
    <row r="79" spans="1:21" s="204" customFormat="1" ht="11.4">
      <c r="A79" s="205" t="s">
        <v>1690</v>
      </c>
      <c r="B79" s="206">
        <f>SUM(C79+D79)</f>
        <v>84900</v>
      </c>
      <c r="C79" s="207">
        <v>84900</v>
      </c>
      <c r="D79" s="207"/>
      <c r="E79" s="207">
        <f t="shared" si="29"/>
        <v>84900</v>
      </c>
      <c r="F79" s="207"/>
      <c r="G79" s="207"/>
      <c r="H79" s="207"/>
      <c r="I79" s="207"/>
      <c r="J79" s="207"/>
      <c r="K79" s="207"/>
      <c r="L79" s="207"/>
      <c r="M79" s="207"/>
      <c r="N79" s="207"/>
      <c r="O79" s="207"/>
      <c r="P79" s="207"/>
      <c r="Q79" s="207"/>
      <c r="R79" s="207">
        <f>SUM(E79:Q79)</f>
        <v>84900</v>
      </c>
      <c r="S79" s="207">
        <f>+R79</f>
        <v>84900</v>
      </c>
      <c r="T79" s="207"/>
      <c r="U79" s="203"/>
    </row>
    <row r="80" spans="1:21" s="204" customFormat="1">
      <c r="A80" s="209" t="s">
        <v>1691</v>
      </c>
      <c r="B80" s="206">
        <f>SUM(C80:D80)</f>
        <v>518480</v>
      </c>
      <c r="C80" s="566">
        <f>SUM(C78:C79)</f>
        <v>518480</v>
      </c>
      <c r="D80" s="566">
        <f t="shared" ref="D80:R80" si="30">SUM(D78:D79)</f>
        <v>0</v>
      </c>
      <c r="E80" s="566">
        <f t="shared" si="30"/>
        <v>518480</v>
      </c>
      <c r="F80" s="566">
        <f t="shared" si="30"/>
        <v>0</v>
      </c>
      <c r="G80" s="566">
        <f t="shared" si="30"/>
        <v>0</v>
      </c>
      <c r="H80" s="566">
        <f t="shared" si="30"/>
        <v>0</v>
      </c>
      <c r="I80" s="566">
        <f t="shared" si="30"/>
        <v>0</v>
      </c>
      <c r="J80" s="566">
        <f t="shared" si="30"/>
        <v>0</v>
      </c>
      <c r="K80" s="566">
        <f t="shared" si="30"/>
        <v>0</v>
      </c>
      <c r="L80" s="566">
        <f t="shared" si="30"/>
        <v>0</v>
      </c>
      <c r="M80" s="566">
        <f t="shared" si="30"/>
        <v>0</v>
      </c>
      <c r="N80" s="566">
        <f t="shared" si="30"/>
        <v>0</v>
      </c>
      <c r="O80" s="566">
        <f t="shared" si="30"/>
        <v>0</v>
      </c>
      <c r="P80" s="566">
        <f t="shared" si="30"/>
        <v>0</v>
      </c>
      <c r="Q80" s="566">
        <f t="shared" si="30"/>
        <v>0</v>
      </c>
      <c r="R80" s="566">
        <f t="shared" si="30"/>
        <v>518480</v>
      </c>
      <c r="S80" s="566">
        <f>SUM(S78:S79)</f>
        <v>518480</v>
      </c>
      <c r="T80" s="566">
        <f>SUM(T78:T79)</f>
        <v>0</v>
      </c>
      <c r="U80" s="203"/>
    </row>
    <row r="81" spans="1:21" s="204" customFormat="1" ht="11.4">
      <c r="A81" s="201" t="s">
        <v>1692</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1693</v>
      </c>
      <c r="B82" s="206">
        <f>SUM(C82+D82)</f>
        <v>35419</v>
      </c>
      <c r="C82" s="207">
        <v>35419</v>
      </c>
      <c r="D82" s="207"/>
      <c r="E82" s="207">
        <f t="shared" ref="E82:E83" si="31">+C82</f>
        <v>35419</v>
      </c>
      <c r="F82" s="207"/>
      <c r="G82" s="207"/>
      <c r="H82" s="207"/>
      <c r="I82" s="207"/>
      <c r="J82" s="207"/>
      <c r="K82" s="207"/>
      <c r="L82" s="207"/>
      <c r="M82" s="207"/>
      <c r="N82" s="207"/>
      <c r="O82" s="207"/>
      <c r="P82" s="207"/>
      <c r="Q82" s="207"/>
      <c r="R82" s="207">
        <f>SUM(E82:Q82)</f>
        <v>35419</v>
      </c>
      <c r="S82" s="208"/>
      <c r="T82" s="208"/>
      <c r="U82" s="203"/>
    </row>
    <row r="83" spans="1:21" s="204" customFormat="1" ht="11.4">
      <c r="A83" s="205" t="s">
        <v>1694</v>
      </c>
      <c r="B83" s="206">
        <f t="shared" ref="B83:B93" si="32">SUM(C83+D83)</f>
        <v>12500</v>
      </c>
      <c r="C83" s="207">
        <f>5000+7500</f>
        <v>12500</v>
      </c>
      <c r="D83" s="207"/>
      <c r="E83" s="207">
        <f t="shared" si="31"/>
        <v>12500</v>
      </c>
      <c r="F83" s="207"/>
      <c r="G83" s="207"/>
      <c r="H83" s="207"/>
      <c r="I83" s="207"/>
      <c r="J83" s="207"/>
      <c r="K83" s="207"/>
      <c r="L83" s="207"/>
      <c r="M83" s="207"/>
      <c r="N83" s="207"/>
      <c r="O83" s="207"/>
      <c r="P83" s="207"/>
      <c r="Q83" s="207"/>
      <c r="R83" s="207">
        <f t="shared" ref="R83:R93" si="33">SUM(E83:Q83)</f>
        <v>12500</v>
      </c>
      <c r="S83" s="207">
        <f>+R83</f>
        <v>12500</v>
      </c>
      <c r="T83" s="207"/>
      <c r="U83" s="203"/>
    </row>
    <row r="84" spans="1:21" s="204" customFormat="1" ht="11.4">
      <c r="A84" s="205" t="s">
        <v>1695</v>
      </c>
      <c r="B84" s="206">
        <f t="shared" si="32"/>
        <v>0</v>
      </c>
      <c r="C84" s="207"/>
      <c r="D84" s="207"/>
      <c r="E84" s="207"/>
      <c r="F84" s="207"/>
      <c r="G84" s="207"/>
      <c r="H84" s="207"/>
      <c r="I84" s="207"/>
      <c r="J84" s="207"/>
      <c r="K84" s="207"/>
      <c r="L84" s="207"/>
      <c r="M84" s="207"/>
      <c r="N84" s="207"/>
      <c r="O84" s="207"/>
      <c r="P84" s="207"/>
      <c r="Q84" s="207"/>
      <c r="R84" s="207">
        <f t="shared" si="33"/>
        <v>0</v>
      </c>
      <c r="S84" s="207"/>
      <c r="T84" s="207"/>
      <c r="U84" s="203"/>
    </row>
    <row r="85" spans="1:21" s="204" customFormat="1" ht="11.4">
      <c r="A85" s="205" t="s">
        <v>1696</v>
      </c>
      <c r="B85" s="206">
        <f t="shared" si="32"/>
        <v>100000</v>
      </c>
      <c r="C85" s="207">
        <v>100000</v>
      </c>
      <c r="D85" s="207"/>
      <c r="E85" s="207">
        <f t="shared" ref="E85" si="34">+C85</f>
        <v>100000</v>
      </c>
      <c r="F85" s="207"/>
      <c r="G85" s="207"/>
      <c r="H85" s="207"/>
      <c r="I85" s="207"/>
      <c r="J85" s="207"/>
      <c r="K85" s="207"/>
      <c r="L85" s="207"/>
      <c r="M85" s="207"/>
      <c r="N85" s="207"/>
      <c r="O85" s="207"/>
      <c r="P85" s="207"/>
      <c r="Q85" s="207"/>
      <c r="R85" s="207">
        <f t="shared" si="33"/>
        <v>100000</v>
      </c>
      <c r="S85" s="207">
        <f>+R85</f>
        <v>100000</v>
      </c>
      <c r="T85" s="207"/>
      <c r="U85" s="203"/>
    </row>
    <row r="86" spans="1:21" s="204" customFormat="1" ht="11.4">
      <c r="A86" s="205" t="s">
        <v>1697</v>
      </c>
      <c r="B86" s="206">
        <f t="shared" si="32"/>
        <v>0</v>
      </c>
      <c r="C86" s="207"/>
      <c r="D86" s="207"/>
      <c r="E86" s="207"/>
      <c r="F86" s="207"/>
      <c r="G86" s="207"/>
      <c r="H86" s="207"/>
      <c r="I86" s="207"/>
      <c r="J86" s="207"/>
      <c r="K86" s="207"/>
      <c r="L86" s="207"/>
      <c r="M86" s="207"/>
      <c r="N86" s="207"/>
      <c r="O86" s="207"/>
      <c r="P86" s="207"/>
      <c r="Q86" s="207"/>
      <c r="R86" s="207">
        <f t="shared" si="33"/>
        <v>0</v>
      </c>
      <c r="S86" s="207"/>
      <c r="T86" s="207"/>
      <c r="U86" s="203"/>
    </row>
    <row r="87" spans="1:21" s="204" customFormat="1" ht="11.4">
      <c r="A87" s="205" t="s">
        <v>1698</v>
      </c>
      <c r="B87" s="206">
        <f t="shared" si="32"/>
        <v>10000</v>
      </c>
      <c r="C87" s="207">
        <v>10000</v>
      </c>
      <c r="D87" s="207"/>
      <c r="E87" s="207">
        <f t="shared" ref="E87:E89" si="35">+C87</f>
        <v>10000</v>
      </c>
      <c r="F87" s="207"/>
      <c r="G87" s="207"/>
      <c r="H87" s="207"/>
      <c r="I87" s="207"/>
      <c r="J87" s="207"/>
      <c r="K87" s="207"/>
      <c r="L87" s="207"/>
      <c r="M87" s="207"/>
      <c r="N87" s="207"/>
      <c r="O87" s="207"/>
      <c r="P87" s="207"/>
      <c r="Q87" s="207"/>
      <c r="R87" s="207">
        <f t="shared" si="33"/>
        <v>10000</v>
      </c>
      <c r="S87" s="208"/>
      <c r="T87" s="208"/>
      <c r="U87" s="203"/>
    </row>
    <row r="88" spans="1:21" s="204" customFormat="1" ht="11.4">
      <c r="A88" s="205" t="s">
        <v>1699</v>
      </c>
      <c r="B88" s="206">
        <f t="shared" si="32"/>
        <v>23000</v>
      </c>
      <c r="C88" s="207">
        <v>23000</v>
      </c>
      <c r="D88" s="207"/>
      <c r="E88" s="207">
        <f t="shared" si="35"/>
        <v>23000</v>
      </c>
      <c r="F88" s="207"/>
      <c r="G88" s="207"/>
      <c r="H88" s="207"/>
      <c r="I88" s="207"/>
      <c r="J88" s="207"/>
      <c r="K88" s="207"/>
      <c r="L88" s="207"/>
      <c r="M88" s="207"/>
      <c r="N88" s="207"/>
      <c r="O88" s="207"/>
      <c r="P88" s="207"/>
      <c r="Q88" s="207"/>
      <c r="R88" s="207">
        <f t="shared" si="33"/>
        <v>23000</v>
      </c>
      <c r="S88" s="207">
        <f>+R88</f>
        <v>23000</v>
      </c>
      <c r="T88" s="207"/>
      <c r="U88" s="203"/>
    </row>
    <row r="89" spans="1:21" s="204" customFormat="1" ht="11.4">
      <c r="A89" s="205" t="s">
        <v>1700</v>
      </c>
      <c r="B89" s="206">
        <f t="shared" si="32"/>
        <v>10000</v>
      </c>
      <c r="C89" s="207">
        <v>10000</v>
      </c>
      <c r="D89" s="207"/>
      <c r="E89" s="207">
        <f t="shared" si="35"/>
        <v>10000</v>
      </c>
      <c r="F89" s="207"/>
      <c r="G89" s="207"/>
      <c r="H89" s="207"/>
      <c r="I89" s="207"/>
      <c r="J89" s="207"/>
      <c r="K89" s="207"/>
      <c r="L89" s="207"/>
      <c r="M89" s="207"/>
      <c r="N89" s="207"/>
      <c r="O89" s="207"/>
      <c r="P89" s="207"/>
      <c r="Q89" s="207"/>
      <c r="R89" s="207">
        <f t="shared" si="33"/>
        <v>10000</v>
      </c>
      <c r="S89" s="207"/>
      <c r="T89" s="207"/>
      <c r="U89" s="203"/>
    </row>
    <row r="90" spans="1:21" s="204" customFormat="1" ht="11.4">
      <c r="A90" s="216" t="s">
        <v>1701</v>
      </c>
      <c r="B90" s="206">
        <f t="shared" si="32"/>
        <v>0</v>
      </c>
      <c r="C90" s="207"/>
      <c r="D90" s="207"/>
      <c r="E90" s="207"/>
      <c r="F90" s="207"/>
      <c r="G90" s="207"/>
      <c r="H90" s="207"/>
      <c r="I90" s="207"/>
      <c r="J90" s="207"/>
      <c r="K90" s="207"/>
      <c r="L90" s="207"/>
      <c r="M90" s="207"/>
      <c r="N90" s="207"/>
      <c r="O90" s="207"/>
      <c r="P90" s="207"/>
      <c r="Q90" s="207"/>
      <c r="R90" s="207">
        <f t="shared" si="33"/>
        <v>0</v>
      </c>
      <c r="S90" s="207"/>
      <c r="T90" s="207"/>
      <c r="U90" s="203"/>
    </row>
    <row r="91" spans="1:21" s="204" customFormat="1" ht="11.4">
      <c r="A91" s="216" t="s">
        <v>1702</v>
      </c>
      <c r="B91" s="206">
        <f t="shared" si="32"/>
        <v>10000</v>
      </c>
      <c r="C91" s="207">
        <v>10000</v>
      </c>
      <c r="D91" s="207"/>
      <c r="E91" s="207">
        <f t="shared" ref="E91" si="36">+C91</f>
        <v>10000</v>
      </c>
      <c r="F91" s="207"/>
      <c r="G91" s="207"/>
      <c r="H91" s="207"/>
      <c r="I91" s="207"/>
      <c r="J91" s="207"/>
      <c r="K91" s="207"/>
      <c r="L91" s="207"/>
      <c r="M91" s="207"/>
      <c r="N91" s="207"/>
      <c r="O91" s="207"/>
      <c r="P91" s="207"/>
      <c r="Q91" s="207"/>
      <c r="R91" s="207">
        <f t="shared" si="33"/>
        <v>10000</v>
      </c>
      <c r="S91" s="207">
        <f>+R91</f>
        <v>10000</v>
      </c>
      <c r="T91" s="207"/>
      <c r="U91" s="203"/>
    </row>
    <row r="92" spans="1:21" s="204" customFormat="1" ht="11.4">
      <c r="A92" s="212" t="s">
        <v>1653</v>
      </c>
      <c r="B92" s="206">
        <f t="shared" si="32"/>
        <v>0</v>
      </c>
      <c r="C92" s="207"/>
      <c r="D92" s="207"/>
      <c r="E92" s="207"/>
      <c r="F92" s="207"/>
      <c r="G92" s="207"/>
      <c r="H92" s="207"/>
      <c r="I92" s="207"/>
      <c r="J92" s="207"/>
      <c r="K92" s="207"/>
      <c r="L92" s="207"/>
      <c r="M92" s="207"/>
      <c r="N92" s="207"/>
      <c r="O92" s="207"/>
      <c r="P92" s="207"/>
      <c r="Q92" s="207"/>
      <c r="R92" s="207">
        <f t="shared" si="33"/>
        <v>0</v>
      </c>
      <c r="S92" s="207"/>
      <c r="T92" s="207"/>
      <c r="U92" s="203"/>
    </row>
    <row r="93" spans="1:21" s="204" customFormat="1" ht="11.4">
      <c r="A93" s="212" t="s">
        <v>1653</v>
      </c>
      <c r="B93" s="206">
        <f t="shared" si="32"/>
        <v>0</v>
      </c>
      <c r="C93" s="207"/>
      <c r="D93" s="207"/>
      <c r="E93" s="207"/>
      <c r="F93" s="207"/>
      <c r="G93" s="207"/>
      <c r="H93" s="207"/>
      <c r="I93" s="207"/>
      <c r="J93" s="207"/>
      <c r="K93" s="207"/>
      <c r="L93" s="207"/>
      <c r="M93" s="207"/>
      <c r="N93" s="207"/>
      <c r="O93" s="207"/>
      <c r="P93" s="207"/>
      <c r="Q93" s="207"/>
      <c r="R93" s="207">
        <f t="shared" si="33"/>
        <v>0</v>
      </c>
      <c r="S93" s="207"/>
      <c r="T93" s="207"/>
      <c r="U93" s="203"/>
    </row>
    <row r="94" spans="1:21" s="204" customFormat="1" ht="11.4">
      <c r="A94" s="212" t="s">
        <v>1653</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1703</v>
      </c>
      <c r="B95" s="206">
        <f>SUM(C95:D95)</f>
        <v>200919</v>
      </c>
      <c r="C95" s="206">
        <f t="shared" ref="C95:R95" si="37">SUM(C82:C94)</f>
        <v>200919</v>
      </c>
      <c r="D95" s="206">
        <f t="shared" si="37"/>
        <v>0</v>
      </c>
      <c r="E95" s="206">
        <f t="shared" si="37"/>
        <v>200919</v>
      </c>
      <c r="F95" s="206">
        <f t="shared" si="37"/>
        <v>0</v>
      </c>
      <c r="G95" s="206">
        <f t="shared" si="37"/>
        <v>0</v>
      </c>
      <c r="H95" s="206">
        <f t="shared" si="37"/>
        <v>0</v>
      </c>
      <c r="I95" s="206">
        <f t="shared" si="37"/>
        <v>0</v>
      </c>
      <c r="J95" s="206">
        <f t="shared" si="37"/>
        <v>0</v>
      </c>
      <c r="K95" s="206">
        <f t="shared" si="37"/>
        <v>0</v>
      </c>
      <c r="L95" s="206">
        <f t="shared" si="37"/>
        <v>0</v>
      </c>
      <c r="M95" s="206">
        <f t="shared" si="37"/>
        <v>0</v>
      </c>
      <c r="N95" s="206">
        <f t="shared" si="37"/>
        <v>0</v>
      </c>
      <c r="O95" s="206">
        <f t="shared" si="37"/>
        <v>0</v>
      </c>
      <c r="P95" s="206">
        <f t="shared" si="37"/>
        <v>0</v>
      </c>
      <c r="Q95" s="206">
        <f t="shared" si="37"/>
        <v>0</v>
      </c>
      <c r="R95" s="206">
        <f t="shared" si="37"/>
        <v>200919</v>
      </c>
      <c r="S95" s="210">
        <f>SUM(S83:S86,S88:S94)</f>
        <v>145500</v>
      </c>
      <c r="T95" s="206">
        <f>SUM(T83:T86,T88:T94)</f>
        <v>0</v>
      </c>
      <c r="U95" s="203"/>
    </row>
    <row r="96" spans="1:21" s="204" customFormat="1">
      <c r="A96" s="209" t="s">
        <v>1704</v>
      </c>
      <c r="B96" s="206">
        <f>SUM(C96:D96)</f>
        <v>6798158.9144075764</v>
      </c>
      <c r="C96" s="206">
        <f t="shared" ref="C96:R96" si="38">SUM(C62+C69+C76+C80+C95)</f>
        <v>6798158.9144075764</v>
      </c>
      <c r="D96" s="206">
        <f t="shared" si="38"/>
        <v>0</v>
      </c>
      <c r="E96" s="206">
        <f t="shared" si="38"/>
        <v>4269888.9144075764</v>
      </c>
      <c r="F96" s="206">
        <f t="shared" si="38"/>
        <v>1941442</v>
      </c>
      <c r="G96" s="206">
        <f t="shared" si="38"/>
        <v>144836</v>
      </c>
      <c r="H96" s="206">
        <f t="shared" si="38"/>
        <v>341992</v>
      </c>
      <c r="I96" s="206">
        <f t="shared" si="38"/>
        <v>100000</v>
      </c>
      <c r="J96" s="206">
        <f t="shared" si="38"/>
        <v>0</v>
      </c>
      <c r="K96" s="206">
        <f t="shared" si="38"/>
        <v>0</v>
      </c>
      <c r="L96" s="206">
        <f t="shared" si="38"/>
        <v>0</v>
      </c>
      <c r="M96" s="206">
        <f t="shared" si="38"/>
        <v>0</v>
      </c>
      <c r="N96" s="206">
        <f t="shared" si="38"/>
        <v>0</v>
      </c>
      <c r="O96" s="206">
        <f t="shared" si="38"/>
        <v>0</v>
      </c>
      <c r="P96" s="206">
        <f t="shared" si="38"/>
        <v>0</v>
      </c>
      <c r="Q96" s="206">
        <f t="shared" si="38"/>
        <v>0</v>
      </c>
      <c r="R96" s="206">
        <f t="shared" si="38"/>
        <v>6798158.9144075764</v>
      </c>
      <c r="S96" s="210">
        <f>SUM(+S62+S69+S80+S95)</f>
        <v>4183305</v>
      </c>
      <c r="T96" s="210">
        <f>SUM(T62+T69+T80+T95)</f>
        <v>0</v>
      </c>
      <c r="U96" s="203"/>
    </row>
    <row r="97" spans="1:21" s="204" customFormat="1" ht="11.4">
      <c r="A97" s="201" t="s">
        <v>1705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1706</v>
      </c>
      <c r="B98" s="206">
        <f>SUM(C98+D98)</f>
        <v>627495.75</v>
      </c>
      <c r="C98" s="207">
        <f>+S96*0.15</f>
        <v>627495.75</v>
      </c>
      <c r="D98" s="207"/>
      <c r="E98" s="207">
        <f t="shared" ref="E98" si="39">+C98</f>
        <v>627495.75</v>
      </c>
      <c r="F98" s="207"/>
      <c r="G98" s="207"/>
      <c r="H98" s="207"/>
      <c r="I98" s="207"/>
      <c r="J98" s="207"/>
      <c r="K98" s="207"/>
      <c r="L98" s="207"/>
      <c r="M98" s="207"/>
      <c r="N98" s="207"/>
      <c r="O98" s="207"/>
      <c r="P98" s="207"/>
      <c r="Q98" s="207"/>
      <c r="R98" s="207">
        <f>SUM(E98:Q98)</f>
        <v>627495.75</v>
      </c>
      <c r="S98" s="207">
        <f>+R98</f>
        <v>627495.75</v>
      </c>
      <c r="T98" s="207"/>
      <c r="U98" s="203"/>
    </row>
    <row r="99" spans="1:21" s="204" customFormat="1" ht="11.4">
      <c r="A99" s="205" t="s">
        <v>1707</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1708</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1709</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1653</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1710</v>
      </c>
      <c r="B103" s="206">
        <f>SUM(C103:D103)</f>
        <v>627495.75</v>
      </c>
      <c r="C103" s="206">
        <f t="shared" ref="C103:T103" si="40">SUM(C98:C102)</f>
        <v>627495.75</v>
      </c>
      <c r="D103" s="206">
        <f t="shared" si="40"/>
        <v>0</v>
      </c>
      <c r="E103" s="206">
        <f t="shared" si="40"/>
        <v>627495.75</v>
      </c>
      <c r="F103" s="206">
        <f t="shared" si="40"/>
        <v>0</v>
      </c>
      <c r="G103" s="206">
        <f t="shared" si="40"/>
        <v>0</v>
      </c>
      <c r="H103" s="206">
        <f t="shared" si="40"/>
        <v>0</v>
      </c>
      <c r="I103" s="206">
        <f t="shared" si="40"/>
        <v>0</v>
      </c>
      <c r="J103" s="206">
        <f t="shared" si="40"/>
        <v>0</v>
      </c>
      <c r="K103" s="206">
        <f t="shared" si="40"/>
        <v>0</v>
      </c>
      <c r="L103" s="206">
        <f t="shared" si="40"/>
        <v>0</v>
      </c>
      <c r="M103" s="206">
        <f t="shared" si="40"/>
        <v>0</v>
      </c>
      <c r="N103" s="206">
        <f t="shared" si="40"/>
        <v>0</v>
      </c>
      <c r="O103" s="206">
        <f t="shared" si="40"/>
        <v>0</v>
      </c>
      <c r="P103" s="206">
        <f t="shared" si="40"/>
        <v>0</v>
      </c>
      <c r="Q103" s="206">
        <f t="shared" si="40"/>
        <v>0</v>
      </c>
      <c r="R103" s="206">
        <f t="shared" si="40"/>
        <v>627495.75</v>
      </c>
      <c r="S103" s="210">
        <f t="shared" si="40"/>
        <v>627495.75</v>
      </c>
      <c r="T103" s="210">
        <f t="shared" si="40"/>
        <v>0</v>
      </c>
      <c r="U103" s="203"/>
    </row>
    <row r="104" spans="1:21" s="204" customFormat="1">
      <c r="A104" s="209" t="s">
        <v>1711</v>
      </c>
      <c r="B104" s="210">
        <f>SUM(C104:D104)</f>
        <v>7425654.6644075764</v>
      </c>
      <c r="C104" s="210">
        <f t="shared" ref="C104:R104" si="41">SUM(C96+C103)</f>
        <v>7425654.6644075764</v>
      </c>
      <c r="D104" s="210">
        <f t="shared" si="41"/>
        <v>0</v>
      </c>
      <c r="E104" s="210">
        <f t="shared" si="41"/>
        <v>4897384.6644075764</v>
      </c>
      <c r="F104" s="210">
        <f t="shared" si="41"/>
        <v>1941442</v>
      </c>
      <c r="G104" s="210">
        <f t="shared" si="41"/>
        <v>144836</v>
      </c>
      <c r="H104" s="210">
        <f t="shared" si="41"/>
        <v>341992</v>
      </c>
      <c r="I104" s="210">
        <f t="shared" si="41"/>
        <v>100000</v>
      </c>
      <c r="J104" s="210">
        <f t="shared" si="41"/>
        <v>0</v>
      </c>
      <c r="K104" s="210">
        <f t="shared" si="41"/>
        <v>0</v>
      </c>
      <c r="L104" s="210">
        <f t="shared" si="41"/>
        <v>0</v>
      </c>
      <c r="M104" s="210">
        <f t="shared" si="41"/>
        <v>0</v>
      </c>
      <c r="N104" s="210">
        <f t="shared" si="41"/>
        <v>0</v>
      </c>
      <c r="O104" s="210">
        <f t="shared" si="41"/>
        <v>0</v>
      </c>
      <c r="P104" s="210">
        <f t="shared" si="41"/>
        <v>0</v>
      </c>
      <c r="Q104" s="210">
        <f t="shared" si="41"/>
        <v>0</v>
      </c>
      <c r="R104" s="206">
        <f t="shared" si="41"/>
        <v>7425654.6644075764</v>
      </c>
      <c r="S104" s="210">
        <f>S96+S103</f>
        <v>4810800.75</v>
      </c>
      <c r="T104" s="210">
        <f>T96+T103</f>
        <v>0</v>
      </c>
      <c r="U104" s="203"/>
    </row>
    <row r="105" spans="1:21" s="219" customFormat="1">
      <c r="A105" s="672" t="s">
        <v>1712</v>
      </c>
      <c r="B105" s="218"/>
      <c r="C105" s="218"/>
      <c r="D105" s="218"/>
      <c r="H105" s="220" t="s">
        <v>1713</v>
      </c>
      <c r="I105" s="220"/>
      <c r="J105" s="220"/>
      <c r="R105" s="221" t="s">
        <v>1714</v>
      </c>
      <c r="S105" s="207"/>
      <c r="T105" s="207"/>
      <c r="U105" s="222"/>
    </row>
    <row r="106" spans="1:21" s="219" customFormat="1">
      <c r="A106" s="220" t="s">
        <v>1715</v>
      </c>
      <c r="C106" s="218"/>
      <c r="D106" s="218"/>
      <c r="I106" s="223" t="s">
        <v>1716</v>
      </c>
      <c r="J106" s="223"/>
      <c r="R106" s="221" t="s">
        <v>1717</v>
      </c>
      <c r="S106" s="210">
        <f>S104+S105</f>
        <v>4810800.75</v>
      </c>
      <c r="T106" s="210">
        <f>T104+T105</f>
        <v>0</v>
      </c>
      <c r="U106" s="222"/>
    </row>
    <row r="107" spans="1:21" s="224" customFormat="1">
      <c r="A107" s="223" t="s">
        <v>1718</v>
      </c>
      <c r="B107" s="218"/>
      <c r="C107" s="218"/>
      <c r="D107" s="218"/>
      <c r="E107" s="206">
        <f>Application!AO634</f>
        <v>4897385</v>
      </c>
      <c r="F107" s="206">
        <f>Application!AO621</f>
        <v>1941442</v>
      </c>
      <c r="G107" s="206">
        <f>Application!AO622</f>
        <v>144836</v>
      </c>
      <c r="H107" s="206">
        <f>Application!AO623</f>
        <v>341992</v>
      </c>
      <c r="I107" s="206">
        <f>Application!AO624</f>
        <v>100000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36"/>
      <c r="S107" s="219"/>
      <c r="T107" s="219"/>
      <c r="U107" s="250"/>
    </row>
    <row r="108" spans="1:21" s="224" customFormat="1">
      <c r="A108" s="223"/>
      <c r="B108" s="218"/>
      <c r="C108" s="218"/>
      <c r="D108" s="218"/>
      <c r="E108" s="336"/>
      <c r="F108" s="336"/>
      <c r="G108" s="336"/>
      <c r="H108" s="336"/>
      <c r="I108" s="336"/>
      <c r="J108" s="336"/>
      <c r="K108" s="336"/>
      <c r="L108" s="336"/>
      <c r="M108" s="336"/>
      <c r="N108" s="336"/>
      <c r="O108" s="336"/>
      <c r="P108" s="336"/>
      <c r="Q108" s="336"/>
      <c r="R108" s="336"/>
      <c r="S108" s="219"/>
      <c r="T108" s="219"/>
      <c r="U108" s="250"/>
    </row>
    <row r="109" spans="1:21" s="224" customFormat="1" ht="13.2">
      <c r="A109" s="84" t="s">
        <v>1719</v>
      </c>
      <c r="B109" s="218"/>
      <c r="C109" s="218"/>
      <c r="D109" s="218"/>
      <c r="E109" s="336"/>
      <c r="F109" s="336"/>
      <c r="G109" s="336"/>
      <c r="H109" s="336"/>
      <c r="I109" s="336"/>
      <c r="J109" s="336"/>
      <c r="K109" s="336"/>
      <c r="L109" s="336"/>
      <c r="M109" s="336"/>
      <c r="N109" s="336"/>
      <c r="O109" s="336"/>
      <c r="P109" s="336"/>
      <c r="Q109" s="336"/>
      <c r="R109" s="336"/>
      <c r="S109" s="219"/>
      <c r="T109" s="219"/>
      <c r="U109" s="250"/>
    </row>
    <row r="110" spans="1:21" s="224" customFormat="1" ht="13.2">
      <c r="A110" s="107" t="s">
        <v>1720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1" customFormat="1" ht="15.6">
      <c r="A114" s="253" t="s">
        <v>1723</v>
      </c>
      <c r="B114" s="219"/>
      <c r="C114" s="219"/>
      <c r="D114" s="219"/>
      <c r="E114" s="219"/>
      <c r="F114" s="219"/>
      <c r="G114" s="219"/>
      <c r="H114" s="219"/>
      <c r="I114" s="219"/>
      <c r="J114" s="219"/>
      <c r="K114" s="219"/>
      <c r="L114" s="219"/>
      <c r="M114" s="219"/>
      <c r="N114" s="219"/>
      <c r="O114" s="219"/>
      <c r="P114" s="219"/>
      <c r="Q114" s="219"/>
      <c r="R114" s="219"/>
      <c r="S114" s="219"/>
      <c r="T114" s="219"/>
      <c r="U114" s="390"/>
    </row>
    <row r="115" spans="1:21" s="219" customFormat="1" ht="15.6">
      <c r="A115" s="253"/>
      <c r="U115" s="222"/>
    </row>
    <row r="116" spans="1:21" s="224" customFormat="1">
      <c r="A116" s="468" t="s">
        <v>1724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68" t="s">
        <v>1725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1" customFormat="1">
      <c r="A118" s="468" t="s">
        <v>1726</v>
      </c>
      <c r="B118" s="219"/>
      <c r="C118" s="219"/>
      <c r="D118" s="219"/>
      <c r="E118" s="219"/>
      <c r="F118" s="219"/>
      <c r="G118" s="219"/>
      <c r="H118" s="219"/>
      <c r="I118" s="219"/>
      <c r="J118" s="219"/>
      <c r="K118" s="219"/>
      <c r="L118" s="219"/>
      <c r="M118" s="219"/>
      <c r="N118" s="219"/>
      <c r="O118" s="219"/>
      <c r="P118" s="219"/>
      <c r="Q118" s="219"/>
      <c r="R118" s="219"/>
      <c r="S118" s="219"/>
      <c r="T118" s="219"/>
      <c r="U118" s="390"/>
    </row>
    <row r="119" spans="1:21" s="391" customFormat="1">
      <c r="A119" s="468" t="s">
        <v>1727</v>
      </c>
      <c r="B119" s="219"/>
      <c r="C119" s="219"/>
      <c r="D119" s="219"/>
      <c r="E119" s="219"/>
      <c r="F119" s="219"/>
      <c r="G119" s="219"/>
      <c r="H119" s="219"/>
      <c r="I119" s="219"/>
      <c r="J119" s="219"/>
      <c r="K119" s="219"/>
      <c r="L119" s="219"/>
      <c r="M119" s="219"/>
      <c r="N119" s="219"/>
      <c r="O119" s="219"/>
      <c r="P119" s="219"/>
      <c r="Q119" s="219"/>
      <c r="R119" s="219"/>
      <c r="S119" s="219"/>
      <c r="T119" s="219"/>
      <c r="U119" s="390"/>
    </row>
    <row r="120" spans="1:21" s="219" customFormat="1" ht="15.6">
      <c r="A120" s="253"/>
      <c r="U120" s="222"/>
    </row>
    <row r="121" spans="1:21" s="462" customFormat="1" ht="15.6">
      <c r="A121" s="461" t="s">
        <v>1728</v>
      </c>
      <c r="U121" s="463"/>
    </row>
    <row r="122" spans="1:21" s="219" customFormat="1" ht="11.4">
      <c r="A122" s="220" t="s">
        <v>1729</v>
      </c>
      <c r="D122" s="1497" t="s">
        <v>1730</v>
      </c>
      <c r="E122" s="1497"/>
      <c r="F122" s="1497"/>
      <c r="U122" s="222"/>
    </row>
    <row r="123" spans="1:21" s="219" customFormat="1" ht="11.4">
      <c r="A123" s="219" t="s">
        <v>1731</v>
      </c>
      <c r="B123" s="457"/>
      <c r="D123" s="1499" t="s">
        <v>1732</v>
      </c>
      <c r="E123" s="1001"/>
      <c r="F123" s="1001"/>
      <c r="G123" s="1001"/>
      <c r="H123" s="1001"/>
      <c r="I123" s="1001"/>
      <c r="J123" s="1001"/>
      <c r="K123" s="1001"/>
      <c r="L123" s="1001"/>
      <c r="M123" s="1001"/>
      <c r="N123" s="1001"/>
      <c r="O123" s="1001"/>
      <c r="P123" s="1001"/>
      <c r="Q123" s="1001"/>
      <c r="R123" s="1001"/>
      <c r="S123" s="1001"/>
      <c r="U123" s="222"/>
    </row>
    <row r="124" spans="1:21" s="219" customFormat="1" ht="13.2">
      <c r="A124" s="668" t="s">
        <v>1733</v>
      </c>
      <c r="B124" s="457"/>
      <c r="C124" s="668"/>
      <c r="D124" s="1001"/>
      <c r="E124" s="1001"/>
      <c r="F124" s="1001"/>
      <c r="G124" s="1001"/>
      <c r="H124" s="1001"/>
      <c r="I124" s="1001"/>
      <c r="J124" s="1001"/>
      <c r="K124" s="1001"/>
      <c r="L124" s="1001"/>
      <c r="M124" s="1001"/>
      <c r="N124" s="1001"/>
      <c r="O124" s="1001"/>
      <c r="P124" s="1001"/>
      <c r="Q124" s="1001"/>
      <c r="R124" s="1001"/>
      <c r="S124" s="1001"/>
      <c r="U124" s="222"/>
    </row>
    <row r="125" spans="1:21" s="219" customFormat="1" ht="13.2">
      <c r="A125" s="668" t="s">
        <v>1734</v>
      </c>
      <c r="B125" s="457"/>
      <c r="C125" s="668"/>
      <c r="D125" s="1001"/>
      <c r="E125" s="1001"/>
      <c r="F125" s="1001"/>
      <c r="G125" s="1001"/>
      <c r="H125" s="1001"/>
      <c r="I125" s="1001"/>
      <c r="J125" s="1001"/>
      <c r="K125" s="1001"/>
      <c r="L125" s="1001"/>
      <c r="M125" s="1001"/>
      <c r="N125" s="1001"/>
      <c r="O125" s="1001"/>
      <c r="P125" s="1001"/>
      <c r="Q125" s="1001"/>
      <c r="R125" s="1001"/>
      <c r="S125" s="1001"/>
      <c r="U125" s="222"/>
    </row>
    <row r="126" spans="1:21" s="219" customFormat="1" ht="13.2">
      <c r="A126" s="668" t="s">
        <v>1735</v>
      </c>
      <c r="B126" s="457"/>
      <c r="C126" s="668"/>
      <c r="D126" s="810"/>
      <c r="E126" s="810"/>
      <c r="F126" s="810"/>
      <c r="G126" s="810"/>
      <c r="H126" s="810"/>
      <c r="I126" s="810"/>
      <c r="J126" s="810"/>
      <c r="K126" s="810"/>
      <c r="L126" s="810"/>
      <c r="M126" s="810"/>
      <c r="N126" s="810"/>
      <c r="O126" s="668"/>
      <c r="P126" s="668"/>
      <c r="Q126" s="668"/>
      <c r="R126" s="668"/>
      <c r="S126" s="668"/>
      <c r="U126" s="222"/>
    </row>
    <row r="127" spans="1:21" s="219" customFormat="1" ht="13.2">
      <c r="A127" s="668" t="s">
        <v>1736</v>
      </c>
      <c r="B127" s="457"/>
      <c r="C127" s="668"/>
      <c r="D127" s="810"/>
      <c r="E127" s="810"/>
      <c r="F127" s="810"/>
      <c r="G127" s="810"/>
      <c r="H127" s="810"/>
      <c r="I127" s="810"/>
      <c r="J127" s="810"/>
      <c r="K127" s="810"/>
      <c r="L127" s="810"/>
      <c r="M127" s="810"/>
      <c r="N127" s="810"/>
      <c r="O127" s="668"/>
      <c r="P127" s="668"/>
      <c r="Q127" s="668"/>
      <c r="R127" s="668"/>
      <c r="S127" s="668"/>
      <c r="U127" s="222"/>
    </row>
    <row r="128" spans="1:21" s="219" customFormat="1" ht="13.2">
      <c r="A128" s="668" t="s">
        <v>1737</v>
      </c>
      <c r="B128" s="457"/>
      <c r="C128" s="668"/>
      <c r="D128" s="1494"/>
      <c r="E128" s="1494"/>
      <c r="F128" s="1494"/>
      <c r="G128" s="1494"/>
      <c r="H128" s="1494"/>
      <c r="I128" s="668"/>
      <c r="J128" s="1495"/>
      <c r="K128" s="1495"/>
      <c r="L128" s="668"/>
      <c r="M128" s="668"/>
      <c r="N128" s="668"/>
      <c r="O128" s="668"/>
      <c r="P128" s="668"/>
      <c r="Q128" s="668"/>
      <c r="R128" s="668"/>
      <c r="S128" s="668"/>
      <c r="U128" s="222"/>
    </row>
    <row r="129" spans="1:21" s="219" customFormat="1" ht="13.2">
      <c r="A129" s="668" t="s">
        <v>228</v>
      </c>
      <c r="B129" s="457"/>
      <c r="C129" s="668"/>
      <c r="D129" s="1496" t="s">
        <v>1738</v>
      </c>
      <c r="E129" s="1496"/>
      <c r="F129" s="1496"/>
      <c r="G129" s="1496"/>
      <c r="H129" s="1496"/>
      <c r="I129" s="668"/>
      <c r="J129" s="668" t="s">
        <v>1739</v>
      </c>
      <c r="K129" s="668"/>
      <c r="L129" s="668"/>
      <c r="M129" s="668"/>
      <c r="N129" s="668"/>
      <c r="O129" s="668"/>
      <c r="P129" s="668"/>
      <c r="Q129" s="668"/>
      <c r="R129" s="668"/>
      <c r="S129" s="668"/>
      <c r="U129" s="222"/>
    </row>
    <row r="130" spans="1:21" s="219" customFormat="1" ht="13.2">
      <c r="A130" s="668"/>
      <c r="B130" s="455"/>
      <c r="C130" s="668"/>
      <c r="D130" s="668"/>
      <c r="E130" s="668"/>
      <c r="F130" s="668"/>
      <c r="G130" s="668"/>
      <c r="H130" s="668"/>
      <c r="I130" s="668"/>
      <c r="J130" s="668"/>
      <c r="K130" s="668"/>
      <c r="L130" s="668"/>
      <c r="M130" s="668"/>
      <c r="N130" s="668"/>
      <c r="O130" s="668"/>
      <c r="P130" s="668"/>
      <c r="Q130" s="668"/>
      <c r="R130" s="668"/>
      <c r="S130" s="668"/>
      <c r="U130" s="222"/>
    </row>
    <row r="131" spans="1:21" s="219" customFormat="1" ht="13.2">
      <c r="A131" s="86" t="s">
        <v>1740</v>
      </c>
      <c r="B131" s="458">
        <f>SUM(B123:B129)</f>
        <v>0</v>
      </c>
      <c r="C131" s="668"/>
      <c r="D131" s="1282"/>
      <c r="E131" s="1282"/>
      <c r="F131" s="1282"/>
      <c r="G131" s="1282"/>
      <c r="H131" s="1282"/>
      <c r="I131" s="668"/>
      <c r="J131" s="1282"/>
      <c r="K131" s="1282"/>
      <c r="L131" s="1282"/>
      <c r="M131" s="1282"/>
      <c r="N131" s="668"/>
      <c r="O131" s="668"/>
      <c r="P131" s="668"/>
      <c r="Q131" s="668"/>
      <c r="R131" s="668"/>
      <c r="S131" s="668"/>
      <c r="U131" s="222"/>
    </row>
    <row r="132" spans="1:21" s="219" customFormat="1" ht="13.2">
      <c r="A132" s="900"/>
      <c r="B132" s="668"/>
      <c r="C132" s="668"/>
      <c r="D132" s="947" t="s">
        <v>1741</v>
      </c>
      <c r="E132" s="947"/>
      <c r="F132" s="947"/>
      <c r="G132" s="947"/>
      <c r="H132" s="947"/>
      <c r="I132" s="668"/>
      <c r="J132" s="947" t="s">
        <v>1742</v>
      </c>
      <c r="K132" s="947"/>
      <c r="L132" s="947"/>
      <c r="M132" s="947"/>
      <c r="N132" s="668"/>
      <c r="O132" s="668"/>
      <c r="P132" s="668"/>
      <c r="Q132" s="668"/>
      <c r="R132" s="668"/>
      <c r="S132" s="668"/>
      <c r="U132" s="222"/>
    </row>
    <row r="133" spans="1:21" s="219" customFormat="1" ht="13.2">
      <c r="A133" s="900"/>
      <c r="B133" s="668"/>
      <c r="C133" s="668"/>
      <c r="D133" s="668"/>
      <c r="E133" s="668"/>
      <c r="F133" s="668"/>
      <c r="G133" s="668"/>
      <c r="H133" s="668"/>
      <c r="I133" s="668"/>
      <c r="J133" s="668"/>
      <c r="K133" s="668"/>
      <c r="L133" s="668"/>
      <c r="M133" s="668"/>
      <c r="N133" s="668"/>
      <c r="O133" s="668"/>
      <c r="P133" s="668"/>
      <c r="Q133" s="668"/>
      <c r="R133" s="668"/>
      <c r="S133" s="668"/>
      <c r="U133" s="222"/>
    </row>
    <row r="134" spans="1:21" s="219" customFormat="1" ht="13.2">
      <c r="A134" s="266" t="s">
        <v>1743</v>
      </c>
      <c r="B134" s="668"/>
      <c r="C134" s="668"/>
      <c r="D134" s="668"/>
      <c r="E134" s="668"/>
      <c r="F134" s="668"/>
      <c r="G134" s="668"/>
      <c r="H134" s="668"/>
      <c r="I134" s="668"/>
      <c r="J134" s="668"/>
      <c r="K134" s="668"/>
      <c r="L134" s="668"/>
      <c r="M134" s="668"/>
      <c r="N134" s="668"/>
      <c r="O134" s="668"/>
      <c r="P134" s="668"/>
      <c r="Q134" s="668"/>
      <c r="R134" s="668"/>
      <c r="S134" s="668"/>
      <c r="U134" s="222"/>
    </row>
    <row r="135" spans="1:21" s="219" customFormat="1" ht="13.2">
      <c r="A135" s="107" t="s">
        <v>1744</v>
      </c>
      <c r="B135" s="668"/>
      <c r="C135" s="668"/>
      <c r="D135" s="668"/>
      <c r="E135" s="668"/>
      <c r="F135" s="668"/>
      <c r="G135" s="668"/>
      <c r="H135" s="668"/>
      <c r="I135" s="668"/>
      <c r="J135" s="668"/>
      <c r="K135" s="668"/>
      <c r="L135" s="668"/>
      <c r="M135" s="668"/>
      <c r="N135" s="901"/>
      <c r="O135" s="668"/>
      <c r="P135" s="668"/>
      <c r="Q135" s="668"/>
      <c r="R135" s="668"/>
      <c r="S135" s="668"/>
      <c r="U135" s="222"/>
    </row>
    <row r="136" spans="1:21" ht="13.2">
      <c r="A136" s="900"/>
      <c r="B136" s="668"/>
      <c r="C136" s="668"/>
      <c r="D136" s="668"/>
      <c r="E136" s="668"/>
      <c r="F136" s="668"/>
      <c r="G136" s="668"/>
      <c r="H136" s="668"/>
      <c r="I136" s="668"/>
      <c r="J136" s="668"/>
      <c r="K136" s="668"/>
      <c r="L136" s="668"/>
      <c r="M136" s="668"/>
      <c r="N136" s="668"/>
      <c r="O136" s="668"/>
      <c r="P136" s="668"/>
      <c r="Q136" s="668"/>
      <c r="R136" s="668"/>
      <c r="S136" s="668"/>
    </row>
    <row r="137" spans="1:21" ht="12" customHeight="1">
      <c r="A137" s="900"/>
      <c r="B137" s="668"/>
      <c r="C137" s="668"/>
      <c r="D137" s="668"/>
      <c r="E137" s="668"/>
      <c r="F137" s="668"/>
      <c r="G137" s="668"/>
      <c r="H137" s="668"/>
      <c r="I137" s="668"/>
      <c r="J137" s="668"/>
      <c r="K137" s="668"/>
      <c r="L137" s="668"/>
      <c r="M137" s="668"/>
      <c r="N137" s="668"/>
      <c r="O137" s="668"/>
      <c r="P137" s="668"/>
      <c r="Q137" s="668"/>
      <c r="R137" s="668"/>
      <c r="S137" s="668"/>
    </row>
    <row r="138" spans="1:21" ht="12" customHeight="1">
      <c r="A138" s="1500"/>
      <c r="B138" s="1494"/>
      <c r="C138" s="1494"/>
      <c r="D138" s="290"/>
      <c r="E138" s="1495"/>
      <c r="F138" s="1495"/>
      <c r="G138" s="668"/>
      <c r="H138" s="668"/>
      <c r="I138" s="668"/>
      <c r="J138" s="668"/>
      <c r="K138" s="668"/>
      <c r="L138" s="668"/>
      <c r="M138" s="668"/>
      <c r="N138" s="668"/>
      <c r="O138" s="668"/>
      <c r="P138" s="668"/>
      <c r="Q138" s="668"/>
      <c r="R138" s="668"/>
      <c r="S138" s="668"/>
    </row>
    <row r="139" spans="1:21" ht="12" customHeight="1">
      <c r="A139" s="1498" t="s">
        <v>1745</v>
      </c>
      <c r="B139" s="1498"/>
      <c r="C139" s="1498"/>
      <c r="D139" s="290"/>
      <c r="E139" s="668" t="s">
        <v>1739</v>
      </c>
      <c r="F139" s="668"/>
      <c r="G139" s="668"/>
      <c r="H139" s="668"/>
      <c r="I139" s="668"/>
      <c r="J139" s="668"/>
      <c r="K139" s="668"/>
      <c r="L139" s="668"/>
      <c r="M139" s="668"/>
      <c r="N139" s="668"/>
      <c r="O139" s="668"/>
      <c r="P139" s="668"/>
      <c r="Q139" s="668"/>
      <c r="R139" s="668"/>
      <c r="S139" s="668"/>
    </row>
    <row r="140" spans="1:21" s="252" customFormat="1" ht="12" customHeight="1">
      <c r="A140" s="456"/>
      <c r="B140" s="668"/>
      <c r="C140" s="668"/>
      <c r="D140" s="290"/>
      <c r="E140" s="668"/>
      <c r="F140" s="668"/>
      <c r="G140" s="668"/>
      <c r="H140" s="668"/>
      <c r="I140" s="668"/>
      <c r="J140" s="668"/>
      <c r="K140" s="668"/>
      <c r="L140" s="668"/>
      <c r="M140" s="668"/>
      <c r="N140" s="668"/>
      <c r="O140" s="668"/>
      <c r="P140" s="668"/>
      <c r="Q140" s="668"/>
      <c r="R140" s="668"/>
      <c r="S140" s="668"/>
      <c r="T140" s="482"/>
      <c r="U140" s="392"/>
    </row>
    <row r="141" spans="1:21" s="459" customFormat="1" ht="12" customHeight="1">
      <c r="B141" s="290"/>
      <c r="C141" s="290"/>
      <c r="D141" s="290"/>
      <c r="E141" s="290"/>
      <c r="F141" s="290"/>
      <c r="G141" s="668"/>
      <c r="H141" s="668"/>
      <c r="I141" s="668"/>
      <c r="J141" s="668"/>
      <c r="K141" s="668"/>
      <c r="L141" s="668"/>
      <c r="M141" s="668"/>
      <c r="N141" s="668"/>
      <c r="O141" s="668"/>
      <c r="P141" s="668"/>
      <c r="Q141" s="668"/>
      <c r="R141" s="668"/>
      <c r="S141" s="668"/>
      <c r="T141" s="482"/>
      <c r="U141" s="46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65" workbookViewId="0">
      <selection activeCell="AB70" sqref="AB70:AF70"/>
    </sheetView>
  </sheetViews>
  <sheetFormatPr defaultColWidth="0" defaultRowHeight="12.9" customHeight="1"/>
  <cols>
    <col min="1" max="1" width="1.44140625" customWidth="1"/>
    <col min="2" max="2" width="0.88671875" customWidth="1"/>
    <col min="3" max="18" width="2.44140625" customWidth="1"/>
    <col min="19" max="19" width="4" customWidth="1"/>
    <col min="20" max="28" width="2.44140625" customWidth="1"/>
    <col min="29" max="29" width="3.44140625" customWidth="1"/>
    <col min="30" max="39" width="2.44140625" customWidth="1"/>
    <col min="40" max="40" width="1.44140625" customWidth="1"/>
    <col min="41" max="43" width="2.44140625" customWidth="1"/>
    <col min="44" max="44" width="12.44140625" hidden="1" customWidth="1"/>
    <col min="45" max="16384" width="2.44140625" hidden="1"/>
  </cols>
  <sheetData>
    <row r="1" spans="1:40" ht="12.9" customHeight="1">
      <c r="A1" s="1519" t="s">
        <v>1746</v>
      </c>
      <c r="B1" s="1520"/>
      <c r="C1" s="1520"/>
      <c r="D1" s="1520"/>
      <c r="E1" s="1520"/>
      <c r="F1" s="1520"/>
      <c r="G1" s="1520"/>
      <c r="H1" s="1520"/>
      <c r="I1" s="1520"/>
      <c r="J1" s="1520"/>
      <c r="K1" s="1520"/>
      <c r="L1" s="1520"/>
      <c r="M1" s="1520"/>
      <c r="N1" s="1520"/>
      <c r="O1" s="1520"/>
      <c r="P1" s="1520"/>
      <c r="Q1" s="1520"/>
      <c r="R1" s="1520"/>
      <c r="S1" s="1520"/>
      <c r="T1" s="1520"/>
      <c r="U1" s="1520"/>
      <c r="V1" s="1520"/>
      <c r="W1" s="1520"/>
      <c r="X1" s="1520"/>
      <c r="Y1" s="1520"/>
      <c r="Z1" s="1520"/>
      <c r="AA1" s="1520"/>
      <c r="AB1" s="1520"/>
      <c r="AC1" s="1520"/>
      <c r="AD1" s="1520"/>
      <c r="AE1" s="1520"/>
      <c r="AF1" s="1520"/>
      <c r="AG1" s="1520"/>
      <c r="AH1" s="1520"/>
      <c r="AI1" s="1520"/>
      <c r="AJ1" s="1520"/>
      <c r="AK1" s="1520"/>
      <c r="AL1" s="1520"/>
      <c r="AM1" s="1520"/>
      <c r="AN1" s="1520"/>
    </row>
    <row r="2" spans="1:40" ht="12.9" customHeight="1" thickBot="1">
      <c r="A2" s="1521"/>
      <c r="B2" s="1521"/>
      <c r="C2" s="1521"/>
      <c r="D2" s="1521"/>
      <c r="E2" s="1521"/>
      <c r="F2" s="1521"/>
      <c r="G2" s="1521"/>
      <c r="H2" s="1521"/>
      <c r="I2" s="1521"/>
      <c r="J2" s="1521"/>
      <c r="K2" s="1521"/>
      <c r="L2" s="1521"/>
      <c r="M2" s="1521"/>
      <c r="N2" s="1521"/>
      <c r="O2" s="1521"/>
      <c r="P2" s="1521"/>
      <c r="Q2" s="1521"/>
      <c r="R2" s="1521"/>
      <c r="S2" s="1521"/>
      <c r="T2" s="1521"/>
      <c r="U2" s="1521"/>
      <c r="V2" s="1521"/>
      <c r="W2" s="1521"/>
      <c r="X2" s="1521"/>
      <c r="Y2" s="1521"/>
      <c r="Z2" s="1521"/>
      <c r="AA2" s="1521"/>
      <c r="AB2" s="1521"/>
      <c r="AC2" s="1521"/>
      <c r="AD2" s="1521"/>
      <c r="AE2" s="1521"/>
      <c r="AF2" s="1521"/>
      <c r="AG2" s="1521"/>
      <c r="AH2" s="1521"/>
      <c r="AI2" s="1521"/>
      <c r="AJ2" s="1521"/>
      <c r="AK2" s="1521"/>
      <c r="AL2" s="1521"/>
      <c r="AM2" s="1521"/>
      <c r="AN2" s="1521"/>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791</v>
      </c>
      <c r="C5" s="3" t="s">
        <v>267</v>
      </c>
      <c r="F5" s="3"/>
    </row>
    <row r="6" spans="1:40" ht="12.9" customHeight="1">
      <c r="B6" s="74" t="s">
        <v>1747</v>
      </c>
    </row>
    <row r="7" spans="1:40" ht="12.9" customHeight="1">
      <c r="B7" s="6"/>
      <c r="C7" s="7"/>
      <c r="D7" s="7"/>
      <c r="E7" s="7"/>
      <c r="F7" s="7"/>
      <c r="G7" s="7"/>
      <c r="H7" s="7"/>
      <c r="I7" s="7"/>
      <c r="J7" s="7"/>
      <c r="K7" s="7"/>
      <c r="L7" s="7"/>
      <c r="M7" s="7"/>
      <c r="N7" s="7"/>
      <c r="O7" s="7"/>
      <c r="P7" s="7"/>
      <c r="Q7" s="7"/>
      <c r="R7" s="7"/>
      <c r="S7" s="7"/>
      <c r="T7" s="1508" t="str">
        <f>IF(T25=100%,'Sources and Basis Breakdown'!G2,'Sources and Basis Breakdown'!F2)</f>
        <v>70% PVC for New Const/
Rehabilitation
NON-DDA/
NON-QCT Building(s)</v>
      </c>
      <c r="U7" s="1508"/>
      <c r="V7" s="1508"/>
      <c r="W7" s="1508"/>
      <c r="X7" s="1508"/>
      <c r="Y7" s="1508" t="str">
        <f>IF(T25=100%,"",'Sources and Basis Breakdown'!G2)</f>
        <v/>
      </c>
      <c r="Z7" s="1508"/>
      <c r="AA7" s="1508"/>
      <c r="AB7" s="1508"/>
      <c r="AC7" s="1508"/>
      <c r="AD7" s="1508" t="str">
        <f>IF(T25=100%,'Sources and Basis Breakdown'!J2,'Sources and Basis Breakdown'!I2)</f>
        <v>30% PVC for Acquisition
NON-DDA/
NON-QCT Building(s)</v>
      </c>
      <c r="AE7" s="1508"/>
      <c r="AF7" s="1508"/>
      <c r="AG7" s="1508"/>
      <c r="AH7" s="1508"/>
      <c r="AI7" s="1508" t="str">
        <f>IF(T25=100%,"",'Sources and Basis Breakdown'!J2)</f>
        <v/>
      </c>
      <c r="AJ7" s="1508"/>
      <c r="AK7" s="1508"/>
      <c r="AL7" s="1508"/>
      <c r="AM7" s="1508"/>
    </row>
    <row r="8" spans="1:40" ht="12.9" customHeight="1">
      <c r="B8" s="175"/>
      <c r="T8" s="1508"/>
      <c r="U8" s="1508"/>
      <c r="V8" s="1508"/>
      <c r="W8" s="1508"/>
      <c r="X8" s="1508"/>
      <c r="Y8" s="1508"/>
      <c r="Z8" s="1508"/>
      <c r="AA8" s="1508"/>
      <c r="AB8" s="1508"/>
      <c r="AC8" s="1508"/>
      <c r="AD8" s="1508"/>
      <c r="AE8" s="1508"/>
      <c r="AF8" s="1508"/>
      <c r="AG8" s="1508"/>
      <c r="AH8" s="1508"/>
      <c r="AI8" s="1508"/>
      <c r="AJ8" s="1508"/>
      <c r="AK8" s="1508"/>
      <c r="AL8" s="1508"/>
      <c r="AM8" s="1508"/>
    </row>
    <row r="9" spans="1:40" ht="12.9" customHeight="1">
      <c r="B9" s="175"/>
      <c r="T9" s="1508"/>
      <c r="U9" s="1508"/>
      <c r="V9" s="1508"/>
      <c r="W9" s="1508"/>
      <c r="X9" s="1508"/>
      <c r="Y9" s="1508"/>
      <c r="Z9" s="1508"/>
      <c r="AA9" s="1508"/>
      <c r="AB9" s="1508"/>
      <c r="AC9" s="1508"/>
      <c r="AD9" s="1508"/>
      <c r="AE9" s="1508"/>
      <c r="AF9" s="1508"/>
      <c r="AG9" s="1508"/>
      <c r="AH9" s="1508"/>
      <c r="AI9" s="1508"/>
      <c r="AJ9" s="1508"/>
      <c r="AK9" s="1508"/>
      <c r="AL9" s="1508"/>
      <c r="AM9" s="1508"/>
    </row>
    <row r="10" spans="1:40" ht="12.9" customHeight="1">
      <c r="B10" s="46"/>
      <c r="C10" s="47"/>
      <c r="D10" s="47"/>
      <c r="E10" s="47"/>
      <c r="F10" s="47"/>
      <c r="G10" s="47"/>
      <c r="H10" s="47"/>
      <c r="I10" s="47"/>
      <c r="J10" s="47"/>
      <c r="K10" s="47"/>
      <c r="L10" s="47"/>
      <c r="M10" s="47"/>
      <c r="N10" s="47"/>
      <c r="O10" s="47"/>
      <c r="P10" s="47"/>
      <c r="Q10" s="47"/>
      <c r="R10" s="47"/>
      <c r="S10" s="47"/>
      <c r="T10" s="1508"/>
      <c r="U10" s="1508"/>
      <c r="V10" s="1508"/>
      <c r="W10" s="1508"/>
      <c r="X10" s="1508"/>
      <c r="Y10" s="1508"/>
      <c r="Z10" s="1508"/>
      <c r="AA10" s="1508"/>
      <c r="AB10" s="1508"/>
      <c r="AC10" s="1508"/>
      <c r="AD10" s="1508"/>
      <c r="AE10" s="1508"/>
      <c r="AF10" s="1508"/>
      <c r="AG10" s="1508"/>
      <c r="AH10" s="1508"/>
      <c r="AI10" s="1508"/>
      <c r="AJ10" s="1508"/>
      <c r="AK10" s="1508"/>
      <c r="AL10" s="1508"/>
      <c r="AM10" s="1508"/>
    </row>
    <row r="11" spans="1:40" ht="12.9" customHeight="1">
      <c r="B11" s="1050" t="s">
        <v>1748</v>
      </c>
      <c r="C11" s="1051"/>
      <c r="D11" s="1051"/>
      <c r="E11" s="1051"/>
      <c r="F11" s="1051"/>
      <c r="G11" s="1051"/>
      <c r="H11" s="1051"/>
      <c r="I11" s="1051"/>
      <c r="J11" s="1051"/>
      <c r="K11" s="1051"/>
      <c r="L11" s="1051"/>
      <c r="M11" s="1051"/>
      <c r="N11" s="1051"/>
      <c r="O11" s="1051"/>
      <c r="P11" s="1051"/>
      <c r="Q11" s="1051"/>
      <c r="R11" s="1051"/>
      <c r="S11" s="1053"/>
      <c r="T11" s="1533">
        <f>IF('Sources and Basis Breakdown'!F105=0,'Sources and Basis Breakdown'!E105,'Sources and Basis Breakdown'!F105)</f>
        <v>4810800.75</v>
      </c>
      <c r="U11" s="1524"/>
      <c r="V11" s="1524"/>
      <c r="W11" s="1524"/>
      <c r="X11" s="1524"/>
      <c r="Y11" s="1523">
        <f>IF(Y7="",0,IF('Sources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IF(AI7="",0,IF('Sources and Basis Breakdown'!I105+'Sources and Basis Breakdown'!J105='Sources and Basis Breakdown'!H105,'Sources and Basis Breakdown'!J105,0))</f>
        <v>0</v>
      </c>
      <c r="AJ11" s="1524"/>
      <c r="AK11" s="1524"/>
      <c r="AL11" s="1524"/>
      <c r="AM11" s="1524"/>
    </row>
    <row r="12" spans="1:40" ht="12.9" customHeight="1">
      <c r="B12" s="1529" t="s">
        <v>1749</v>
      </c>
      <c r="C12" s="956"/>
      <c r="D12" s="956"/>
      <c r="E12" s="956"/>
      <c r="F12" s="956"/>
      <c r="G12" s="956"/>
      <c r="H12" s="956"/>
      <c r="I12" s="956"/>
      <c r="J12" s="956"/>
      <c r="K12" s="956"/>
      <c r="L12" s="956"/>
      <c r="M12" s="956"/>
      <c r="N12" s="956"/>
      <c r="O12" s="956"/>
      <c r="P12" s="956"/>
      <c r="Q12" s="956"/>
      <c r="R12" s="956"/>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2.9" customHeight="1">
      <c r="B13" s="8"/>
      <c r="C13" s="1531" t="s">
        <v>1750</v>
      </c>
      <c r="D13" s="1531"/>
      <c r="E13" s="1531"/>
      <c r="F13" s="1531"/>
      <c r="G13" s="1531"/>
      <c r="H13" s="1531"/>
      <c r="I13" s="1531"/>
      <c r="J13" s="1531"/>
      <c r="K13" s="1531"/>
      <c r="L13" s="1531"/>
      <c r="M13" s="1531"/>
      <c r="N13" s="1531"/>
      <c r="O13" s="1531"/>
      <c r="P13" s="1531"/>
      <c r="Q13" s="1531"/>
      <c r="R13" s="1531"/>
      <c r="S13" s="1532"/>
      <c r="T13" s="1525"/>
      <c r="U13" s="1522"/>
      <c r="V13" s="1522"/>
      <c r="W13" s="1522"/>
      <c r="X13" s="1522"/>
      <c r="Y13" s="1525"/>
      <c r="Z13" s="1522"/>
      <c r="AA13" s="1522"/>
      <c r="AB13" s="1522"/>
      <c r="AC13" s="1522"/>
      <c r="AD13" s="1522"/>
      <c r="AE13" s="1522"/>
      <c r="AF13" s="1522"/>
      <c r="AG13" s="1522"/>
      <c r="AH13" s="1522"/>
      <c r="AI13" s="1522"/>
      <c r="AJ13" s="1522"/>
      <c r="AK13" s="1522"/>
      <c r="AL13" s="1522"/>
      <c r="AM13" s="1522"/>
    </row>
    <row r="14" spans="1:40" ht="12.9" customHeight="1">
      <c r="B14" s="8"/>
      <c r="C14" s="1531" t="s">
        <v>1751</v>
      </c>
      <c r="D14" s="1531"/>
      <c r="E14" s="1531"/>
      <c r="F14" s="1531"/>
      <c r="G14" s="1531"/>
      <c r="H14" s="1531"/>
      <c r="I14" s="1531"/>
      <c r="J14" s="1531"/>
      <c r="K14" s="1531"/>
      <c r="L14" s="1531"/>
      <c r="M14" s="1531"/>
      <c r="N14" s="1531"/>
      <c r="O14" s="1531"/>
      <c r="P14" s="1531"/>
      <c r="Q14" s="1531"/>
      <c r="R14" s="1531"/>
      <c r="S14" s="1532"/>
      <c r="T14" s="1112"/>
      <c r="U14" s="1127"/>
      <c r="V14" s="1127"/>
      <c r="W14" s="1127"/>
      <c r="X14" s="1127"/>
      <c r="Y14" s="1112"/>
      <c r="Z14" s="1127"/>
      <c r="AA14" s="1127"/>
      <c r="AB14" s="1127"/>
      <c r="AC14" s="1127"/>
      <c r="AD14" s="1127"/>
      <c r="AE14" s="1127"/>
      <c r="AF14" s="1127"/>
      <c r="AG14" s="1127"/>
      <c r="AH14" s="1127"/>
      <c r="AI14" s="1127"/>
      <c r="AJ14" s="1127"/>
      <c r="AK14" s="1127"/>
      <c r="AL14" s="1127"/>
      <c r="AM14" s="1127"/>
    </row>
    <row r="15" spans="1:40" ht="12.9" customHeight="1">
      <c r="B15" s="8"/>
      <c r="C15" s="1531" t="s">
        <v>1752</v>
      </c>
      <c r="D15" s="1531"/>
      <c r="E15" s="1531"/>
      <c r="F15" s="1531"/>
      <c r="G15" s="1531"/>
      <c r="H15" s="1531"/>
      <c r="I15" s="1531"/>
      <c r="J15" s="1531"/>
      <c r="K15" s="1531"/>
      <c r="L15" s="1531"/>
      <c r="M15" s="1531"/>
      <c r="N15" s="1531"/>
      <c r="O15" s="1531"/>
      <c r="P15" s="1531"/>
      <c r="Q15" s="1531"/>
      <c r="R15" s="1531"/>
      <c r="S15" s="1532"/>
      <c r="T15" s="1112"/>
      <c r="U15" s="1127"/>
      <c r="V15" s="1127"/>
      <c r="W15" s="1127"/>
      <c r="X15" s="1127"/>
      <c r="Y15" s="1112"/>
      <c r="Z15" s="1127"/>
      <c r="AA15" s="1127"/>
      <c r="AB15" s="1127"/>
      <c r="AC15" s="1127"/>
      <c r="AD15" s="1127"/>
      <c r="AE15" s="1127"/>
      <c r="AF15" s="1127"/>
      <c r="AG15" s="1127"/>
      <c r="AH15" s="1127"/>
      <c r="AI15" s="1127"/>
      <c r="AJ15" s="1127"/>
      <c r="AK15" s="1127"/>
      <c r="AL15" s="1127"/>
      <c r="AM15" s="1127"/>
    </row>
    <row r="16" spans="1:40" ht="12.9" customHeight="1">
      <c r="B16" s="8"/>
      <c r="C16" s="1531" t="s">
        <v>1753</v>
      </c>
      <c r="D16" s="1531"/>
      <c r="E16" s="1531"/>
      <c r="F16" s="1531"/>
      <c r="G16" s="1531"/>
      <c r="H16" s="1531"/>
      <c r="I16" s="1531"/>
      <c r="J16" s="1531"/>
      <c r="K16" s="1531"/>
      <c r="L16" s="1531"/>
      <c r="M16" s="1531"/>
      <c r="N16" s="1531"/>
      <c r="O16" s="1531"/>
      <c r="P16" s="1531"/>
      <c r="Q16" s="1531"/>
      <c r="R16" s="1531"/>
      <c r="S16" s="1532"/>
      <c r="T16" s="1112"/>
      <c r="U16" s="1127"/>
      <c r="V16" s="1127"/>
      <c r="W16" s="1127"/>
      <c r="X16" s="1127"/>
      <c r="Y16" s="1112"/>
      <c r="Z16" s="1127"/>
      <c r="AA16" s="1127"/>
      <c r="AB16" s="1127"/>
      <c r="AC16" s="1127"/>
      <c r="AD16" s="1127"/>
      <c r="AE16" s="1127"/>
      <c r="AF16" s="1127"/>
      <c r="AG16" s="1127"/>
      <c r="AH16" s="1127"/>
      <c r="AI16" s="1127"/>
      <c r="AJ16" s="1127"/>
      <c r="AK16" s="1127"/>
      <c r="AL16" s="1127"/>
      <c r="AM16" s="1127"/>
    </row>
    <row r="17" spans="1:39" ht="12.9" customHeight="1">
      <c r="B17" s="8"/>
      <c r="C17" s="1531" t="s">
        <v>1754</v>
      </c>
      <c r="D17" s="1531"/>
      <c r="E17" s="1531"/>
      <c r="F17" s="1531"/>
      <c r="G17" s="1531"/>
      <c r="H17" s="1531"/>
      <c r="I17" s="1531"/>
      <c r="J17" s="1531"/>
      <c r="K17" s="1531"/>
      <c r="L17" s="1531"/>
      <c r="M17" s="1531"/>
      <c r="N17" s="1531"/>
      <c r="O17" s="1531"/>
      <c r="P17" s="1531"/>
      <c r="Q17" s="1531"/>
      <c r="R17" s="1531"/>
      <c r="S17" s="1532"/>
      <c r="T17" s="1112"/>
      <c r="U17" s="1127"/>
      <c r="V17" s="1127"/>
      <c r="W17" s="1127"/>
      <c r="X17" s="1127"/>
      <c r="Y17" s="1112"/>
      <c r="Z17" s="1127"/>
      <c r="AA17" s="1127"/>
      <c r="AB17" s="1127"/>
      <c r="AC17" s="1127"/>
      <c r="AD17" s="1127"/>
      <c r="AE17" s="1127"/>
      <c r="AF17" s="1127"/>
      <c r="AG17" s="1127"/>
      <c r="AH17" s="1127"/>
      <c r="AI17" s="1127"/>
      <c r="AJ17" s="1127"/>
      <c r="AK17" s="1127"/>
      <c r="AL17" s="1127"/>
      <c r="AM17" s="1127"/>
    </row>
    <row r="18" spans="1:39" ht="12.9" customHeight="1">
      <c r="B18" s="825"/>
      <c r="C18" s="1319" t="s">
        <v>1755</v>
      </c>
      <c r="D18" s="1319"/>
      <c r="E18" s="1319"/>
      <c r="F18" s="1319"/>
      <c r="G18" s="1319"/>
      <c r="H18" s="1319"/>
      <c r="I18" s="1319"/>
      <c r="J18" s="1319"/>
      <c r="K18" s="1319"/>
      <c r="L18" s="1319"/>
      <c r="M18" s="1319"/>
      <c r="N18" s="1319"/>
      <c r="O18" s="1319"/>
      <c r="P18" s="1319"/>
      <c r="Q18" s="1319"/>
      <c r="R18" s="1319"/>
      <c r="S18" s="1320"/>
      <c r="T18" s="1110"/>
      <c r="U18" s="1111"/>
      <c r="V18" s="1111"/>
      <c r="W18" s="1111"/>
      <c r="X18" s="1112"/>
      <c r="Y18" s="1112"/>
      <c r="Z18" s="1127"/>
      <c r="AA18" s="1127"/>
      <c r="AB18" s="1127"/>
      <c r="AC18" s="1127"/>
      <c r="AD18" s="1127"/>
      <c r="AE18" s="1127"/>
      <c r="AF18" s="1127"/>
      <c r="AG18" s="1127"/>
      <c r="AH18" s="1127"/>
      <c r="AI18" s="1127"/>
      <c r="AJ18" s="1127"/>
      <c r="AK18" s="1127"/>
      <c r="AL18" s="1127"/>
      <c r="AM18" s="1127"/>
    </row>
    <row r="19" spans="1:39" ht="12.9" customHeight="1">
      <c r="B19" s="396"/>
      <c r="C19" s="1319" t="s">
        <v>1755</v>
      </c>
      <c r="D19" s="1319"/>
      <c r="E19" s="1319"/>
      <c r="F19" s="1319"/>
      <c r="G19" s="1319"/>
      <c r="H19" s="1319"/>
      <c r="I19" s="1319"/>
      <c r="J19" s="1319"/>
      <c r="K19" s="1319"/>
      <c r="L19" s="1319"/>
      <c r="M19" s="1319"/>
      <c r="N19" s="1319"/>
      <c r="O19" s="1319"/>
      <c r="P19" s="1319"/>
      <c r="Q19" s="1319"/>
      <c r="R19" s="1319"/>
      <c r="S19" s="1320"/>
      <c r="T19" s="1112"/>
      <c r="U19" s="1127"/>
      <c r="V19" s="1127"/>
      <c r="W19" s="1127"/>
      <c r="X19" s="1127"/>
      <c r="Y19" s="1112"/>
      <c r="Z19" s="1127"/>
      <c r="AA19" s="1127"/>
      <c r="AB19" s="1127"/>
      <c r="AC19" s="1127"/>
      <c r="AD19" s="1127"/>
      <c r="AE19" s="1127"/>
      <c r="AF19" s="1127"/>
      <c r="AG19" s="1127"/>
      <c r="AH19" s="1127"/>
      <c r="AI19" s="1127"/>
      <c r="AJ19" s="1127"/>
      <c r="AK19" s="1127"/>
      <c r="AL19" s="1127"/>
      <c r="AM19" s="1127"/>
    </row>
    <row r="20" spans="1:39" ht="12.9" customHeight="1">
      <c r="B20" s="1050" t="s">
        <v>1756</v>
      </c>
      <c r="C20" s="1051"/>
      <c r="D20" s="1051"/>
      <c r="E20" s="1051"/>
      <c r="F20" s="1051"/>
      <c r="G20" s="1051"/>
      <c r="H20" s="1051"/>
      <c r="I20" s="1051"/>
      <c r="J20" s="1051"/>
      <c r="K20" s="1051"/>
      <c r="L20" s="1051"/>
      <c r="M20" s="1051"/>
      <c r="N20" s="1051"/>
      <c r="O20" s="1051"/>
      <c r="P20" s="1051"/>
      <c r="Q20" s="1051"/>
      <c r="R20" s="1051"/>
      <c r="S20" s="1053"/>
      <c r="T20" s="1505">
        <f>SUM(T13:X19)</f>
        <v>0</v>
      </c>
      <c r="U20" s="1236"/>
      <c r="V20" s="1236"/>
      <c r="W20" s="1236"/>
      <c r="X20" s="1236"/>
      <c r="Y20" s="1505">
        <f>SUM(Y13:AC19)</f>
        <v>0</v>
      </c>
      <c r="Z20" s="1236"/>
      <c r="AA20" s="1236"/>
      <c r="AB20" s="1236"/>
      <c r="AC20" s="1236"/>
      <c r="AD20" s="1236">
        <f>SUM(AD13:AH19)</f>
        <v>0</v>
      </c>
      <c r="AE20" s="1236"/>
      <c r="AF20" s="1236"/>
      <c r="AG20" s="1236"/>
      <c r="AH20" s="1236"/>
      <c r="AI20" s="1236">
        <f>SUM(AI13:AM19)</f>
        <v>0</v>
      </c>
      <c r="AJ20" s="1236"/>
      <c r="AK20" s="1236"/>
      <c r="AL20" s="1236"/>
      <c r="AM20" s="1236"/>
    </row>
    <row r="21" spans="1:39" ht="12.9" customHeight="1">
      <c r="B21" s="1050" t="s">
        <v>1757</v>
      </c>
      <c r="C21" s="1051"/>
      <c r="D21" s="1051"/>
      <c r="E21" s="1051"/>
      <c r="F21" s="1051"/>
      <c r="G21" s="1051"/>
      <c r="H21" s="1051"/>
      <c r="I21" s="1051"/>
      <c r="J21" s="1051"/>
      <c r="K21" s="1051"/>
      <c r="L21" s="1051"/>
      <c r="M21" s="1051"/>
      <c r="N21" s="1051"/>
      <c r="O21" s="1051"/>
      <c r="P21" s="1051"/>
      <c r="Q21" s="1051"/>
      <c r="R21" s="1051"/>
      <c r="S21" s="1053"/>
      <c r="T21" s="1112"/>
      <c r="U21" s="1127"/>
      <c r="V21" s="1127"/>
      <c r="W21" s="1127"/>
      <c r="X21" s="1127"/>
      <c r="Y21" s="1112"/>
      <c r="Z21" s="1127"/>
      <c r="AA21" s="1127"/>
      <c r="AB21" s="1127"/>
      <c r="AC21" s="1127"/>
      <c r="AD21" s="1112"/>
      <c r="AE21" s="1127"/>
      <c r="AF21" s="1127"/>
      <c r="AG21" s="1127"/>
      <c r="AH21" s="1127"/>
      <c r="AI21" s="1112"/>
      <c r="AJ21" s="1127"/>
      <c r="AK21" s="1127"/>
      <c r="AL21" s="1127"/>
      <c r="AM21" s="1127"/>
    </row>
    <row r="22" spans="1:39" ht="12.9" customHeight="1">
      <c r="B22" s="1050" t="s">
        <v>1758</v>
      </c>
      <c r="C22" s="1051"/>
      <c r="D22" s="1051"/>
      <c r="E22" s="1051"/>
      <c r="F22" s="1051"/>
      <c r="G22" s="1051"/>
      <c r="H22" s="1051"/>
      <c r="I22" s="1051"/>
      <c r="J22" s="1051"/>
      <c r="K22" s="1051"/>
      <c r="L22" s="1051"/>
      <c r="M22" s="1051"/>
      <c r="N22" s="1051"/>
      <c r="O22" s="1051"/>
      <c r="P22" s="1051"/>
      <c r="Q22" s="1051"/>
      <c r="R22" s="1051"/>
      <c r="S22" s="1053"/>
      <c r="T22" s="1534">
        <f>(ABS(T20)+ABS(T21))*-1</f>
        <v>0</v>
      </c>
      <c r="U22" s="1535"/>
      <c r="V22" s="1535"/>
      <c r="W22" s="1535"/>
      <c r="X22" s="1535"/>
      <c r="Y22" s="1534">
        <f t="shared" ref="Y22" si="0">(ABS(Y20)+ABS(Y21))*-1</f>
        <v>0</v>
      </c>
      <c r="Z22" s="1535"/>
      <c r="AA22" s="1535"/>
      <c r="AB22" s="1535"/>
      <c r="AC22" s="1535"/>
      <c r="AD22" s="1534">
        <f t="shared" ref="AD22" si="1">(ABS(AD20)+ABS(AD21))*-1</f>
        <v>0</v>
      </c>
      <c r="AE22" s="1535"/>
      <c r="AF22" s="1535"/>
      <c r="AG22" s="1535"/>
      <c r="AH22" s="1535"/>
      <c r="AI22" s="1534">
        <f t="shared" ref="AI22" si="2">(ABS(AI20)+ABS(AI21))*-1</f>
        <v>0</v>
      </c>
      <c r="AJ22" s="1535"/>
      <c r="AK22" s="1535"/>
      <c r="AL22" s="1535"/>
      <c r="AM22" s="1535"/>
    </row>
    <row r="23" spans="1:39" ht="12.9" customHeight="1">
      <c r="B23" s="1050" t="s">
        <v>1759</v>
      </c>
      <c r="C23" s="1051"/>
      <c r="D23" s="1051"/>
      <c r="E23" s="1051"/>
      <c r="F23" s="1051"/>
      <c r="G23" s="1051"/>
      <c r="H23" s="1051"/>
      <c r="I23" s="1051"/>
      <c r="J23" s="1051"/>
      <c r="K23" s="1051"/>
      <c r="L23" s="1051"/>
      <c r="M23" s="1051"/>
      <c r="N23" s="1051"/>
      <c r="O23" s="1051"/>
      <c r="P23" s="1051"/>
      <c r="Q23" s="1051"/>
      <c r="R23" s="1051"/>
      <c r="S23" s="1053"/>
      <c r="T23" s="1505">
        <f>T11+T22</f>
        <v>4810800.75</v>
      </c>
      <c r="U23" s="1236"/>
      <c r="V23" s="1236"/>
      <c r="W23" s="1236"/>
      <c r="X23" s="1236"/>
      <c r="Y23" s="1505">
        <f>Y11+Y22</f>
        <v>0</v>
      </c>
      <c r="Z23" s="1236"/>
      <c r="AA23" s="1236"/>
      <c r="AB23" s="1236"/>
      <c r="AC23" s="1236"/>
      <c r="AD23" s="1505">
        <f>IF(AD11=AD21,0,AD11)</f>
        <v>0</v>
      </c>
      <c r="AE23" s="1236"/>
      <c r="AF23" s="1236"/>
      <c r="AG23" s="1236"/>
      <c r="AH23" s="1236"/>
      <c r="AI23" s="1505">
        <f>IF(AI11=AI21,0,AI11)</f>
        <v>0</v>
      </c>
      <c r="AJ23" s="1236"/>
      <c r="AK23" s="1236"/>
      <c r="AL23" s="1236"/>
      <c r="AM23" s="1236"/>
    </row>
    <row r="24" spans="1:39" ht="12.9" customHeight="1">
      <c r="B24" s="1050" t="s">
        <v>1760</v>
      </c>
      <c r="C24" s="1051"/>
      <c r="D24" s="1051"/>
      <c r="E24" s="1051"/>
      <c r="F24" s="1051"/>
      <c r="G24" s="1051"/>
      <c r="H24" s="1051"/>
      <c r="I24" s="1051"/>
      <c r="J24" s="1051"/>
      <c r="K24" s="1051"/>
      <c r="L24" s="1051"/>
      <c r="M24" s="1051"/>
      <c r="N24" s="1051"/>
      <c r="O24" s="1051"/>
      <c r="P24" s="1051"/>
      <c r="Q24" s="1051"/>
      <c r="R24" s="1051"/>
      <c r="S24" s="1053"/>
      <c r="T24" s="1506">
        <f>Application!AJ1020</f>
        <v>8160676</v>
      </c>
      <c r="U24" s="1507"/>
      <c r="V24" s="1507"/>
      <c r="W24" s="1507"/>
      <c r="X24" s="1507"/>
      <c r="Y24" s="1507"/>
      <c r="Z24" s="1507"/>
      <c r="AA24" s="1507"/>
      <c r="AB24" s="1507"/>
      <c r="AC24" s="1507"/>
      <c r="AD24" s="1507"/>
      <c r="AE24" s="1507"/>
      <c r="AF24" s="1507"/>
      <c r="AG24" s="1507"/>
      <c r="AH24" s="1507"/>
      <c r="AI24" s="1507"/>
      <c r="AJ24" s="1507"/>
      <c r="AK24" s="1507"/>
      <c r="AL24" s="1507"/>
      <c r="AM24" s="1505"/>
    </row>
    <row r="25" spans="1:39" ht="12.9" customHeight="1">
      <c r="B25" s="1541" t="s">
        <v>1761</v>
      </c>
      <c r="C25" s="1542"/>
      <c r="D25" s="1542"/>
      <c r="E25" s="1542"/>
      <c r="F25" s="1542"/>
      <c r="G25" s="1542"/>
      <c r="H25" s="1542"/>
      <c r="I25" s="1542"/>
      <c r="J25" s="1542"/>
      <c r="K25" s="1542"/>
      <c r="L25" s="1542"/>
      <c r="M25" s="1542"/>
      <c r="N25" s="1542"/>
      <c r="O25" s="1542"/>
      <c r="P25" s="1542"/>
      <c r="Q25" s="1542"/>
      <c r="R25" s="1542"/>
      <c r="S25" s="1543"/>
      <c r="T25" s="1536">
        <f>IF(OR(AND(Application!T193="no",Application!T194="no",Application!T196="no",Application!Y211="no"),Application!T195="yes"),1,1.3)</f>
        <v>1</v>
      </c>
      <c r="U25" s="1537"/>
      <c r="V25" s="1537"/>
      <c r="W25" s="1537"/>
      <c r="X25" s="1537"/>
      <c r="Y25" s="1536">
        <v>1</v>
      </c>
      <c r="Z25" s="1537"/>
      <c r="AA25" s="1537"/>
      <c r="AB25" s="1537"/>
      <c r="AC25" s="1540"/>
      <c r="AD25" s="1536">
        <v>1</v>
      </c>
      <c r="AE25" s="1537"/>
      <c r="AF25" s="1537"/>
      <c r="AG25" s="1537"/>
      <c r="AH25" s="1540"/>
      <c r="AI25" s="1536">
        <v>1</v>
      </c>
      <c r="AJ25" s="1537"/>
      <c r="AK25" s="1537"/>
      <c r="AL25" s="1537"/>
      <c r="AM25" s="1540"/>
    </row>
    <row r="26" spans="1:39" ht="12.9" customHeight="1">
      <c r="B26" s="1050" t="s">
        <v>1762</v>
      </c>
      <c r="C26" s="1051"/>
      <c r="D26" s="1051"/>
      <c r="E26" s="1051"/>
      <c r="F26" s="1051"/>
      <c r="G26" s="1051"/>
      <c r="H26" s="1051"/>
      <c r="I26" s="1051"/>
      <c r="J26" s="1051"/>
      <c r="K26" s="1051"/>
      <c r="L26" s="1051"/>
      <c r="M26" s="1051"/>
      <c r="N26" s="1051"/>
      <c r="O26" s="1051"/>
      <c r="P26" s="1051"/>
      <c r="Q26" s="1051"/>
      <c r="R26" s="1051"/>
      <c r="S26" s="1053"/>
      <c r="T26" s="1041">
        <f>T23*T25</f>
        <v>4810800.75</v>
      </c>
      <c r="U26" s="1103"/>
      <c r="V26" s="1103"/>
      <c r="W26" s="1103"/>
      <c r="X26" s="1103"/>
      <c r="Y26" s="1041">
        <f>Y23*Y25</f>
        <v>0</v>
      </c>
      <c r="Z26" s="1103"/>
      <c r="AA26" s="1103"/>
      <c r="AB26" s="1103"/>
      <c r="AC26" s="1103"/>
      <c r="AD26" s="1041">
        <f>AD23*AD25</f>
        <v>0</v>
      </c>
      <c r="AE26" s="1103"/>
      <c r="AF26" s="1103"/>
      <c r="AG26" s="1103"/>
      <c r="AH26" s="1103"/>
      <c r="AI26" s="1041">
        <f>AI23*AI25</f>
        <v>0</v>
      </c>
      <c r="AJ26" s="1103"/>
      <c r="AK26" s="1103"/>
      <c r="AL26" s="1103"/>
      <c r="AM26" s="1103"/>
    </row>
    <row r="27" spans="1:39" ht="12.9" customHeight="1">
      <c r="A27" s="4"/>
      <c r="B27" s="1541" t="s">
        <v>1763</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2.9" customHeight="1">
      <c r="A28" s="3"/>
      <c r="B28" s="1050" t="s">
        <v>1764</v>
      </c>
      <c r="C28" s="1051"/>
      <c r="D28" s="1051"/>
      <c r="E28" s="1051"/>
      <c r="F28" s="1051"/>
      <c r="G28" s="1051"/>
      <c r="H28" s="1051"/>
      <c r="I28" s="1051"/>
      <c r="J28" s="1051"/>
      <c r="K28" s="1051"/>
      <c r="L28" s="1051"/>
      <c r="M28" s="1051"/>
      <c r="N28" s="1051"/>
      <c r="O28" s="1051"/>
      <c r="P28" s="1051"/>
      <c r="Q28" s="1051"/>
      <c r="R28" s="1051"/>
      <c r="S28" s="1053"/>
      <c r="T28" s="1041">
        <f>IF(ISERROR((T26*T27)),0,(T26*T27))</f>
        <v>4810800.75</v>
      </c>
      <c r="U28" s="1103"/>
      <c r="V28" s="1103"/>
      <c r="W28" s="1103"/>
      <c r="X28" s="1103"/>
      <c r="Y28" s="1041">
        <f>IF(ISERROR((Y26*Y27)),0,(Y26*Y27))</f>
        <v>0</v>
      </c>
      <c r="Z28" s="1103"/>
      <c r="AA28" s="1103"/>
      <c r="AB28" s="1103"/>
      <c r="AC28" s="1103"/>
      <c r="AD28" s="1041">
        <f>IF(ISERROR((AD26*AD27)),0,(AD26*AD27))</f>
        <v>0</v>
      </c>
      <c r="AE28" s="1103"/>
      <c r="AF28" s="1103"/>
      <c r="AG28" s="1103"/>
      <c r="AH28" s="1103"/>
      <c r="AI28" s="1041">
        <f>IF(ISERROR((AI26*AI27)),0,(AI26*AI27))</f>
        <v>0</v>
      </c>
      <c r="AJ28" s="1103"/>
      <c r="AK28" s="1103"/>
      <c r="AL28" s="1103"/>
      <c r="AM28" s="1103"/>
    </row>
    <row r="29" spans="1:39" ht="12.9" customHeight="1">
      <c r="B29" s="1050" t="s">
        <v>1765</v>
      </c>
      <c r="C29" s="1051"/>
      <c r="D29" s="1051"/>
      <c r="E29" s="1051"/>
      <c r="F29" s="1051"/>
      <c r="G29" s="1051"/>
      <c r="H29" s="1051"/>
      <c r="I29" s="1051"/>
      <c r="J29" s="1051"/>
      <c r="K29" s="1051"/>
      <c r="L29" s="1051"/>
      <c r="M29" s="1051"/>
      <c r="N29" s="1051"/>
      <c r="O29" s="1051"/>
      <c r="P29" s="1051"/>
      <c r="Q29" s="1051"/>
      <c r="R29" s="1051"/>
      <c r="S29" s="1053"/>
      <c r="T29" s="1506">
        <f>T28+Y28+AD28+AI28</f>
        <v>4810800.75</v>
      </c>
      <c r="U29" s="1507"/>
      <c r="V29" s="1507"/>
      <c r="W29" s="1507"/>
      <c r="X29" s="1507"/>
      <c r="Y29" s="1507"/>
      <c r="Z29" s="1507"/>
      <c r="AA29" s="1507"/>
      <c r="AB29" s="1507"/>
      <c r="AC29" s="1507"/>
      <c r="AD29" s="1507"/>
      <c r="AE29" s="1507"/>
      <c r="AF29" s="1507"/>
      <c r="AG29" s="1507"/>
      <c r="AH29" s="1507"/>
      <c r="AI29" s="1507"/>
      <c r="AJ29" s="1507"/>
      <c r="AK29" s="1507"/>
      <c r="AL29" s="1507"/>
      <c r="AM29" s="1505"/>
    </row>
    <row r="30" spans="1:39" ht="12.9" customHeight="1">
      <c r="B30" s="1518" t="s">
        <v>1766</v>
      </c>
      <c r="C30" s="1518"/>
      <c r="D30" s="1518"/>
      <c r="E30" s="1518"/>
      <c r="F30" s="1518"/>
      <c r="G30" s="1518"/>
      <c r="H30" s="1518"/>
      <c r="I30" s="1518"/>
      <c r="J30" s="1518"/>
      <c r="K30" s="1518"/>
      <c r="L30" s="1518"/>
      <c r="M30" s="1518"/>
      <c r="N30" s="1518"/>
      <c r="O30" s="1518"/>
      <c r="P30" s="1518"/>
      <c r="Q30" s="1518"/>
      <c r="R30" s="1518"/>
      <c r="S30" s="1518"/>
      <c r="T30" s="1518"/>
      <c r="U30" s="1518"/>
      <c r="V30" s="1518"/>
      <c r="W30" s="1518"/>
      <c r="X30" s="1518"/>
      <c r="Y30" s="1518"/>
      <c r="Z30" s="1518"/>
      <c r="AA30" s="1518"/>
      <c r="AB30" s="1518"/>
      <c r="AC30" s="1518"/>
      <c r="AD30" s="1518"/>
      <c r="AE30" s="1518"/>
      <c r="AF30" s="1518"/>
      <c r="AG30" s="1518"/>
      <c r="AH30" s="1518"/>
      <c r="AI30" s="1518"/>
      <c r="AJ30" s="1518"/>
      <c r="AK30" s="1518"/>
      <c r="AL30" s="1518"/>
      <c r="AM30" s="1518"/>
    </row>
    <row r="31" spans="1:39" ht="12.9" customHeight="1">
      <c r="B31" s="1501" t="s">
        <v>1767</v>
      </c>
      <c r="C31" s="1501"/>
      <c r="D31" s="1501"/>
      <c r="E31" s="1501"/>
      <c r="F31" s="1501"/>
      <c r="G31" s="1501"/>
      <c r="H31" s="1501"/>
      <c r="I31" s="1501"/>
      <c r="J31" s="1501"/>
      <c r="K31" s="1501"/>
      <c r="L31" s="1501"/>
      <c r="M31" s="1501"/>
      <c r="N31" s="1501"/>
      <c r="O31" s="1501"/>
      <c r="P31" s="1501"/>
      <c r="Q31" s="1501"/>
      <c r="R31" s="1501"/>
      <c r="S31" s="1501"/>
      <c r="T31" s="1501"/>
      <c r="U31" s="1501"/>
      <c r="V31" s="1501"/>
      <c r="W31" s="1501"/>
      <c r="X31" s="1501"/>
      <c r="Y31" s="1501"/>
      <c r="Z31" s="1501"/>
      <c r="AA31" s="1501"/>
      <c r="AB31" s="1501"/>
      <c r="AC31" s="1501"/>
      <c r="AD31" s="1501"/>
      <c r="AE31" s="1501"/>
      <c r="AF31" s="1501"/>
      <c r="AG31" s="1501"/>
      <c r="AH31" s="1501"/>
      <c r="AI31" s="1501"/>
      <c r="AJ31" s="1501"/>
      <c r="AK31" s="1501"/>
      <c r="AL31" s="1501"/>
      <c r="AM31" s="1501"/>
    </row>
    <row r="33" spans="1:44" ht="12.9" customHeight="1">
      <c r="C33" s="4"/>
      <c r="X33" s="55"/>
      <c r="Y33" s="159"/>
      <c r="Z33" s="159"/>
      <c r="AA33" s="159"/>
      <c r="AB33" s="159"/>
      <c r="AC33" s="159"/>
      <c r="AD33" s="159"/>
      <c r="AE33" s="159"/>
      <c r="AF33" s="159"/>
      <c r="AG33" s="159"/>
      <c r="AH33" s="159"/>
    </row>
    <row r="34" spans="1:44" ht="12.9" customHeight="1">
      <c r="A34" s="3" t="s">
        <v>826</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08" t="s">
        <v>1768</v>
      </c>
      <c r="Z35" s="1508"/>
      <c r="AA35" s="1508"/>
      <c r="AB35" s="1508"/>
      <c r="AC35" s="1508"/>
      <c r="AD35" s="1172" t="s">
        <v>1769</v>
      </c>
      <c r="AE35" s="1172"/>
      <c r="AF35" s="1172"/>
      <c r="AG35" s="1172"/>
      <c r="AH35" s="1172"/>
    </row>
    <row r="36" spans="1:44" ht="12.9" customHeight="1">
      <c r="B36" s="175"/>
      <c r="X36" s="63"/>
      <c r="Y36" s="1508"/>
      <c r="Z36" s="1508"/>
      <c r="AA36" s="1508"/>
      <c r="AB36" s="1508"/>
      <c r="AC36" s="1508"/>
      <c r="AD36" s="1172"/>
      <c r="AE36" s="1172"/>
      <c r="AF36" s="1172"/>
      <c r="AG36" s="1172"/>
      <c r="AH36" s="1172"/>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08"/>
      <c r="Z37" s="1508"/>
      <c r="AA37" s="1508"/>
      <c r="AB37" s="1508"/>
      <c r="AC37" s="1508"/>
      <c r="AD37" s="1172"/>
      <c r="AE37" s="1172"/>
      <c r="AF37" s="1172"/>
      <c r="AG37" s="1172"/>
      <c r="AH37" s="1172"/>
    </row>
    <row r="38" spans="1:44" ht="12.9" customHeight="1">
      <c r="A38" s="3"/>
      <c r="B38" s="1050" t="s">
        <v>1764</v>
      </c>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3"/>
      <c r="Y38" s="1236">
        <f>IF(T24&gt;=(T23+Y23+AD23+AI23),T28+Y28,0)</f>
        <v>4810800.75</v>
      </c>
      <c r="Z38" s="1236"/>
      <c r="AA38" s="1236"/>
      <c r="AB38" s="1236"/>
      <c r="AC38" s="1236"/>
      <c r="AD38" s="1236">
        <f>IF(T24&gt;=(T23+Y23+AD23+AI23),AD28+AI28,0)</f>
        <v>0</v>
      </c>
      <c r="AE38" s="1236"/>
      <c r="AF38" s="1236"/>
      <c r="AG38" s="1236"/>
      <c r="AH38" s="1236"/>
    </row>
    <row r="39" spans="1:44" ht="12.9" customHeight="1">
      <c r="B39" s="1050" t="s">
        <v>1770</v>
      </c>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3"/>
      <c r="Y39" s="1504">
        <v>0.09</v>
      </c>
      <c r="Z39" s="1504"/>
      <c r="AA39" s="1504"/>
      <c r="AB39" s="1504"/>
      <c r="AC39" s="1504"/>
      <c r="AD39" s="1504">
        <v>0.04</v>
      </c>
      <c r="AE39" s="1504"/>
      <c r="AF39" s="1504"/>
      <c r="AG39" s="1504"/>
      <c r="AH39" s="1504"/>
    </row>
    <row r="40" spans="1:44" ht="12.9" customHeight="1">
      <c r="A40" s="3"/>
      <c r="B40" s="1050" t="s">
        <v>1771</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3"/>
      <c r="Y40" s="1236">
        <f>ROUND(Y38*Y39,0)</f>
        <v>432972</v>
      </c>
      <c r="Z40" s="1236"/>
      <c r="AA40" s="1236"/>
      <c r="AB40" s="1236"/>
      <c r="AC40" s="1236"/>
      <c r="AD40" s="1505">
        <f>ROUND(AD38*AD39,0)</f>
        <v>0</v>
      </c>
      <c r="AE40" s="1236"/>
      <c r="AF40" s="1236"/>
      <c r="AG40" s="1236"/>
      <c r="AH40" s="1236"/>
    </row>
    <row r="41" spans="1:44" ht="12.9" customHeight="1">
      <c r="B41" s="1050" t="s">
        <v>1772</v>
      </c>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3"/>
      <c r="Y41" s="1506">
        <f>IF(Application!Y211="No",'Basis &amp; Credits'!AR42,AR43)</f>
        <v>432972</v>
      </c>
      <c r="Z41" s="1507"/>
      <c r="AA41" s="1507"/>
      <c r="AB41" s="1507"/>
      <c r="AC41" s="1507"/>
      <c r="AD41" s="1507"/>
      <c r="AE41" s="1507"/>
      <c r="AF41" s="1507"/>
      <c r="AG41" s="1507"/>
      <c r="AH41" s="1505"/>
    </row>
    <row r="42" spans="1:44" ht="12.9" customHeight="1">
      <c r="A42" s="3"/>
      <c r="B42" s="1516" t="s">
        <v>1773</v>
      </c>
      <c r="C42" s="1516"/>
      <c r="D42" s="1516"/>
      <c r="E42" s="1516"/>
      <c r="F42" s="1516"/>
      <c r="G42" s="1516"/>
      <c r="H42" s="1516"/>
      <c r="I42" s="1516"/>
      <c r="J42" s="1516"/>
      <c r="K42" s="1516"/>
      <c r="L42" s="1516"/>
      <c r="M42" s="1516"/>
      <c r="N42" s="1516"/>
      <c r="O42" s="1516"/>
      <c r="P42" s="1516"/>
      <c r="Q42" s="1516"/>
      <c r="R42" s="1516"/>
      <c r="S42" s="1516"/>
      <c r="T42" s="1516"/>
      <c r="U42" s="1516"/>
      <c r="V42" s="1516"/>
      <c r="W42" s="1516"/>
      <c r="X42" s="1516"/>
      <c r="Y42" s="1516"/>
      <c r="Z42" s="1516"/>
      <c r="AA42" s="1516"/>
      <c r="AB42" s="1516"/>
      <c r="AC42" s="1516"/>
      <c r="AD42" s="1516"/>
      <c r="AE42" s="1516"/>
      <c r="AF42" s="1516"/>
      <c r="AG42" s="1516"/>
      <c r="AH42" s="1516"/>
      <c r="AI42" s="25"/>
      <c r="AJ42" s="25"/>
      <c r="AK42" s="25"/>
      <c r="AL42" s="25"/>
      <c r="AM42" s="25"/>
      <c r="AN42" s="25"/>
      <c r="AR42">
        <f>IF((Y40+AD40)&gt;2500000,2500000,Y40+AD40)</f>
        <v>432972</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432972</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907</v>
      </c>
      <c r="C45" s="3" t="s">
        <v>279</v>
      </c>
    </row>
    <row r="46" spans="1:44" ht="12.9" customHeight="1">
      <c r="D46" s="3" t="s">
        <v>1774</v>
      </c>
      <c r="AB46" s="1173">
        <f>'Sources and Uses Budget'!B104-(MAX(IF('Sources and Uses Budget'!B15="",0,'Sources and Uses Budget'!B15),IF(Application!AG387="",0,Application!AG387)))</f>
        <v>7425654.6644075764</v>
      </c>
      <c r="AC46" s="1174"/>
      <c r="AD46" s="1174"/>
      <c r="AE46" s="1174"/>
      <c r="AF46" s="1175"/>
    </row>
    <row r="47" spans="1:44" ht="12.9" customHeight="1">
      <c r="D47" s="3" t="s">
        <v>184</v>
      </c>
      <c r="AB47" s="1173">
        <f>Application!AO633-MAX(IF('Sources and Uses Budget'!B15="",0,'Sources and Uses Budget'!B15),IF(Application!AG387="",0,Application!AG387))</f>
        <v>2528270</v>
      </c>
      <c r="AC47" s="1174"/>
      <c r="AD47" s="1174"/>
      <c r="AE47" s="1174"/>
      <c r="AF47" s="1175"/>
    </row>
    <row r="48" spans="1:44" ht="12.9" customHeight="1">
      <c r="D48" s="3" t="s">
        <v>1775</v>
      </c>
      <c r="AB48" s="1173">
        <f>AB46-AB47</f>
        <v>4897384.6644075764</v>
      </c>
      <c r="AC48" s="1174"/>
      <c r="AD48" s="1174"/>
      <c r="AE48" s="1174"/>
      <c r="AF48" s="1175"/>
    </row>
    <row r="49" spans="1:40" ht="12.9" customHeight="1">
      <c r="D49" s="3" t="s">
        <v>1776</v>
      </c>
      <c r="AA49" s="31"/>
      <c r="AB49" s="1511">
        <v>0.86175740000000001</v>
      </c>
      <c r="AC49" s="1512"/>
      <c r="AD49" s="1512"/>
      <c r="AE49" s="1512"/>
      <c r="AF49" s="1513"/>
    </row>
    <row r="50" spans="1:40" s="271" customFormat="1" ht="12.9" customHeight="1">
      <c r="A50"/>
      <c r="B50"/>
      <c r="C50"/>
      <c r="D50"/>
      <c r="E50" s="1517" t="s">
        <v>1777</v>
      </c>
      <c r="F50" s="1517"/>
      <c r="G50" s="1517"/>
      <c r="H50" s="1517"/>
      <c r="I50" s="1517"/>
      <c r="J50" s="1517"/>
      <c r="K50" s="1517"/>
      <c r="L50" s="1517"/>
      <c r="M50" s="1517"/>
      <c r="N50" s="1517"/>
      <c r="O50" s="1517"/>
      <c r="P50" s="1517"/>
      <c r="Q50" s="1517"/>
      <c r="R50" s="1517"/>
      <c r="S50" s="1517"/>
      <c r="T50" s="1517"/>
      <c r="U50" s="1517"/>
      <c r="V50" s="1517"/>
      <c r="W50" s="1517"/>
      <c r="X50" s="1517"/>
      <c r="Y50" s="1517"/>
      <c r="Z50" s="1517"/>
      <c r="AA50" s="703"/>
      <c r="AB50" s="703"/>
      <c r="AC50" s="703"/>
      <c r="AD50" s="703"/>
      <c r="AE50" s="703"/>
      <c r="AF50" s="703"/>
      <c r="AG50"/>
      <c r="AH50"/>
      <c r="AI50"/>
      <c r="AJ50"/>
      <c r="AK50"/>
      <c r="AL50"/>
      <c r="AM50"/>
      <c r="AN50"/>
    </row>
    <row r="51" spans="1:40" s="271" customFormat="1" ht="12.9" customHeight="1">
      <c r="A51"/>
      <c r="B51"/>
      <c r="C51"/>
      <c r="D51"/>
      <c r="E51" s="1517"/>
      <c r="F51" s="1517"/>
      <c r="G51" s="1517"/>
      <c r="H51" s="1517"/>
      <c r="I51" s="1517"/>
      <c r="J51" s="1517"/>
      <c r="K51" s="1517"/>
      <c r="L51" s="1517"/>
      <c r="M51" s="1517"/>
      <c r="N51" s="1517"/>
      <c r="O51" s="1517"/>
      <c r="P51" s="1517"/>
      <c r="Q51" s="1517"/>
      <c r="R51" s="1517"/>
      <c r="S51" s="1517"/>
      <c r="T51" s="1517"/>
      <c r="U51" s="1517"/>
      <c r="V51" s="1517"/>
      <c r="W51" s="1517"/>
      <c r="X51" s="1517"/>
      <c r="Y51" s="1517"/>
      <c r="Z51" s="1517"/>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1778</v>
      </c>
      <c r="AB53" s="1173">
        <f>ROUND(IF(ISERROR((AB48/AB49)),0,(AB48/AB49)),0)</f>
        <v>5683020</v>
      </c>
      <c r="AC53" s="1174"/>
      <c r="AD53" s="1174"/>
      <c r="AE53" s="1174"/>
      <c r="AF53" s="1175"/>
    </row>
    <row r="54" spans="1:40" ht="12.9" customHeight="1">
      <c r="D54" s="3" t="s">
        <v>1779</v>
      </c>
      <c r="AB54" s="1173">
        <f>(AB53/10)</f>
        <v>568302</v>
      </c>
      <c r="AC54" s="1174"/>
      <c r="AD54" s="1174"/>
      <c r="AE54" s="1174"/>
      <c r="AF54" s="1175"/>
    </row>
    <row r="55" spans="1:40" ht="12.9" customHeight="1">
      <c r="D55" s="3" t="s">
        <v>1780</v>
      </c>
      <c r="AB55" s="1173">
        <f>(IF((Y41&lt;AB54),Y41,AB54))</f>
        <v>432972</v>
      </c>
      <c r="AC55" s="1174"/>
      <c r="AD55" s="1174"/>
      <c r="AE55" s="1174"/>
      <c r="AF55" s="1175"/>
    </row>
    <row r="56" spans="1:40" ht="12.9" customHeight="1">
      <c r="D56" s="3" t="s">
        <v>1781</v>
      </c>
      <c r="AB56" s="1173">
        <f>ROUND((10*AB55*AB49),0)</f>
        <v>3731168</v>
      </c>
      <c r="AC56" s="1174"/>
      <c r="AD56" s="1174"/>
      <c r="AE56" s="1174"/>
      <c r="AF56" s="1175"/>
    </row>
    <row r="57" spans="1:40" ht="12.9" customHeight="1">
      <c r="D57" s="3"/>
      <c r="AB57" s="238"/>
      <c r="AC57" s="238"/>
      <c r="AD57" s="238"/>
      <c r="AE57" s="238"/>
      <c r="AF57" s="238"/>
    </row>
    <row r="58" spans="1:40" ht="12.9" customHeight="1">
      <c r="D58" s="3" t="s">
        <v>1782</v>
      </c>
      <c r="AB58" s="1240">
        <f>AB48-AB56</f>
        <v>1166216.6644075764</v>
      </c>
      <c r="AC58" s="1240"/>
      <c r="AD58" s="1240"/>
      <c r="AE58" s="1240"/>
      <c r="AF58" s="1240"/>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2" t="s">
        <v>1783</v>
      </c>
      <c r="B60" s="1502"/>
      <c r="C60" s="1502"/>
      <c r="D60" s="1502"/>
      <c r="E60" s="1502"/>
      <c r="F60" s="1502"/>
      <c r="G60" s="1502"/>
      <c r="H60" s="1502"/>
      <c r="I60" s="1502"/>
      <c r="J60" s="1502"/>
      <c r="K60" s="1502"/>
      <c r="L60" s="1502"/>
      <c r="M60" s="1502"/>
      <c r="N60" s="1502"/>
      <c r="O60" s="1502"/>
      <c r="P60" s="1502"/>
      <c r="Q60" s="1502"/>
      <c r="R60" s="1502"/>
      <c r="S60" s="1502"/>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929</v>
      </c>
      <c r="C62" s="3" t="s">
        <v>285</v>
      </c>
      <c r="Y62" s="1459" t="s">
        <v>1784</v>
      </c>
      <c r="Z62" s="1459"/>
      <c r="AA62" s="1459"/>
      <c r="AB62" s="1459"/>
      <c r="AC62" s="1459"/>
      <c r="AD62" s="1459" t="s">
        <v>1769</v>
      </c>
      <c r="AE62" s="1459"/>
      <c r="AF62" s="1459"/>
      <c r="AG62" s="1459"/>
      <c r="AH62" s="1459"/>
    </row>
    <row r="63" spans="1:40" ht="12.9" customHeight="1">
      <c r="C63" s="3"/>
      <c r="D63" s="107" t="s">
        <v>1785</v>
      </c>
      <c r="E63" s="15"/>
      <c r="F63" s="15"/>
      <c r="G63" s="15"/>
      <c r="H63" s="15"/>
      <c r="I63" s="15"/>
      <c r="J63" s="15"/>
      <c r="K63" s="15"/>
      <c r="L63" s="15"/>
      <c r="M63" s="15"/>
      <c r="N63" s="15"/>
      <c r="O63" s="15"/>
      <c r="P63" s="15"/>
      <c r="Q63" s="15"/>
      <c r="R63" s="15"/>
      <c r="S63" s="15"/>
      <c r="T63" s="15"/>
      <c r="U63" s="15"/>
      <c r="V63" s="15"/>
      <c r="W63" s="15"/>
      <c r="X63" s="15"/>
      <c r="Y63" s="1103">
        <f>IF(AND(Application!T193="No",Application!T194="No"),T28,IF(OR(AND(T25=1.3,Application!T196="Yes",Application!D214="Special Needs"),T25=1),(T23*T27)+Y28,Y28))</f>
        <v>4810800.75</v>
      </c>
      <c r="Z63" s="1514"/>
      <c r="AA63" s="1514"/>
      <c r="AB63" s="1514"/>
      <c r="AC63" s="1514"/>
      <c r="AD63" s="1236">
        <f>IF(AND(T25=1.3,Application!D214="At-Risk"),AI28,IF(Application!D214&lt;&gt;"At-Risk",0,AD28))</f>
        <v>0</v>
      </c>
      <c r="AE63" s="1514"/>
      <c r="AF63" s="1514"/>
      <c r="AG63" s="1514"/>
      <c r="AH63" s="1514"/>
    </row>
    <row r="64" spans="1:40" ht="12.9" customHeight="1">
      <c r="C64" s="3"/>
      <c r="E64" s="1503" t="s">
        <v>1786</v>
      </c>
      <c r="F64" s="1503"/>
      <c r="G64" s="1503"/>
      <c r="H64" s="1503"/>
      <c r="I64" s="1503"/>
      <c r="J64" s="1503"/>
      <c r="K64" s="1503"/>
      <c r="L64" s="1503"/>
      <c r="M64" s="1503"/>
      <c r="N64" s="1503"/>
      <c r="O64" s="1503"/>
      <c r="P64" s="1503"/>
      <c r="Q64" s="1503"/>
      <c r="R64" s="1503"/>
      <c r="S64" s="1503"/>
      <c r="T64" s="1503"/>
      <c r="U64" s="1503"/>
      <c r="V64" s="1503"/>
      <c r="W64" s="1503"/>
      <c r="X64" s="1503"/>
      <c r="Y64" s="1503"/>
      <c r="Z64" s="1503"/>
      <c r="AA64" s="1503"/>
      <c r="AB64" s="1503"/>
      <c r="AC64" s="1503"/>
      <c r="AD64" s="1503"/>
      <c r="AE64" s="1503"/>
      <c r="AF64" s="1503"/>
      <c r="AG64" s="1503"/>
      <c r="AH64" s="1503"/>
    </row>
    <row r="65" spans="1:34" ht="21.75" customHeight="1">
      <c r="C65" s="3"/>
      <c r="E65" s="1503"/>
      <c r="F65" s="1503"/>
      <c r="G65" s="1503"/>
      <c r="H65" s="1503"/>
      <c r="I65" s="1503"/>
      <c r="J65" s="1503"/>
      <c r="K65" s="1503"/>
      <c r="L65" s="1503"/>
      <c r="M65" s="1503"/>
      <c r="N65" s="1503"/>
      <c r="O65" s="1503"/>
      <c r="P65" s="1503"/>
      <c r="Q65" s="1503"/>
      <c r="R65" s="1503"/>
      <c r="S65" s="1503"/>
      <c r="T65" s="1503"/>
      <c r="U65" s="1503"/>
      <c r="V65" s="1503"/>
      <c r="W65" s="1503"/>
      <c r="X65" s="1503"/>
      <c r="Y65" s="1503"/>
      <c r="Z65" s="1503"/>
      <c r="AA65" s="1503"/>
      <c r="AB65" s="1503"/>
      <c r="AC65" s="1503"/>
      <c r="AD65" s="1503"/>
      <c r="AE65" s="1503"/>
      <c r="AF65" s="1503"/>
      <c r="AG65" s="1503"/>
      <c r="AH65" s="1503"/>
    </row>
    <row r="66" spans="1:34" ht="12.9" customHeight="1">
      <c r="C66" s="3"/>
      <c r="D66" s="3" t="s">
        <v>1787</v>
      </c>
      <c r="E66" s="83"/>
      <c r="F66" s="83"/>
      <c r="G66" s="83"/>
      <c r="H66" s="83"/>
      <c r="I66" s="83"/>
      <c r="J66" s="83"/>
      <c r="K66" s="83"/>
      <c r="L66" s="83"/>
      <c r="M66" s="83"/>
      <c r="N66" s="83"/>
      <c r="O66" s="83"/>
      <c r="P66" s="83"/>
      <c r="Q66" s="83"/>
      <c r="R66" s="83"/>
      <c r="S66" s="83"/>
      <c r="T66" s="83"/>
      <c r="U66" s="83"/>
      <c r="V66" s="83"/>
      <c r="W66" s="83"/>
      <c r="X66" s="83"/>
      <c r="Y66" s="1510">
        <f>IF(Application!W198="Yes",95%, 30%)</f>
        <v>0.3</v>
      </c>
      <c r="Z66" s="1510"/>
      <c r="AA66" s="1510"/>
      <c r="AB66" s="1510"/>
      <c r="AC66" s="1510"/>
      <c r="AD66" s="1510">
        <f>IF(Application!W198="Yes",95%, 13%)</f>
        <v>0.13</v>
      </c>
      <c r="AE66" s="1510"/>
      <c r="AF66" s="1510"/>
      <c r="AG66" s="1510"/>
      <c r="AH66" s="1510"/>
    </row>
    <row r="67" spans="1:34" ht="12.9" customHeight="1">
      <c r="C67" s="3"/>
      <c r="D67" s="3" t="s">
        <v>1788</v>
      </c>
      <c r="Y67" s="1236">
        <f>ROUND(Y63*Y66,0)</f>
        <v>1443240</v>
      </c>
      <c r="Z67" s="1514"/>
      <c r="AA67" s="1514"/>
      <c r="AB67" s="1514"/>
      <c r="AC67" s="1514"/>
      <c r="AD67" s="1236" t="str">
        <f>IF(OR(Application!D211="At-Risk",Application!D211="At-Risk/Located in Rural Census Tract",Application!D214="At-Risk"),ROUND(AD63*AD66,0),"$0")</f>
        <v>$0</v>
      </c>
      <c r="AE67" s="1236"/>
      <c r="AF67" s="1236"/>
      <c r="AG67" s="1236"/>
      <c r="AH67" s="1236"/>
    </row>
    <row r="68" spans="1:34" ht="12.9" customHeight="1">
      <c r="C68" s="3"/>
      <c r="E68" s="686" t="s">
        <v>1789</v>
      </c>
      <c r="F68" s="283"/>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row>
    <row r="69" spans="1:34" ht="12.9" customHeight="1">
      <c r="A69" s="3" t="s">
        <v>941</v>
      </c>
      <c r="C69" s="3" t="s">
        <v>288</v>
      </c>
      <c r="E69" s="685"/>
      <c r="F69" s="685"/>
      <c r="G69" s="685"/>
      <c r="H69" s="685"/>
      <c r="I69" s="685"/>
      <c r="J69" s="685"/>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row>
    <row r="70" spans="1:34" ht="12.9" customHeight="1">
      <c r="A70" s="3"/>
      <c r="C70" s="3"/>
      <c r="D70" s="3" t="s">
        <v>1790</v>
      </c>
      <c r="AB70" s="1511">
        <v>0.80805479999999996</v>
      </c>
      <c r="AC70" s="1512"/>
      <c r="AD70" s="1512"/>
      <c r="AE70" s="1512"/>
      <c r="AF70" s="1513"/>
    </row>
    <row r="71" spans="1:34" ht="12.9" customHeight="1">
      <c r="A71" s="3"/>
      <c r="C71" s="3"/>
      <c r="D71" s="3"/>
      <c r="E71" s="1515" t="s">
        <v>1791</v>
      </c>
      <c r="F71" s="1515"/>
      <c r="G71" s="1515"/>
      <c r="H71" s="1515"/>
      <c r="I71" s="1515"/>
      <c r="J71" s="1515"/>
      <c r="K71" s="1515"/>
      <c r="L71" s="1515"/>
      <c r="M71" s="1515"/>
      <c r="N71" s="1515"/>
      <c r="O71" s="1515"/>
      <c r="P71" s="1515"/>
      <c r="Q71" s="1515"/>
      <c r="R71" s="1515"/>
      <c r="S71" s="1515"/>
      <c r="T71" s="1515"/>
      <c r="U71" s="1515"/>
      <c r="V71" s="1515"/>
      <c r="W71" s="1515"/>
      <c r="X71" s="1515"/>
      <c r="Y71" s="1515"/>
      <c r="Z71" s="1515"/>
      <c r="AA71" s="219"/>
      <c r="AB71" s="219"/>
      <c r="AC71" s="219"/>
    </row>
    <row r="72" spans="1:34" ht="12.9" customHeight="1">
      <c r="A72" s="3"/>
      <c r="C72" s="3"/>
      <c r="D72" s="3"/>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219"/>
      <c r="AB72" s="219"/>
      <c r="AC72" s="219"/>
    </row>
    <row r="73" spans="1:34" ht="12.9" customHeight="1">
      <c r="A73" s="3"/>
      <c r="C73" s="3"/>
      <c r="D73" s="3"/>
      <c r="E73" s="1515"/>
      <c r="F73" s="1515"/>
      <c r="G73" s="1515"/>
      <c r="H73" s="1515"/>
      <c r="I73" s="1515"/>
      <c r="J73" s="1515"/>
      <c r="K73" s="1515"/>
      <c r="L73" s="1515"/>
      <c r="M73" s="1515"/>
      <c r="N73" s="1515"/>
      <c r="O73" s="1515"/>
      <c r="P73" s="1515"/>
      <c r="Q73" s="1515"/>
      <c r="R73" s="1515"/>
      <c r="S73" s="1515"/>
      <c r="T73" s="1515"/>
      <c r="U73" s="1515"/>
      <c r="V73" s="1515"/>
      <c r="W73" s="1515"/>
      <c r="X73" s="1515"/>
      <c r="Y73" s="1515"/>
      <c r="Z73" s="1515"/>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1792</v>
      </c>
      <c r="AB75" s="1217">
        <f>ROUND(IF(ISERROR((AB58/AB70)),0,(AB58/AB70)),0)</f>
        <v>1443240</v>
      </c>
      <c r="AC75" s="1217"/>
      <c r="AD75" s="1217"/>
      <c r="AE75" s="1217"/>
      <c r="AF75" s="1217"/>
    </row>
    <row r="76" spans="1:34" ht="12.9" customHeight="1">
      <c r="C76" s="3"/>
      <c r="D76" s="3" t="s">
        <v>1793</v>
      </c>
      <c r="AB76" s="1122">
        <f>IF((Y67+AD67&lt;AB75),Y67+AD67,AB75)</f>
        <v>1443240</v>
      </c>
      <c r="AC76" s="1123"/>
      <c r="AD76" s="1123"/>
      <c r="AE76" s="1123"/>
      <c r="AF76" s="1124"/>
    </row>
    <row r="77" spans="1:34" ht="12.9" customHeight="1">
      <c r="C77" s="3"/>
      <c r="D77" s="3" t="s">
        <v>1794</v>
      </c>
      <c r="AB77" s="1509">
        <f>AB76*AB70</f>
        <v>1166217.0095519999</v>
      </c>
      <c r="AC77" s="1509"/>
      <c r="AD77" s="1509"/>
      <c r="AE77" s="1509"/>
      <c r="AF77" s="1509"/>
    </row>
    <row r="78" spans="1:34" ht="12.9" customHeight="1">
      <c r="C78" s="3"/>
      <c r="D78" s="3"/>
      <c r="AB78" s="504"/>
      <c r="AC78" s="504"/>
      <c r="AD78" s="504"/>
      <c r="AE78" s="504"/>
      <c r="AF78" s="504"/>
    </row>
    <row r="79" spans="1:34" ht="12.9" customHeight="1">
      <c r="D79" s="3" t="s">
        <v>1782</v>
      </c>
      <c r="AB79" s="1240">
        <f>AB48-(AB56+AB77)</f>
        <v>-0.3451444236561656</v>
      </c>
      <c r="AC79" s="1240"/>
      <c r="AD79" s="1240"/>
      <c r="AE79" s="1240"/>
      <c r="AF79" s="1240"/>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88671875" defaultRowHeight="12" zeroHeight="1"/>
  <cols>
    <col min="1" max="1" width="32.44140625" style="395" customWidth="1"/>
    <col min="2" max="3" width="12.109375" style="393" customWidth="1"/>
    <col min="4" max="4" width="12.88671875" style="393" customWidth="1"/>
    <col min="5" max="6" width="12.44140625" style="393" customWidth="1"/>
    <col min="7" max="7" width="13.44140625" style="393" customWidth="1"/>
    <col min="8" max="9" width="12.109375" style="393" customWidth="1"/>
    <col min="10" max="10" width="12.109375" style="482" customWidth="1"/>
    <col min="11" max="11" width="7" style="488" customWidth="1"/>
    <col min="12" max="16384" width="8.88671875" style="393"/>
  </cols>
  <sheetData>
    <row r="1" spans="1:11" s="290" customFormat="1" ht="13.2">
      <c r="A1" s="1544" t="s">
        <v>1795</v>
      </c>
      <c r="B1" s="1545"/>
      <c r="C1" s="1545"/>
      <c r="D1" s="1545"/>
      <c r="E1" s="1545"/>
      <c r="F1" s="1545"/>
      <c r="G1" s="1545"/>
      <c r="H1" s="1545"/>
      <c r="I1" s="1545"/>
      <c r="J1" s="1546"/>
      <c r="K1" s="485"/>
    </row>
    <row r="2" spans="1:11" s="503" customFormat="1" ht="72">
      <c r="A2" s="501"/>
      <c r="B2" s="198" t="s">
        <v>1796</v>
      </c>
      <c r="C2" s="198" t="s">
        <v>1797</v>
      </c>
      <c r="D2" s="198" t="s">
        <v>1798</v>
      </c>
      <c r="E2" s="198" t="s">
        <v>1799</v>
      </c>
      <c r="F2" s="198" t="s">
        <v>1800</v>
      </c>
      <c r="G2" s="198" t="s">
        <v>1801</v>
      </c>
      <c r="H2" s="198" t="s">
        <v>1802</v>
      </c>
      <c r="I2" s="198" t="s">
        <v>1803</v>
      </c>
      <c r="J2" s="564" t="s">
        <v>1804</v>
      </c>
      <c r="K2" s="502"/>
    </row>
    <row r="3" spans="1:11" s="219" customFormat="1" ht="11.4">
      <c r="A3" s="201" t="s">
        <v>1631</v>
      </c>
      <c r="B3" s="490"/>
      <c r="C3" s="490"/>
      <c r="D3" s="490"/>
      <c r="E3" s="490"/>
      <c r="F3" s="490"/>
      <c r="G3" s="490"/>
      <c r="H3" s="490"/>
      <c r="I3" s="490"/>
      <c r="J3" s="490"/>
      <c r="K3" s="486"/>
    </row>
    <row r="4" spans="1:11" s="219" customFormat="1" ht="13.2">
      <c r="A4" s="256" t="s">
        <v>1632</v>
      </c>
      <c r="B4" s="491">
        <f>'Sources and Uses Budget'!C4</f>
        <v>284074</v>
      </c>
      <c r="C4" s="492"/>
      <c r="D4" s="492"/>
      <c r="E4" s="493"/>
      <c r="F4" s="493"/>
      <c r="G4" s="493"/>
      <c r="H4" s="493"/>
      <c r="I4" s="493"/>
      <c r="J4" s="493"/>
      <c r="K4" s="486"/>
    </row>
    <row r="5" spans="1:11" s="219" customFormat="1" ht="13.2">
      <c r="A5" s="256" t="s">
        <v>1633</v>
      </c>
      <c r="B5" s="491">
        <f>'Sources and Uses Budget'!C5</f>
        <v>0</v>
      </c>
      <c r="C5" s="492"/>
      <c r="D5" s="492"/>
      <c r="E5" s="493"/>
      <c r="F5" s="493"/>
      <c r="G5" s="493"/>
      <c r="H5" s="493"/>
      <c r="I5" s="493"/>
      <c r="J5" s="493"/>
      <c r="K5" s="486"/>
    </row>
    <row r="6" spans="1:11" s="219" customFormat="1" ht="11.4">
      <c r="A6" s="205" t="s">
        <v>1634</v>
      </c>
      <c r="B6" s="491">
        <f>'Sources and Uses Budget'!C6</f>
        <v>2321</v>
      </c>
      <c r="C6" s="492"/>
      <c r="D6" s="492"/>
      <c r="E6" s="493"/>
      <c r="F6" s="493"/>
      <c r="G6" s="493"/>
      <c r="H6" s="493"/>
      <c r="I6" s="493"/>
      <c r="J6" s="493"/>
      <c r="K6" s="486"/>
    </row>
    <row r="7" spans="1:11" s="219" customFormat="1" ht="11.4">
      <c r="A7" s="205" t="s">
        <v>1635</v>
      </c>
      <c r="B7" s="491">
        <f>'Sources and Uses Budget'!C7</f>
        <v>0</v>
      </c>
      <c r="C7" s="492"/>
      <c r="D7" s="492"/>
      <c r="E7" s="493"/>
      <c r="F7" s="493"/>
      <c r="G7" s="493"/>
      <c r="H7" s="493"/>
      <c r="I7" s="493"/>
      <c r="J7" s="493"/>
      <c r="K7" s="486"/>
    </row>
    <row r="8" spans="1:11" s="219" customFormat="1" ht="13.8">
      <c r="A8" s="257" t="s">
        <v>1636</v>
      </c>
      <c r="B8" s="491">
        <f>'Sources and Uses Budget'!C8</f>
        <v>286395</v>
      </c>
      <c r="C8" s="491">
        <f>SUM(C4:C7)</f>
        <v>0</v>
      </c>
      <c r="D8" s="491">
        <f>SUM(D4:D7)</f>
        <v>0</v>
      </c>
      <c r="E8" s="493"/>
      <c r="F8" s="493"/>
      <c r="G8" s="493"/>
      <c r="H8" s="493"/>
      <c r="I8" s="493"/>
      <c r="J8" s="493"/>
      <c r="K8" s="486"/>
    </row>
    <row r="9" spans="1:11" s="219" customFormat="1" ht="11.4">
      <c r="A9" s="205" t="s">
        <v>1637</v>
      </c>
      <c r="B9" s="491">
        <f>'Sources and Uses Budget'!C9</f>
        <v>1825926</v>
      </c>
      <c r="C9" s="492"/>
      <c r="D9" s="492"/>
      <c r="E9" s="493"/>
      <c r="F9" s="493"/>
      <c r="G9" s="493"/>
      <c r="H9" s="491">
        <f>'Sources and Uses Budget'!T9</f>
        <v>0</v>
      </c>
      <c r="I9" s="492"/>
      <c r="J9" s="492"/>
      <c r="K9" s="486"/>
    </row>
    <row r="10" spans="1:11" s="219" customFormat="1" ht="13.2">
      <c r="A10" s="256" t="s">
        <v>1638</v>
      </c>
      <c r="B10" s="491">
        <f>'Sources and Uses Budget'!C10</f>
        <v>0</v>
      </c>
      <c r="C10" s="492"/>
      <c r="D10" s="492"/>
      <c r="E10" s="491">
        <f>'Sources and Uses Budget'!S10</f>
        <v>0</v>
      </c>
      <c r="F10" s="492"/>
      <c r="G10" s="492"/>
      <c r="H10" s="491">
        <f>'Sources and Uses Budget'!T10</f>
        <v>0</v>
      </c>
      <c r="I10" s="492"/>
      <c r="J10" s="492"/>
      <c r="K10" s="486"/>
    </row>
    <row r="11" spans="1:11" s="219" customFormat="1">
      <c r="A11" s="209" t="s">
        <v>1639</v>
      </c>
      <c r="B11" s="491">
        <f>'Sources and Uses Budget'!C11</f>
        <v>1825926</v>
      </c>
      <c r="C11" s="491">
        <f>SUM(C9:C10)</f>
        <v>0</v>
      </c>
      <c r="D11" s="491">
        <f>SUM(D9:D10)</f>
        <v>0</v>
      </c>
      <c r="E11" s="493"/>
      <c r="F11" s="493"/>
      <c r="G11" s="493"/>
      <c r="H11" s="491">
        <f>'Sources and Uses Budget'!T11</f>
        <v>0</v>
      </c>
      <c r="I11" s="491">
        <f>SUM(I9:I10)</f>
        <v>0</v>
      </c>
      <c r="J11" s="491">
        <f>SUM(J9:J10)</f>
        <v>0</v>
      </c>
      <c r="K11" s="486"/>
    </row>
    <row r="12" spans="1:11" s="219" customFormat="1">
      <c r="A12" s="209" t="s">
        <v>1640</v>
      </c>
      <c r="B12" s="491">
        <f>'Sources and Uses Budget'!C12</f>
        <v>2112321</v>
      </c>
      <c r="C12" s="491">
        <f>SUM(C8+C11)</f>
        <v>0</v>
      </c>
      <c r="D12" s="491">
        <f>SUM(D8+D11)</f>
        <v>0</v>
      </c>
      <c r="E12" s="493"/>
      <c r="F12" s="493"/>
      <c r="G12" s="493"/>
      <c r="H12" s="493"/>
      <c r="I12" s="493"/>
      <c r="J12" s="493"/>
      <c r="K12" s="486"/>
    </row>
    <row r="13" spans="1:11" s="219" customFormat="1" ht="11.4">
      <c r="A13" s="371" t="s">
        <v>1641</v>
      </c>
      <c r="B13" s="491">
        <f>'Sources and Uses Budget'!C13</f>
        <v>0</v>
      </c>
      <c r="C13" s="492"/>
      <c r="D13" s="492"/>
      <c r="E13" s="491">
        <f>'Sources and Uses Budget'!S13</f>
        <v>0</v>
      </c>
      <c r="F13" s="492"/>
      <c r="G13" s="492"/>
      <c r="H13" s="491">
        <f>'Sources and Uses Budget'!T13</f>
        <v>0</v>
      </c>
      <c r="I13" s="492"/>
      <c r="J13" s="492"/>
      <c r="K13" s="486"/>
    </row>
    <row r="14" spans="1:11" s="219" customFormat="1" ht="22.8">
      <c r="A14" s="205" t="s">
        <v>1642</v>
      </c>
      <c r="B14" s="491">
        <f>'Sources and Uses Budget'!C14</f>
        <v>0</v>
      </c>
      <c r="C14" s="492"/>
      <c r="D14" s="492"/>
      <c r="E14" s="491">
        <f>'Sources and Uses Budget'!S14</f>
        <v>0</v>
      </c>
      <c r="F14" s="492"/>
      <c r="G14" s="492"/>
      <c r="H14" s="491">
        <f>'Sources and Uses Budget'!T14</f>
        <v>0</v>
      </c>
      <c r="I14" s="492"/>
      <c r="J14" s="492"/>
      <c r="K14" s="486"/>
    </row>
    <row r="15" spans="1:11" s="219" customFormat="1" ht="11.4">
      <c r="A15" s="205" t="s">
        <v>1643</v>
      </c>
      <c r="B15" s="491">
        <f>'Sources and Uses Budget'!C15</f>
        <v>0</v>
      </c>
      <c r="C15" s="492"/>
      <c r="D15" s="492"/>
      <c r="E15" s="493">
        <f>'Sources and Uses Budget'!S15</f>
        <v>0</v>
      </c>
      <c r="F15" s="493"/>
      <c r="G15" s="493"/>
      <c r="H15" s="493">
        <f>'Sources and Uses Budget'!T15</f>
        <v>0</v>
      </c>
      <c r="I15" s="493"/>
      <c r="J15" s="493"/>
      <c r="K15" s="486"/>
    </row>
    <row r="16" spans="1:11" s="219" customFormat="1" ht="11.4">
      <c r="A16" s="201" t="s">
        <v>1644</v>
      </c>
      <c r="B16" s="490"/>
      <c r="C16" s="490"/>
      <c r="D16" s="490"/>
      <c r="E16" s="490"/>
      <c r="F16" s="490"/>
      <c r="G16" s="490"/>
      <c r="H16" s="490"/>
      <c r="I16" s="490"/>
      <c r="J16" s="490"/>
      <c r="K16" s="486"/>
    </row>
    <row r="17" spans="1:11" s="219" customFormat="1" ht="11.4">
      <c r="A17" s="205" t="s">
        <v>1645</v>
      </c>
      <c r="B17" s="491">
        <f>'Sources and Uses Budget'!C17</f>
        <v>0</v>
      </c>
      <c r="C17" s="492"/>
      <c r="D17" s="492"/>
      <c r="E17" s="491">
        <f>'Sources and Uses Budget'!S17</f>
        <v>0</v>
      </c>
      <c r="F17" s="492"/>
      <c r="G17" s="492"/>
      <c r="H17" s="491">
        <f>'Sources and Uses Budget'!T17</f>
        <v>0</v>
      </c>
      <c r="I17" s="492"/>
      <c r="J17" s="492"/>
      <c r="K17" s="486"/>
    </row>
    <row r="18" spans="1:11" s="219" customFormat="1" ht="11.4">
      <c r="A18" s="205" t="s">
        <v>1646</v>
      </c>
      <c r="B18" s="491">
        <f>'Sources and Uses Budget'!C18</f>
        <v>2535558</v>
      </c>
      <c r="C18" s="492"/>
      <c r="D18" s="492"/>
      <c r="E18" s="491">
        <f>'Sources and Uses Budget'!S18</f>
        <v>2535558</v>
      </c>
      <c r="F18" s="492"/>
      <c r="G18" s="492"/>
      <c r="H18" s="491">
        <f>'Sources and Uses Budget'!T18</f>
        <v>0</v>
      </c>
      <c r="I18" s="492"/>
      <c r="J18" s="492"/>
      <c r="K18" s="486"/>
    </row>
    <row r="19" spans="1:11" s="219" customFormat="1" ht="11.4">
      <c r="A19" s="205" t="s">
        <v>1647</v>
      </c>
      <c r="B19" s="491">
        <f>'Sources and Uses Budget'!C19</f>
        <v>152133</v>
      </c>
      <c r="C19" s="492"/>
      <c r="D19" s="492"/>
      <c r="E19" s="491">
        <f>'Sources and Uses Budget'!S19</f>
        <v>152133</v>
      </c>
      <c r="F19" s="492"/>
      <c r="G19" s="492"/>
      <c r="H19" s="491">
        <f>'Sources and Uses Budget'!T19</f>
        <v>0</v>
      </c>
      <c r="I19" s="492"/>
      <c r="J19" s="492"/>
      <c r="K19" s="486"/>
    </row>
    <row r="20" spans="1:11" s="219" customFormat="1" ht="11.4">
      <c r="A20" s="205" t="s">
        <v>1648</v>
      </c>
      <c r="B20" s="491">
        <f>'Sources and Uses Budget'!C20</f>
        <v>101422</v>
      </c>
      <c r="C20" s="492"/>
      <c r="D20" s="492"/>
      <c r="E20" s="491">
        <f>'Sources and Uses Budget'!S20</f>
        <v>101422</v>
      </c>
      <c r="F20" s="492"/>
      <c r="G20" s="492"/>
      <c r="H20" s="491">
        <f>'Sources and Uses Budget'!T20</f>
        <v>0</v>
      </c>
      <c r="I20" s="492"/>
      <c r="J20" s="492"/>
      <c r="K20" s="486"/>
    </row>
    <row r="21" spans="1:11" s="219" customFormat="1" ht="11.4">
      <c r="A21" s="205" t="s">
        <v>1649</v>
      </c>
      <c r="B21" s="491">
        <f>'Sources and Uses Budget'!C21</f>
        <v>101422</v>
      </c>
      <c r="C21" s="492"/>
      <c r="D21" s="492"/>
      <c r="E21" s="491">
        <f>'Sources and Uses Budget'!S21</f>
        <v>101422</v>
      </c>
      <c r="F21" s="492"/>
      <c r="G21" s="492"/>
      <c r="H21" s="491">
        <f>'Sources and Uses Budget'!T21</f>
        <v>0</v>
      </c>
      <c r="I21" s="492"/>
      <c r="J21" s="492"/>
      <c r="K21" s="486"/>
    </row>
    <row r="22" spans="1:11" s="219" customFormat="1" ht="11.4">
      <c r="A22" s="205" t="s">
        <v>1650</v>
      </c>
      <c r="B22" s="491">
        <f>'Sources and Uses Budget'!C22</f>
        <v>0</v>
      </c>
      <c r="C22" s="492"/>
      <c r="D22" s="492"/>
      <c r="E22" s="491">
        <f>'Sources and Uses Budget'!S22</f>
        <v>0</v>
      </c>
      <c r="F22" s="492"/>
      <c r="G22" s="492"/>
      <c r="H22" s="491">
        <f>'Sources and Uses Budget'!T22</f>
        <v>0</v>
      </c>
      <c r="I22" s="492"/>
      <c r="J22" s="492"/>
      <c r="K22" s="486"/>
    </row>
    <row r="23" spans="1:11" s="219" customFormat="1" ht="11.4">
      <c r="A23" s="205" t="s">
        <v>1651</v>
      </c>
      <c r="B23" s="491">
        <f>'Sources and Uses Budget'!C23</f>
        <v>0</v>
      </c>
      <c r="C23" s="492"/>
      <c r="D23" s="492"/>
      <c r="E23" s="491">
        <f>'Sources and Uses Budget'!S23</f>
        <v>0</v>
      </c>
      <c r="F23" s="492"/>
      <c r="G23" s="492"/>
      <c r="H23" s="491">
        <f>'Sources and Uses Budget'!T23</f>
        <v>0</v>
      </c>
      <c r="I23" s="492"/>
      <c r="J23" s="492"/>
      <c r="K23" s="486"/>
    </row>
    <row r="24" spans="1:11" s="219" customFormat="1" ht="11.4">
      <c r="A24" s="205" t="str">
        <f>'Sources and Uses Budget'!$A25</f>
        <v>Other: (Specify)</v>
      </c>
      <c r="B24" s="491">
        <f>'Sources and Uses Budget'!C25</f>
        <v>0</v>
      </c>
      <c r="C24" s="492"/>
      <c r="D24" s="492"/>
      <c r="E24" s="491">
        <f>'Sources and Uses Budget'!S25</f>
        <v>0</v>
      </c>
      <c r="F24" s="492"/>
      <c r="G24" s="492"/>
      <c r="H24" s="491">
        <f>'Sources and Uses Budget'!T25</f>
        <v>0</v>
      </c>
      <c r="I24" s="492"/>
      <c r="J24" s="492"/>
      <c r="K24" s="486"/>
    </row>
    <row r="25" spans="1:11" s="219" customFormat="1">
      <c r="A25" s="209" t="s">
        <v>1654</v>
      </c>
      <c r="B25" s="491">
        <f>'Sources and Uses Budget'!C26</f>
        <v>2890535</v>
      </c>
      <c r="C25" s="491">
        <f>SUM(C17:C24)</f>
        <v>0</v>
      </c>
      <c r="D25" s="491">
        <f>SUM(D17:D24)</f>
        <v>0</v>
      </c>
      <c r="E25" s="491">
        <f>'Sources and Uses Budget'!S26</f>
        <v>2890535</v>
      </c>
      <c r="F25" s="494">
        <f>SUM(F17:F24)</f>
        <v>0</v>
      </c>
      <c r="G25" s="494">
        <f>SUM(G17:G24)</f>
        <v>0</v>
      </c>
      <c r="H25" s="491">
        <f>'Sources and Uses Budget'!T26</f>
        <v>0</v>
      </c>
      <c r="I25" s="494">
        <f>SUM(I17:I24)</f>
        <v>0</v>
      </c>
      <c r="J25" s="494">
        <f>SUM(J17:J24)</f>
        <v>0</v>
      </c>
      <c r="K25" s="486"/>
    </row>
    <row r="26" spans="1:11" s="219" customFormat="1">
      <c r="A26" s="209" t="s">
        <v>1655</v>
      </c>
      <c r="B26" s="491">
        <f>'Sources and Uses Budget'!C27</f>
        <v>161000</v>
      </c>
      <c r="C26" s="492"/>
      <c r="D26" s="492"/>
      <c r="E26" s="491">
        <f>'Sources and Uses Budget'!S27</f>
        <v>161000</v>
      </c>
      <c r="F26" s="492"/>
      <c r="G26" s="492"/>
      <c r="H26" s="491">
        <f>'Sources and Uses Budget'!T27</f>
        <v>0</v>
      </c>
      <c r="I26" s="492"/>
      <c r="J26" s="492"/>
      <c r="K26" s="486"/>
    </row>
    <row r="27" spans="1:11" s="219" customFormat="1" ht="11.4">
      <c r="A27" s="201" t="s">
        <v>1656</v>
      </c>
      <c r="B27" s="490"/>
      <c r="C27" s="490"/>
      <c r="D27" s="490"/>
      <c r="E27" s="490"/>
      <c r="F27" s="490"/>
      <c r="G27" s="490"/>
      <c r="H27" s="490"/>
      <c r="I27" s="490"/>
      <c r="J27" s="490"/>
      <c r="K27" s="486"/>
    </row>
    <row r="28" spans="1:11" s="219" customFormat="1" ht="11.4">
      <c r="A28" s="205" t="s">
        <v>1645</v>
      </c>
      <c r="B28" s="491">
        <f>'Sources and Uses Budget'!C29</f>
        <v>0</v>
      </c>
      <c r="C28" s="492"/>
      <c r="D28" s="492"/>
      <c r="E28" s="491">
        <f>'Sources and Uses Budget'!S29</f>
        <v>0</v>
      </c>
      <c r="F28" s="492"/>
      <c r="G28" s="492"/>
      <c r="H28" s="491">
        <f>'Sources and Uses Budget'!T29</f>
        <v>0</v>
      </c>
      <c r="I28" s="492"/>
      <c r="J28" s="492"/>
      <c r="K28" s="486"/>
    </row>
    <row r="29" spans="1:11" s="219" customFormat="1" ht="11.4">
      <c r="A29" s="205" t="s">
        <v>1646</v>
      </c>
      <c r="B29" s="491">
        <f>'Sources and Uses Budget'!C30</f>
        <v>0</v>
      </c>
      <c r="C29" s="492"/>
      <c r="D29" s="492"/>
      <c r="E29" s="491">
        <f>'Sources and Uses Budget'!S30</f>
        <v>0</v>
      </c>
      <c r="F29" s="492"/>
      <c r="G29" s="492"/>
      <c r="H29" s="491">
        <f>'Sources and Uses Budget'!T30</f>
        <v>0</v>
      </c>
      <c r="I29" s="492"/>
      <c r="J29" s="492"/>
      <c r="K29" s="486"/>
    </row>
    <row r="30" spans="1:11" s="219" customFormat="1" ht="11.4">
      <c r="A30" s="205" t="s">
        <v>1647</v>
      </c>
      <c r="B30" s="491">
        <f>'Sources and Uses Budget'!C31</f>
        <v>0</v>
      </c>
      <c r="C30" s="492"/>
      <c r="D30" s="492"/>
      <c r="E30" s="491">
        <f>'Sources and Uses Budget'!S31</f>
        <v>0</v>
      </c>
      <c r="F30" s="492"/>
      <c r="G30" s="492"/>
      <c r="H30" s="491">
        <f>'Sources and Uses Budget'!T31</f>
        <v>0</v>
      </c>
      <c r="I30" s="492"/>
      <c r="J30" s="492"/>
      <c r="K30" s="486"/>
    </row>
    <row r="31" spans="1:11" s="219" customFormat="1" ht="11.4">
      <c r="A31" s="205" t="s">
        <v>1648</v>
      </c>
      <c r="B31" s="491">
        <f>'Sources and Uses Budget'!C32</f>
        <v>0</v>
      </c>
      <c r="C31" s="492"/>
      <c r="D31" s="492"/>
      <c r="E31" s="491">
        <f>'Sources and Uses Budget'!S32</f>
        <v>0</v>
      </c>
      <c r="F31" s="492"/>
      <c r="G31" s="492"/>
      <c r="H31" s="491">
        <f>'Sources and Uses Budget'!T32</f>
        <v>0</v>
      </c>
      <c r="I31" s="492"/>
      <c r="J31" s="492"/>
      <c r="K31" s="486"/>
    </row>
    <row r="32" spans="1:11" s="219" customFormat="1" ht="11.4">
      <c r="A32" s="205" t="s">
        <v>1649</v>
      </c>
      <c r="B32" s="491">
        <f>'Sources and Uses Budget'!C33</f>
        <v>0</v>
      </c>
      <c r="C32" s="492"/>
      <c r="D32" s="492"/>
      <c r="E32" s="491">
        <f>'Sources and Uses Budget'!S33</f>
        <v>0</v>
      </c>
      <c r="F32" s="492"/>
      <c r="G32" s="492"/>
      <c r="H32" s="491">
        <f>'Sources and Uses Budget'!T33</f>
        <v>0</v>
      </c>
      <c r="I32" s="492"/>
      <c r="J32" s="492"/>
      <c r="K32" s="486"/>
    </row>
    <row r="33" spans="1:11" s="219" customFormat="1" ht="11.4">
      <c r="A33" s="205" t="s">
        <v>1650</v>
      </c>
      <c r="B33" s="491">
        <f>'Sources and Uses Budget'!C34</f>
        <v>0</v>
      </c>
      <c r="C33" s="492"/>
      <c r="D33" s="492"/>
      <c r="E33" s="491">
        <f>'Sources and Uses Budget'!S34</f>
        <v>0</v>
      </c>
      <c r="F33" s="492"/>
      <c r="G33" s="492"/>
      <c r="H33" s="491">
        <f>'Sources and Uses Budget'!T34</f>
        <v>0</v>
      </c>
      <c r="I33" s="492"/>
      <c r="J33" s="492"/>
      <c r="K33" s="486"/>
    </row>
    <row r="34" spans="1:11" s="219" customFormat="1" ht="11.4">
      <c r="A34" s="205" t="s">
        <v>1651</v>
      </c>
      <c r="B34" s="491">
        <f>'Sources and Uses Budget'!C35</f>
        <v>0</v>
      </c>
      <c r="C34" s="492"/>
      <c r="D34" s="492"/>
      <c r="E34" s="491">
        <f>'Sources and Uses Budget'!S35</f>
        <v>0</v>
      </c>
      <c r="F34" s="492"/>
      <c r="G34" s="492"/>
      <c r="H34" s="491">
        <f>'Sources and Uses Budget'!T35</f>
        <v>0</v>
      </c>
      <c r="I34" s="492"/>
      <c r="J34" s="492"/>
      <c r="K34" s="486"/>
    </row>
    <row r="35" spans="1:11" s="219" customFormat="1" ht="11.4">
      <c r="A35" s="205" t="str">
        <f>'Sources and Uses Budget'!$A36</f>
        <v>Third-party Construction Management</v>
      </c>
      <c r="B35" s="491">
        <f>'Sources and Uses Budget'!C36</f>
        <v>0</v>
      </c>
      <c r="C35" s="492"/>
      <c r="D35" s="492"/>
      <c r="E35" s="491">
        <f>'Sources and Uses Budget'!S36</f>
        <v>0</v>
      </c>
      <c r="F35" s="492"/>
      <c r="G35" s="492"/>
      <c r="H35" s="491">
        <f>'Sources and Uses Budget'!T36</f>
        <v>0</v>
      </c>
      <c r="I35" s="492"/>
      <c r="J35" s="492"/>
      <c r="K35" s="486"/>
    </row>
    <row r="36" spans="1:11" s="219" customFormat="1" ht="11.4">
      <c r="A36" s="205" t="str">
        <f>'Sources and Uses Budget'!$A37</f>
        <v>Other: (Specify)</v>
      </c>
      <c r="B36" s="491">
        <f>'Sources and Uses Budget'!C37</f>
        <v>0</v>
      </c>
      <c r="C36" s="492"/>
      <c r="D36" s="492"/>
      <c r="E36" s="491">
        <f>'Sources and Uses Budget'!S37</f>
        <v>0</v>
      </c>
      <c r="F36" s="492"/>
      <c r="G36" s="492"/>
      <c r="H36" s="491">
        <f>'Sources and Uses Budget'!T37</f>
        <v>0</v>
      </c>
      <c r="I36" s="492"/>
      <c r="J36" s="492"/>
      <c r="K36" s="486"/>
    </row>
    <row r="37" spans="1:11" s="219" customFormat="1">
      <c r="A37" s="209" t="s">
        <v>1657</v>
      </c>
      <c r="B37" s="491">
        <f>'Sources and Uses Budget'!C38</f>
        <v>0</v>
      </c>
      <c r="C37" s="491">
        <f>SUM(C28:C36)</f>
        <v>0</v>
      </c>
      <c r="D37" s="491">
        <f>SUM(D28:D36)</f>
        <v>0</v>
      </c>
      <c r="E37" s="491">
        <f>'Sources and Uses Budget'!S38</f>
        <v>0</v>
      </c>
      <c r="F37" s="494">
        <f>SUM(F28:F36)</f>
        <v>0</v>
      </c>
      <c r="G37" s="494">
        <f>SUM(G28:G36)</f>
        <v>0</v>
      </c>
      <c r="H37" s="491">
        <f>'Sources and Uses Budget'!T38</f>
        <v>0</v>
      </c>
      <c r="I37" s="494">
        <f>SUM(I28:I36)</f>
        <v>0</v>
      </c>
      <c r="J37" s="494">
        <f>SUM(J28:J36)</f>
        <v>0</v>
      </c>
      <c r="K37" s="486"/>
    </row>
    <row r="38" spans="1:11" s="219" customFormat="1" ht="11.4">
      <c r="A38" s="201" t="s">
        <v>1658</v>
      </c>
      <c r="B38" s="490"/>
      <c r="C38" s="490"/>
      <c r="D38" s="490"/>
      <c r="E38" s="490"/>
      <c r="F38" s="490"/>
      <c r="G38" s="490"/>
      <c r="H38" s="490"/>
      <c r="I38" s="490"/>
      <c r="J38" s="490"/>
      <c r="K38" s="486"/>
    </row>
    <row r="39" spans="1:11" s="219" customFormat="1" ht="11.4">
      <c r="A39" s="205" t="s">
        <v>1659</v>
      </c>
      <c r="B39" s="491">
        <f>'Sources and Uses Budget'!C40</f>
        <v>100000</v>
      </c>
      <c r="C39" s="492"/>
      <c r="D39" s="492"/>
      <c r="E39" s="491">
        <f>'Sources and Uses Budget'!S40</f>
        <v>100000</v>
      </c>
      <c r="F39" s="492"/>
      <c r="G39" s="492"/>
      <c r="H39" s="491">
        <f>'Sources and Uses Budget'!T40</f>
        <v>0</v>
      </c>
      <c r="I39" s="492"/>
      <c r="J39" s="492"/>
      <c r="K39" s="486"/>
    </row>
    <row r="40" spans="1:11" s="219" customFormat="1" ht="11.4">
      <c r="A40" s="205" t="s">
        <v>1660</v>
      </c>
      <c r="B40" s="491">
        <f>'Sources and Uses Budget'!C41</f>
        <v>0</v>
      </c>
      <c r="C40" s="492"/>
      <c r="D40" s="492"/>
      <c r="E40" s="491">
        <f>'Sources and Uses Budget'!S41</f>
        <v>0</v>
      </c>
      <c r="F40" s="492"/>
      <c r="G40" s="492"/>
      <c r="H40" s="491">
        <f>'Sources and Uses Budget'!T41</f>
        <v>0</v>
      </c>
      <c r="I40" s="492"/>
      <c r="J40" s="492"/>
      <c r="K40" s="486"/>
    </row>
    <row r="41" spans="1:11" s="219" customFormat="1">
      <c r="A41" s="209" t="s">
        <v>1661</v>
      </c>
      <c r="B41" s="491">
        <f>'Sources and Uses Budget'!C42</f>
        <v>100000</v>
      </c>
      <c r="C41" s="491">
        <f>SUM(C38:C40)</f>
        <v>0</v>
      </c>
      <c r="D41" s="491">
        <f>SUM(D38:D40)</f>
        <v>0</v>
      </c>
      <c r="E41" s="491">
        <f>'Sources and Uses Budget'!S42</f>
        <v>100000</v>
      </c>
      <c r="F41" s="494">
        <f>SUM(F39:F40)</f>
        <v>0</v>
      </c>
      <c r="G41" s="494">
        <f>SUM(G39:G40)</f>
        <v>0</v>
      </c>
      <c r="H41" s="491">
        <f>'Sources and Uses Budget'!T42</f>
        <v>0</v>
      </c>
      <c r="I41" s="494">
        <f>SUM(I39:I40)</f>
        <v>0</v>
      </c>
      <c r="J41" s="494">
        <f>SUM(J39:J40)</f>
        <v>0</v>
      </c>
      <c r="K41" s="486"/>
    </row>
    <row r="42" spans="1:11" s="219" customFormat="1">
      <c r="A42" s="209" t="s">
        <v>1662</v>
      </c>
      <c r="B42" s="491">
        <f>'Sources and Uses Budget'!C43</f>
        <v>82500</v>
      </c>
      <c r="C42" s="492"/>
      <c r="D42" s="492"/>
      <c r="E42" s="491">
        <f>'Sources and Uses Budget'!S43</f>
        <v>82500</v>
      </c>
      <c r="F42" s="492"/>
      <c r="G42" s="492"/>
      <c r="H42" s="491">
        <f>'Sources and Uses Budget'!T43</f>
        <v>0</v>
      </c>
      <c r="I42" s="492"/>
      <c r="J42" s="492"/>
      <c r="K42" s="486"/>
    </row>
    <row r="43" spans="1:11" s="219" customFormat="1" ht="11.4">
      <c r="A43" s="201" t="s">
        <v>1663</v>
      </c>
      <c r="B43" s="490"/>
      <c r="C43" s="490"/>
      <c r="D43" s="490"/>
      <c r="E43" s="490"/>
      <c r="F43" s="490"/>
      <c r="G43" s="490"/>
      <c r="H43" s="490"/>
      <c r="I43" s="490"/>
      <c r="J43" s="490"/>
      <c r="K43" s="486"/>
    </row>
    <row r="44" spans="1:11" s="219" customFormat="1" ht="11.4">
      <c r="A44" s="205" t="s">
        <v>1664</v>
      </c>
      <c r="B44" s="491">
        <f>'Sources and Uses Budget'!C45</f>
        <v>301304</v>
      </c>
      <c r="C44" s="492"/>
      <c r="D44" s="492"/>
      <c r="E44" s="491">
        <f>'Sources and Uses Budget'!S45</f>
        <v>94695</v>
      </c>
      <c r="F44" s="492"/>
      <c r="G44" s="492"/>
      <c r="H44" s="491">
        <f>'Sources and Uses Budget'!T45</f>
        <v>0</v>
      </c>
      <c r="I44" s="492"/>
      <c r="J44" s="492"/>
      <c r="K44" s="486"/>
    </row>
    <row r="45" spans="1:11" s="219" customFormat="1" ht="11.4">
      <c r="A45" s="205" t="s">
        <v>1665</v>
      </c>
      <c r="B45" s="491">
        <f>'Sources and Uses Budget'!C46</f>
        <v>27346</v>
      </c>
      <c r="C45" s="492"/>
      <c r="D45" s="492"/>
      <c r="E45" s="491">
        <f>'Sources and Uses Budget'!S46</f>
        <v>8595</v>
      </c>
      <c r="F45" s="492"/>
      <c r="G45" s="492"/>
      <c r="H45" s="491">
        <f>'Sources and Uses Budget'!T46</f>
        <v>0</v>
      </c>
      <c r="I45" s="492"/>
      <c r="J45" s="492"/>
      <c r="K45" s="486"/>
    </row>
    <row r="46" spans="1:11" s="219" customFormat="1" ht="12" customHeight="1">
      <c r="A46" s="205" t="s">
        <v>1666</v>
      </c>
      <c r="B46" s="491">
        <f>'Sources and Uses Budget'!C47</f>
        <v>20000</v>
      </c>
      <c r="C46" s="492"/>
      <c r="D46" s="492"/>
      <c r="E46" s="491">
        <f>'Sources and Uses Budget'!S47</f>
        <v>6286</v>
      </c>
      <c r="F46" s="492"/>
      <c r="G46" s="492"/>
      <c r="H46" s="491">
        <f>'Sources and Uses Budget'!T47</f>
        <v>0</v>
      </c>
      <c r="I46" s="492"/>
      <c r="J46" s="492"/>
      <c r="K46" s="486"/>
    </row>
    <row r="47" spans="1:11" s="219" customFormat="1" ht="11.4">
      <c r="A47" s="205" t="s">
        <v>1667</v>
      </c>
      <c r="B47" s="491">
        <f>'Sources and Uses Budget'!C48</f>
        <v>0</v>
      </c>
      <c r="C47" s="492"/>
      <c r="D47" s="492"/>
      <c r="E47" s="491">
        <f>'Sources and Uses Budget'!S48</f>
        <v>0</v>
      </c>
      <c r="F47" s="492"/>
      <c r="G47" s="492"/>
      <c r="H47" s="491">
        <f>'Sources and Uses Budget'!T48</f>
        <v>0</v>
      </c>
      <c r="I47" s="492"/>
      <c r="J47" s="492"/>
      <c r="K47" s="486"/>
    </row>
    <row r="48" spans="1:11" s="219" customFormat="1" ht="11.4">
      <c r="A48" s="205" t="s">
        <v>1668</v>
      </c>
      <c r="B48" s="491">
        <f>'Sources and Uses Budget'!C49</f>
        <v>50000</v>
      </c>
      <c r="C48" s="492"/>
      <c r="D48" s="492"/>
      <c r="E48" s="491">
        <f>'Sources and Uses Budget'!S49</f>
        <v>50000</v>
      </c>
      <c r="F48" s="492"/>
      <c r="G48" s="492"/>
      <c r="H48" s="491">
        <f>'Sources and Uses Budget'!T49</f>
        <v>0</v>
      </c>
      <c r="I48" s="492"/>
      <c r="J48" s="492"/>
      <c r="K48" s="486"/>
    </row>
    <row r="49" spans="1:11" s="219" customFormat="1" ht="11.4">
      <c r="A49" s="205" t="s">
        <v>1669</v>
      </c>
      <c r="B49" s="491">
        <f>'Sources and Uses Budget'!C50</f>
        <v>10000</v>
      </c>
      <c r="C49" s="492"/>
      <c r="D49" s="492"/>
      <c r="E49" s="491">
        <f>'Sources and Uses Budget'!S50</f>
        <v>10000</v>
      </c>
      <c r="F49" s="492"/>
      <c r="G49" s="492"/>
      <c r="H49" s="491">
        <f>'Sources and Uses Budget'!T50</f>
        <v>0</v>
      </c>
      <c r="I49" s="492"/>
      <c r="J49" s="492"/>
      <c r="K49" s="486"/>
    </row>
    <row r="50" spans="1:11" s="219" customFormat="1" ht="11.4">
      <c r="A50" s="205" t="s">
        <v>1670</v>
      </c>
      <c r="B50" s="491">
        <f>'Sources and Uses Budget'!C51</f>
        <v>50000</v>
      </c>
      <c r="C50" s="492"/>
      <c r="D50" s="492"/>
      <c r="E50" s="491">
        <f>'Sources and Uses Budget'!S51</f>
        <v>50000</v>
      </c>
      <c r="F50" s="492"/>
      <c r="G50" s="492"/>
      <c r="H50" s="491">
        <f>'Sources and Uses Budget'!T51</f>
        <v>0</v>
      </c>
      <c r="I50" s="492"/>
      <c r="J50" s="492"/>
      <c r="K50" s="486"/>
    </row>
    <row r="51" spans="1:11" s="219" customFormat="1" ht="11.4">
      <c r="A51" s="205" t="str">
        <f>'Sources and Uses Budget'!$A52</f>
        <v>Other: (Specify)</v>
      </c>
      <c r="B51" s="491">
        <f>'Sources and Uses Budget'!C52</f>
        <v>0</v>
      </c>
      <c r="C51" s="492"/>
      <c r="D51" s="492"/>
      <c r="E51" s="491">
        <f>'Sources and Uses Budget'!S52</f>
        <v>0</v>
      </c>
      <c r="F51" s="492"/>
      <c r="G51" s="492"/>
      <c r="H51" s="491">
        <f>'Sources and Uses Budget'!T52</f>
        <v>0</v>
      </c>
      <c r="I51" s="492"/>
      <c r="J51" s="492"/>
      <c r="K51" s="486"/>
    </row>
    <row r="52" spans="1:11" s="484" customFormat="1">
      <c r="A52" s="209" t="s">
        <v>1671</v>
      </c>
      <c r="B52" s="491">
        <f>'Sources and Uses Budget'!C53</f>
        <v>458650</v>
      </c>
      <c r="C52" s="494">
        <f>SUM(C44:C51)</f>
        <v>0</v>
      </c>
      <c r="D52" s="494">
        <f>SUM(D44:D51)</f>
        <v>0</v>
      </c>
      <c r="E52" s="491">
        <f>'Sources and Uses Budget'!S53</f>
        <v>219576</v>
      </c>
      <c r="F52" s="494">
        <f>SUM(F44:F51)</f>
        <v>0</v>
      </c>
      <c r="G52" s="494">
        <f>SUM(G44:G51)</f>
        <v>0</v>
      </c>
      <c r="H52" s="491">
        <f>'Sources and Uses Budget'!T53</f>
        <v>0</v>
      </c>
      <c r="I52" s="494">
        <f>SUM(I44:I51)</f>
        <v>0</v>
      </c>
      <c r="J52" s="494">
        <f>SUM(J44:J51)</f>
        <v>0</v>
      </c>
      <c r="K52" s="487"/>
    </row>
    <row r="53" spans="1:11" s="219" customFormat="1" ht="11.4">
      <c r="A53" s="201" t="s">
        <v>1256</v>
      </c>
      <c r="B53" s="490"/>
      <c r="C53" s="490"/>
      <c r="D53" s="490"/>
      <c r="E53" s="490"/>
      <c r="F53" s="490"/>
      <c r="G53" s="490"/>
      <c r="H53" s="490"/>
      <c r="I53" s="490"/>
      <c r="J53" s="490"/>
      <c r="K53" s="486"/>
    </row>
    <row r="54" spans="1:11" s="219" customFormat="1" ht="11.4">
      <c r="A54" s="205" t="s">
        <v>1672</v>
      </c>
      <c r="B54" s="491">
        <f>'Sources and Uses Budget'!C55</f>
        <v>15647</v>
      </c>
      <c r="C54" s="492"/>
      <c r="D54" s="492"/>
      <c r="E54" s="493"/>
      <c r="F54" s="493"/>
      <c r="G54" s="493"/>
      <c r="H54" s="493"/>
      <c r="I54" s="493"/>
      <c r="J54" s="493"/>
      <c r="K54" s="486"/>
    </row>
    <row r="55" spans="1:11" s="219" customFormat="1" ht="12" customHeight="1">
      <c r="A55" s="205" t="s">
        <v>1666</v>
      </c>
      <c r="B55" s="491">
        <f>'Sources and Uses Budget'!C56</f>
        <v>15000</v>
      </c>
      <c r="C55" s="492"/>
      <c r="D55" s="492"/>
      <c r="E55" s="493"/>
      <c r="F55" s="493"/>
      <c r="G55" s="493"/>
      <c r="H55" s="493"/>
      <c r="I55" s="493"/>
      <c r="J55" s="493"/>
      <c r="K55" s="486"/>
    </row>
    <row r="56" spans="1:11" s="219" customFormat="1" ht="11.4">
      <c r="A56" s="205" t="s">
        <v>1668</v>
      </c>
      <c r="B56" s="491">
        <f>'Sources and Uses Budget'!C57</f>
        <v>15000</v>
      </c>
      <c r="C56" s="492"/>
      <c r="D56" s="492"/>
      <c r="E56" s="493"/>
      <c r="F56" s="493"/>
      <c r="G56" s="493"/>
      <c r="H56" s="493"/>
      <c r="I56" s="493"/>
      <c r="J56" s="493"/>
      <c r="K56" s="486"/>
    </row>
    <row r="57" spans="1:11" s="219" customFormat="1" ht="11.4">
      <c r="A57" s="205" t="s">
        <v>1669</v>
      </c>
      <c r="B57" s="491">
        <f>'Sources and Uses Budget'!C58</f>
        <v>0</v>
      </c>
      <c r="C57" s="492"/>
      <c r="D57" s="492"/>
      <c r="E57" s="493"/>
      <c r="F57" s="493"/>
      <c r="G57" s="493"/>
      <c r="H57" s="493"/>
      <c r="I57" s="493"/>
      <c r="J57" s="493"/>
      <c r="K57" s="486"/>
    </row>
    <row r="58" spans="1:11" s="219" customFormat="1" ht="11.4">
      <c r="A58" s="205" t="s">
        <v>1670</v>
      </c>
      <c r="B58" s="491">
        <f>'Sources and Uses Budget'!C59</f>
        <v>0</v>
      </c>
      <c r="C58" s="492"/>
      <c r="D58" s="492"/>
      <c r="E58" s="493"/>
      <c r="F58" s="493"/>
      <c r="G58" s="493"/>
      <c r="H58" s="493"/>
      <c r="I58" s="493"/>
      <c r="J58" s="493"/>
      <c r="K58" s="486"/>
    </row>
    <row r="59" spans="1:11" s="219" customFormat="1" ht="11.4">
      <c r="A59" s="205" t="str">
        <f>'Sources and Uses Budget'!$A60</f>
        <v>Other: (Specify)</v>
      </c>
      <c r="B59" s="491">
        <f>'Sources and Uses Budget'!C60</f>
        <v>0</v>
      </c>
      <c r="C59" s="492"/>
      <c r="D59" s="492"/>
      <c r="E59" s="493"/>
      <c r="F59" s="493"/>
      <c r="G59" s="493"/>
      <c r="H59" s="493"/>
      <c r="I59" s="493"/>
      <c r="J59" s="493"/>
      <c r="K59" s="486"/>
    </row>
    <row r="60" spans="1:11" s="219" customFormat="1" ht="14.1" customHeight="1">
      <c r="A60" s="209" t="s">
        <v>1673</v>
      </c>
      <c r="B60" s="491">
        <f>'Sources and Uses Budget'!C61</f>
        <v>45647</v>
      </c>
      <c r="C60" s="491">
        <f>SUM(C54:C59)</f>
        <v>0</v>
      </c>
      <c r="D60" s="491">
        <f>SUM(D54:D59)</f>
        <v>0</v>
      </c>
      <c r="E60" s="493"/>
      <c r="F60" s="493"/>
      <c r="G60" s="493"/>
      <c r="H60" s="493"/>
      <c r="I60" s="493"/>
      <c r="J60" s="493"/>
      <c r="K60" s="486"/>
    </row>
    <row r="61" spans="1:11" s="219" customFormat="1" ht="11.4">
      <c r="A61" s="215" t="s">
        <v>1674</v>
      </c>
      <c r="B61" s="491">
        <f>'Sources and Uses Budget'!C62</f>
        <v>5850653</v>
      </c>
      <c r="C61" s="491">
        <f>SUM(C8+C11+C13+C14+C15+C25+C26+C37+C41+C42+C52+C60)</f>
        <v>0</v>
      </c>
      <c r="D61" s="491">
        <f>SUM(D8+D11+D13+D14+D15+D25+D26+D37+D41+D42+D52+D60)</f>
        <v>0</v>
      </c>
      <c r="E61" s="491">
        <f>'Sources and Uses Budget'!S62</f>
        <v>3453611</v>
      </c>
      <c r="F61" s="491">
        <f>SUM(F10+F13+F14+F15+F25+F26+F37+F41+F42+F52)</f>
        <v>0</v>
      </c>
      <c r="G61" s="491">
        <f>SUM(G10+G13+G14+G15+G25+G26+G37+G41+G42+G52)</f>
        <v>0</v>
      </c>
      <c r="H61" s="491">
        <f>'Sources and Uses Budget'!T62</f>
        <v>0</v>
      </c>
      <c r="I61" s="491">
        <f>SUM(I11+I13+I14+I15+I25+I26+I37+I41+I42+I52)</f>
        <v>0</v>
      </c>
      <c r="J61" s="491">
        <f>SUM(J11+J13+J14+J15+J25+J26+J37+J41+J42+J52)</f>
        <v>0</v>
      </c>
      <c r="K61" s="486"/>
    </row>
    <row r="62" spans="1:11" s="219" customFormat="1" ht="22.8">
      <c r="A62" s="201" t="s">
        <v>1675</v>
      </c>
      <c r="B62" s="490"/>
      <c r="C62" s="490"/>
      <c r="D62" s="490"/>
      <c r="E62" s="490"/>
      <c r="F62" s="490"/>
      <c r="G62" s="490"/>
      <c r="H62" s="490"/>
      <c r="I62" s="490"/>
      <c r="J62" s="490"/>
      <c r="K62" s="486"/>
    </row>
    <row r="63" spans="1:11" s="219" customFormat="1" ht="11.4">
      <c r="A63" s="205" t="s">
        <v>1676</v>
      </c>
      <c r="B63" s="491">
        <f>'Sources and Uses Budget'!C64</f>
        <v>75000</v>
      </c>
      <c r="C63" s="492"/>
      <c r="D63" s="492"/>
      <c r="E63" s="491">
        <f>'Sources and Uses Budget'!S64</f>
        <v>15714</v>
      </c>
      <c r="F63" s="492"/>
      <c r="G63" s="492"/>
      <c r="H63" s="491">
        <f>'Sources and Uses Budget'!T64</f>
        <v>0</v>
      </c>
      <c r="I63" s="492"/>
      <c r="J63" s="492"/>
      <c r="K63" s="486"/>
    </row>
    <row r="64" spans="1:11" s="219" customFormat="1" ht="22.8">
      <c r="A64" s="205" t="s">
        <v>1677</v>
      </c>
      <c r="B64" s="491">
        <f>'Sources and Uses Budget'!C65</f>
        <v>0</v>
      </c>
      <c r="C64" s="492"/>
      <c r="D64" s="492"/>
      <c r="E64" s="491">
        <f>'Sources and Uses Budget'!S65</f>
        <v>0</v>
      </c>
      <c r="F64" s="492"/>
      <c r="G64" s="492"/>
      <c r="H64" s="491">
        <f>'Sources and Uses Budget'!T65</f>
        <v>0</v>
      </c>
      <c r="I64" s="492"/>
      <c r="J64" s="492"/>
      <c r="K64" s="486"/>
    </row>
    <row r="65" spans="1:11" s="219" customFormat="1" ht="22.8">
      <c r="A65" s="205" t="s">
        <v>1678</v>
      </c>
      <c r="B65" s="491">
        <f>'Sources and Uses Budget'!C66</f>
        <v>0</v>
      </c>
      <c r="C65" s="492"/>
      <c r="D65" s="492"/>
      <c r="E65" s="491">
        <f>'Sources and Uses Budget'!S66</f>
        <v>0</v>
      </c>
      <c r="F65" s="492"/>
      <c r="G65" s="492"/>
      <c r="H65" s="491">
        <f>'Sources and Uses Budget'!T66</f>
        <v>0</v>
      </c>
      <c r="I65" s="492"/>
      <c r="J65" s="492"/>
      <c r="K65" s="486"/>
    </row>
    <row r="66" spans="1:11" s="219" customFormat="1" ht="11.4">
      <c r="A66" s="205" t="s">
        <v>1679</v>
      </c>
      <c r="B66" s="491">
        <f>'Sources and Uses Budget'!C67</f>
        <v>0</v>
      </c>
      <c r="C66" s="492"/>
      <c r="D66" s="492"/>
      <c r="E66" s="491">
        <f>'Sources and Uses Budget'!S67</f>
        <v>0</v>
      </c>
      <c r="F66" s="492"/>
      <c r="G66" s="492"/>
      <c r="H66" s="491">
        <f>'Sources and Uses Budget'!T67</f>
        <v>0</v>
      </c>
      <c r="I66" s="492"/>
      <c r="J66" s="492"/>
      <c r="K66" s="486"/>
    </row>
    <row r="67" spans="1:11" s="219" customFormat="1" ht="11.4">
      <c r="A67" s="205" t="str">
        <f>'Sources and Uses Budget'!$A68</f>
        <v>Other: Owner Legal</v>
      </c>
      <c r="B67" s="491">
        <f>'Sources and Uses Budget'!C68</f>
        <v>55000</v>
      </c>
      <c r="C67" s="492"/>
      <c r="D67" s="492"/>
      <c r="E67" s="491">
        <f>'Sources and Uses Budget'!S68</f>
        <v>50000</v>
      </c>
      <c r="F67" s="492"/>
      <c r="G67" s="492"/>
      <c r="H67" s="491">
        <f>'Sources and Uses Budget'!T68</f>
        <v>0</v>
      </c>
      <c r="I67" s="492"/>
      <c r="J67" s="492"/>
      <c r="K67" s="486"/>
    </row>
    <row r="68" spans="1:11" s="219" customFormat="1">
      <c r="A68" s="209" t="s">
        <v>1681</v>
      </c>
      <c r="B68" s="491">
        <f>'Sources and Uses Budget'!C69</f>
        <v>130000</v>
      </c>
      <c r="C68" s="491">
        <f>SUM(C62:C67)</f>
        <v>0</v>
      </c>
      <c r="D68" s="491">
        <f>SUM(D62:D67)</f>
        <v>0</v>
      </c>
      <c r="E68" s="491">
        <f>'Sources and Uses Budget'!S69</f>
        <v>65714</v>
      </c>
      <c r="F68" s="494">
        <f>SUM(F63:F67)</f>
        <v>0</v>
      </c>
      <c r="G68" s="494">
        <f>SUM(G63:G67)</f>
        <v>0</v>
      </c>
      <c r="H68" s="491">
        <f>'Sources and Uses Budget'!T69</f>
        <v>0</v>
      </c>
      <c r="I68" s="494">
        <f>SUM(I63:I67)</f>
        <v>0</v>
      </c>
      <c r="J68" s="494">
        <f>SUM(J63:J67)</f>
        <v>0</v>
      </c>
      <c r="K68" s="486"/>
    </row>
    <row r="69" spans="1:11" s="219" customFormat="1" ht="11.4">
      <c r="A69" s="201" t="s">
        <v>1682</v>
      </c>
      <c r="B69" s="490"/>
      <c r="C69" s="490"/>
      <c r="D69" s="490"/>
      <c r="E69" s="490"/>
      <c r="F69" s="490"/>
      <c r="G69" s="490"/>
      <c r="H69" s="490"/>
      <c r="I69" s="490"/>
      <c r="J69" s="490"/>
      <c r="K69" s="486"/>
    </row>
    <row r="70" spans="1:11" s="219" customFormat="1" ht="11.4">
      <c r="A70" s="205" t="s">
        <v>1683</v>
      </c>
      <c r="B70" s="491">
        <f>'Sources and Uses Budget'!C71</f>
        <v>0</v>
      </c>
      <c r="C70" s="492"/>
      <c r="D70" s="492"/>
      <c r="E70" s="493"/>
      <c r="F70" s="493"/>
      <c r="G70" s="493"/>
      <c r="H70" s="493"/>
      <c r="I70" s="493"/>
      <c r="J70" s="493"/>
      <c r="K70" s="486"/>
    </row>
    <row r="71" spans="1:11" s="219" customFormat="1" ht="11.4">
      <c r="A71" s="205" t="s">
        <v>1684</v>
      </c>
      <c r="B71" s="491">
        <f>'Sources and Uses Budget'!C72</f>
        <v>0</v>
      </c>
      <c r="C71" s="492"/>
      <c r="D71" s="492"/>
      <c r="E71" s="493"/>
      <c r="F71" s="493"/>
      <c r="G71" s="493"/>
      <c r="H71" s="493"/>
      <c r="I71" s="493"/>
      <c r="J71" s="493"/>
      <c r="K71" s="486"/>
    </row>
    <row r="72" spans="1:11" s="219" customFormat="1" ht="11.4">
      <c r="A72" s="371" t="s">
        <v>1685</v>
      </c>
      <c r="B72" s="491">
        <f>'Sources and Uses Budget'!C73</f>
        <v>23000</v>
      </c>
      <c r="C72" s="492"/>
      <c r="D72" s="492"/>
      <c r="E72" s="493"/>
      <c r="F72" s="493"/>
      <c r="G72" s="493"/>
      <c r="H72" s="493"/>
      <c r="I72" s="493"/>
      <c r="J72" s="493"/>
      <c r="K72" s="486"/>
    </row>
    <row r="73" spans="1:11" s="219" customFormat="1" ht="11.4">
      <c r="A73" s="205" t="s">
        <v>1686</v>
      </c>
      <c r="B73" s="491">
        <f>'Sources and Uses Budget'!C74</f>
        <v>75106.914407576332</v>
      </c>
      <c r="C73" s="492"/>
      <c r="D73" s="492"/>
      <c r="E73" s="493"/>
      <c r="F73" s="493"/>
      <c r="G73" s="493"/>
      <c r="H73" s="493"/>
      <c r="I73" s="493"/>
      <c r="J73" s="493"/>
      <c r="K73" s="486"/>
    </row>
    <row r="74" spans="1:11" s="219" customFormat="1" ht="11.4">
      <c r="A74" s="205" t="str">
        <f>'Sources and Uses Budget'!$A75</f>
        <v>Other: (Specify)</v>
      </c>
      <c r="B74" s="491">
        <f>'Sources and Uses Budget'!C75</f>
        <v>0</v>
      </c>
      <c r="C74" s="492"/>
      <c r="D74" s="492"/>
      <c r="E74" s="493"/>
      <c r="F74" s="493"/>
      <c r="G74" s="493"/>
      <c r="H74" s="493"/>
      <c r="I74" s="493"/>
      <c r="J74" s="493"/>
      <c r="K74" s="486"/>
    </row>
    <row r="75" spans="1:11" s="219" customFormat="1">
      <c r="A75" s="209" t="s">
        <v>1687</v>
      </c>
      <c r="B75" s="491">
        <f>'Sources and Uses Budget'!C76</f>
        <v>98106.914407576332</v>
      </c>
      <c r="C75" s="491">
        <f>SUM(C70:C74)</f>
        <v>0</v>
      </c>
      <c r="D75" s="491">
        <f>SUM(D70:D74)</f>
        <v>0</v>
      </c>
      <c r="E75" s="493"/>
      <c r="F75" s="493"/>
      <c r="G75" s="493"/>
      <c r="H75" s="493"/>
      <c r="I75" s="493"/>
      <c r="J75" s="493"/>
      <c r="K75" s="486"/>
    </row>
    <row r="76" spans="1:11" s="219" customFormat="1" ht="11.4">
      <c r="A76" s="201" t="s">
        <v>1688</v>
      </c>
      <c r="B76" s="490"/>
      <c r="C76" s="490"/>
      <c r="D76" s="490"/>
      <c r="E76" s="490"/>
      <c r="F76" s="490"/>
      <c r="G76" s="490"/>
      <c r="H76" s="490"/>
      <c r="I76" s="490"/>
      <c r="J76" s="490"/>
      <c r="K76" s="486"/>
    </row>
    <row r="77" spans="1:11" s="219" customFormat="1" ht="11.4">
      <c r="A77" s="205" t="s">
        <v>1805</v>
      </c>
      <c r="B77" s="491">
        <f>'Sources and Uses Budget'!C78</f>
        <v>433580</v>
      </c>
      <c r="C77" s="492"/>
      <c r="D77" s="492"/>
      <c r="E77" s="491">
        <f>'Sources and Uses Budget'!S78</f>
        <v>433580</v>
      </c>
      <c r="F77" s="492"/>
      <c r="G77" s="492"/>
      <c r="H77" s="491">
        <f>'Sources and Uses Budget'!T78</f>
        <v>0</v>
      </c>
      <c r="I77" s="492"/>
      <c r="J77" s="492"/>
      <c r="K77" s="486"/>
    </row>
    <row r="78" spans="1:11" s="219" customFormat="1" ht="11.4">
      <c r="A78" s="205" t="s">
        <v>1690</v>
      </c>
      <c r="B78" s="491">
        <f>'Sources and Uses Budget'!C79</f>
        <v>84900</v>
      </c>
      <c r="C78" s="492"/>
      <c r="D78" s="492"/>
      <c r="E78" s="491">
        <f>'Sources and Uses Budget'!S79</f>
        <v>84900</v>
      </c>
      <c r="F78" s="492"/>
      <c r="G78" s="492"/>
      <c r="H78" s="491">
        <f>'Sources and Uses Budget'!T79</f>
        <v>0</v>
      </c>
      <c r="I78" s="492"/>
      <c r="J78" s="492"/>
      <c r="K78" s="486"/>
    </row>
    <row r="79" spans="1:11" s="219" customFormat="1">
      <c r="A79" s="209" t="s">
        <v>1691</v>
      </c>
      <c r="B79" s="491">
        <f>'Sources and Uses Budget'!C80</f>
        <v>518480</v>
      </c>
      <c r="C79" s="567">
        <f>SUM(C77:C78)</f>
        <v>0</v>
      </c>
      <c r="D79" s="567">
        <f>SUM(D77:D78)</f>
        <v>0</v>
      </c>
      <c r="E79" s="491">
        <f>'Sources and Uses Budget'!S80</f>
        <v>518480</v>
      </c>
      <c r="F79" s="567">
        <f>SUM(F77:F78)</f>
        <v>0</v>
      </c>
      <c r="G79" s="567">
        <f>SUM(G77:G78)</f>
        <v>0</v>
      </c>
      <c r="H79" s="491">
        <f>'Sources and Uses Budget'!T80</f>
        <v>0</v>
      </c>
      <c r="I79" s="567">
        <f>SUM(I77:I78)</f>
        <v>0</v>
      </c>
      <c r="J79" s="567">
        <f>SUM(J77:J78)</f>
        <v>0</v>
      </c>
      <c r="K79" s="486"/>
    </row>
    <row r="80" spans="1:11" s="219" customFormat="1" ht="11.4">
      <c r="A80" s="201" t="s">
        <v>1692</v>
      </c>
      <c r="B80" s="490"/>
      <c r="C80" s="490"/>
      <c r="D80" s="490"/>
      <c r="E80" s="490"/>
      <c r="F80" s="490"/>
      <c r="G80" s="490"/>
      <c r="H80" s="490"/>
      <c r="I80" s="490"/>
      <c r="J80" s="490"/>
      <c r="K80" s="486"/>
    </row>
    <row r="81" spans="1:11" s="219" customFormat="1" ht="14.1" customHeight="1">
      <c r="A81" s="205" t="s">
        <v>1693</v>
      </c>
      <c r="B81" s="491">
        <f>'Sources and Uses Budget'!C82</f>
        <v>35419</v>
      </c>
      <c r="C81" s="492"/>
      <c r="D81" s="492"/>
      <c r="E81" s="493"/>
      <c r="F81" s="493"/>
      <c r="G81" s="493"/>
      <c r="H81" s="493"/>
      <c r="I81" s="493"/>
      <c r="J81" s="493"/>
      <c r="K81" s="486"/>
    </row>
    <row r="82" spans="1:11" s="219" customFormat="1" ht="11.4">
      <c r="A82" s="205" t="s">
        <v>1694</v>
      </c>
      <c r="B82" s="491">
        <f>'Sources and Uses Budget'!C83</f>
        <v>12500</v>
      </c>
      <c r="C82" s="492"/>
      <c r="D82" s="492"/>
      <c r="E82" s="491">
        <f>'Sources and Uses Budget'!S83</f>
        <v>12500</v>
      </c>
      <c r="F82" s="492"/>
      <c r="G82" s="492"/>
      <c r="H82" s="491">
        <f>'Sources and Uses Budget'!T83</f>
        <v>0</v>
      </c>
      <c r="I82" s="492"/>
      <c r="J82" s="492"/>
      <c r="K82" s="486"/>
    </row>
    <row r="83" spans="1:11" s="219" customFormat="1" ht="11.4">
      <c r="A83" s="205" t="s">
        <v>1695</v>
      </c>
      <c r="B83" s="491">
        <f>'Sources and Uses Budget'!C84</f>
        <v>0</v>
      </c>
      <c r="C83" s="492"/>
      <c r="D83" s="492"/>
      <c r="E83" s="491">
        <f>'Sources and Uses Budget'!S84</f>
        <v>0</v>
      </c>
      <c r="F83" s="492"/>
      <c r="G83" s="492"/>
      <c r="H83" s="491">
        <f>'Sources and Uses Budget'!T84</f>
        <v>0</v>
      </c>
      <c r="I83" s="492"/>
      <c r="J83" s="492"/>
      <c r="K83" s="486"/>
    </row>
    <row r="84" spans="1:11" s="219" customFormat="1" ht="11.4">
      <c r="A84" s="205" t="s">
        <v>1696</v>
      </c>
      <c r="B84" s="491">
        <f>'Sources and Uses Budget'!C85</f>
        <v>100000</v>
      </c>
      <c r="C84" s="492"/>
      <c r="D84" s="492"/>
      <c r="E84" s="491">
        <f>'Sources and Uses Budget'!S85</f>
        <v>100000</v>
      </c>
      <c r="F84" s="492"/>
      <c r="G84" s="492"/>
      <c r="H84" s="491">
        <f>'Sources and Uses Budget'!T85</f>
        <v>0</v>
      </c>
      <c r="I84" s="492"/>
      <c r="J84" s="492"/>
      <c r="K84" s="486"/>
    </row>
    <row r="85" spans="1:11" s="219" customFormat="1" ht="11.4">
      <c r="A85" s="205" t="s">
        <v>1697</v>
      </c>
      <c r="B85" s="491">
        <f>'Sources and Uses Budget'!C86</f>
        <v>0</v>
      </c>
      <c r="C85" s="492"/>
      <c r="D85" s="492"/>
      <c r="E85" s="491">
        <f>'Sources and Uses Budget'!S86</f>
        <v>0</v>
      </c>
      <c r="F85" s="492"/>
      <c r="G85" s="492"/>
      <c r="H85" s="491">
        <f>'Sources and Uses Budget'!T86</f>
        <v>0</v>
      </c>
      <c r="I85" s="492"/>
      <c r="J85" s="492"/>
      <c r="K85" s="486"/>
    </row>
    <row r="86" spans="1:11" s="219" customFormat="1" ht="11.4">
      <c r="A86" s="205" t="s">
        <v>1698</v>
      </c>
      <c r="B86" s="491">
        <f>'Sources and Uses Budget'!C87</f>
        <v>10000</v>
      </c>
      <c r="C86" s="492"/>
      <c r="D86" s="492"/>
      <c r="E86" s="493"/>
      <c r="F86" s="493"/>
      <c r="G86" s="493"/>
      <c r="H86" s="493"/>
      <c r="I86" s="493"/>
      <c r="J86" s="493"/>
      <c r="K86" s="486"/>
    </row>
    <row r="87" spans="1:11" s="219" customFormat="1" ht="11.4">
      <c r="A87" s="205" t="s">
        <v>1699</v>
      </c>
      <c r="B87" s="491">
        <f>'Sources and Uses Budget'!C88</f>
        <v>23000</v>
      </c>
      <c r="C87" s="492"/>
      <c r="D87" s="492"/>
      <c r="E87" s="491">
        <f>'Sources and Uses Budget'!S88</f>
        <v>23000</v>
      </c>
      <c r="F87" s="492"/>
      <c r="G87" s="492"/>
      <c r="H87" s="491">
        <f>'Sources and Uses Budget'!T88</f>
        <v>0</v>
      </c>
      <c r="I87" s="492"/>
      <c r="J87" s="492"/>
      <c r="K87" s="486"/>
    </row>
    <row r="88" spans="1:11" s="219" customFormat="1" ht="11.4">
      <c r="A88" s="205" t="s">
        <v>1700</v>
      </c>
      <c r="B88" s="491">
        <f>'Sources and Uses Budget'!C89</f>
        <v>10000</v>
      </c>
      <c r="C88" s="492"/>
      <c r="D88" s="492"/>
      <c r="E88" s="491">
        <f>'Sources and Uses Budget'!S89</f>
        <v>0</v>
      </c>
      <c r="F88" s="492"/>
      <c r="G88" s="492"/>
      <c r="H88" s="491">
        <f>'Sources and Uses Budget'!T89</f>
        <v>0</v>
      </c>
      <c r="I88" s="492"/>
      <c r="J88" s="492"/>
      <c r="K88" s="486"/>
    </row>
    <row r="89" spans="1:11" s="219" customFormat="1" ht="11.4">
      <c r="A89" s="205" t="s">
        <v>1701</v>
      </c>
      <c r="B89" s="491">
        <f>'Sources and Uses Budget'!C90</f>
        <v>0</v>
      </c>
      <c r="C89" s="492"/>
      <c r="D89" s="492"/>
      <c r="E89" s="491">
        <f>'Sources and Uses Budget'!S90</f>
        <v>0</v>
      </c>
      <c r="F89" s="492"/>
      <c r="G89" s="492"/>
      <c r="H89" s="491">
        <f>'Sources and Uses Budget'!T90</f>
        <v>0</v>
      </c>
      <c r="I89" s="492"/>
      <c r="J89" s="492"/>
      <c r="K89" s="486"/>
    </row>
    <row r="90" spans="1:11" s="219" customFormat="1" ht="11.4">
      <c r="A90" s="205" t="s">
        <v>1702</v>
      </c>
      <c r="B90" s="491">
        <f>'Sources and Uses Budget'!C91</f>
        <v>10000</v>
      </c>
      <c r="C90" s="492"/>
      <c r="D90" s="492"/>
      <c r="E90" s="491">
        <f>'Sources and Uses Budget'!S91</f>
        <v>10000</v>
      </c>
      <c r="F90" s="492"/>
      <c r="G90" s="492"/>
      <c r="H90" s="491">
        <f>'Sources and Uses Budget'!T91</f>
        <v>0</v>
      </c>
      <c r="I90" s="492"/>
      <c r="J90" s="492"/>
      <c r="K90" s="486"/>
    </row>
    <row r="91" spans="1:11" s="219" customFormat="1" ht="11.4">
      <c r="A91" s="205" t="str">
        <f>'Sources and Uses Budget'!$A92</f>
        <v>Other: (Specify)</v>
      </c>
      <c r="B91" s="491">
        <f>'Sources and Uses Budget'!C92</f>
        <v>0</v>
      </c>
      <c r="C91" s="492"/>
      <c r="D91" s="492"/>
      <c r="E91" s="491">
        <f>'Sources and Uses Budget'!S92</f>
        <v>0</v>
      </c>
      <c r="F91" s="492"/>
      <c r="G91" s="492"/>
      <c r="H91" s="491">
        <f>'Sources and Uses Budget'!T92</f>
        <v>0</v>
      </c>
      <c r="I91" s="492"/>
      <c r="J91" s="492"/>
      <c r="K91" s="486"/>
    </row>
    <row r="92" spans="1:11" s="219" customFormat="1" ht="11.4">
      <c r="A92" s="205" t="str">
        <f>'Sources and Uses Budget'!$A93</f>
        <v>Other: (Specify)</v>
      </c>
      <c r="B92" s="491">
        <f>'Sources and Uses Budget'!C93</f>
        <v>0</v>
      </c>
      <c r="C92" s="492"/>
      <c r="D92" s="492"/>
      <c r="E92" s="491">
        <f>'Sources and Uses Budget'!S93</f>
        <v>0</v>
      </c>
      <c r="F92" s="492"/>
      <c r="G92" s="492"/>
      <c r="H92" s="491">
        <f>'Sources and Uses Budget'!T93</f>
        <v>0</v>
      </c>
      <c r="I92" s="492"/>
      <c r="J92" s="492"/>
      <c r="K92" s="486"/>
    </row>
    <row r="93" spans="1:11" s="219" customFormat="1" ht="11.4">
      <c r="A93" s="205" t="str">
        <f>'Sources and Uses Budget'!$A94</f>
        <v>Other: (Specify)</v>
      </c>
      <c r="B93" s="491">
        <f>'Sources and Uses Budget'!C94</f>
        <v>0</v>
      </c>
      <c r="C93" s="492"/>
      <c r="D93" s="492"/>
      <c r="E93" s="491">
        <f>'Sources and Uses Budget'!S94</f>
        <v>0</v>
      </c>
      <c r="F93" s="492"/>
      <c r="G93" s="492"/>
      <c r="H93" s="491">
        <f>'Sources and Uses Budget'!T94</f>
        <v>0</v>
      </c>
      <c r="I93" s="492"/>
      <c r="J93" s="492"/>
      <c r="K93" s="486"/>
    </row>
    <row r="94" spans="1:11" s="219" customFormat="1">
      <c r="A94" s="209" t="s">
        <v>1703</v>
      </c>
      <c r="B94" s="491">
        <f>'Sources and Uses Budget'!C95</f>
        <v>200919</v>
      </c>
      <c r="C94" s="491">
        <f>SUM(C81:C93)</f>
        <v>0</v>
      </c>
      <c r="D94" s="491">
        <f>SUM(D81:D93)</f>
        <v>0</v>
      </c>
      <c r="E94" s="491">
        <f>'Sources and Uses Budget'!S95</f>
        <v>145500</v>
      </c>
      <c r="F94" s="494">
        <f>SUM(F82:F85,F87:F93)</f>
        <v>0</v>
      </c>
      <c r="G94" s="494">
        <f>SUM(G82:G85,G87:G93)</f>
        <v>0</v>
      </c>
      <c r="H94" s="491">
        <f>'Sources and Uses Budget'!T95</f>
        <v>0</v>
      </c>
      <c r="I94" s="491">
        <f>SUM(I82:I85,I87:I93)</f>
        <v>0</v>
      </c>
      <c r="J94" s="491">
        <f>SUM(J82:J85,J87:J93)</f>
        <v>0</v>
      </c>
      <c r="K94" s="486"/>
    </row>
    <row r="95" spans="1:11" s="219" customFormat="1">
      <c r="A95" s="209" t="s">
        <v>1806</v>
      </c>
      <c r="B95" s="491">
        <f>'Sources and Uses Budget'!C96</f>
        <v>6798158.9144075764</v>
      </c>
      <c r="C95" s="491">
        <f>SUM(C61+C68+C75+C79+C94)</f>
        <v>0</v>
      </c>
      <c r="D95" s="491">
        <f>SUM(D61+D68+D75+D79+D94)</f>
        <v>0</v>
      </c>
      <c r="E95" s="491">
        <f>'Sources and Uses Budget'!S96</f>
        <v>4183305</v>
      </c>
      <c r="F95" s="494">
        <f>SUM(+F61+F68+F79+F94)</f>
        <v>0</v>
      </c>
      <c r="G95" s="494">
        <f>SUM(+G61+G68+G79+G94)</f>
        <v>0</v>
      </c>
      <c r="H95" s="491">
        <f>'Sources and Uses Budget'!T96</f>
        <v>0</v>
      </c>
      <c r="I95" s="494">
        <f>SUM(I61+I68+I79+I94)</f>
        <v>0</v>
      </c>
      <c r="J95" s="494">
        <f>SUM(J61+J68+J79+J94)</f>
        <v>0</v>
      </c>
      <c r="K95" s="486"/>
    </row>
    <row r="96" spans="1:11" s="219" customFormat="1" ht="11.4">
      <c r="A96" s="201" t="s">
        <v>1705</v>
      </c>
      <c r="B96" s="490"/>
      <c r="C96" s="490"/>
      <c r="D96" s="490"/>
      <c r="E96" s="490"/>
      <c r="F96" s="490"/>
      <c r="G96" s="490"/>
      <c r="H96" s="490"/>
      <c r="I96" s="490"/>
      <c r="J96" s="490"/>
      <c r="K96" s="486"/>
    </row>
    <row r="97" spans="1:11" s="219" customFormat="1" ht="11.4">
      <c r="A97" s="205" t="s">
        <v>1706</v>
      </c>
      <c r="B97" s="491">
        <f>'Sources and Uses Budget'!C98</f>
        <v>627495.75</v>
      </c>
      <c r="C97" s="492"/>
      <c r="D97" s="492"/>
      <c r="E97" s="491">
        <f>'Sources and Uses Budget'!S98</f>
        <v>627495.75</v>
      </c>
      <c r="F97" s="492"/>
      <c r="G97" s="492"/>
      <c r="H97" s="491">
        <f>'Sources and Uses Budget'!T98</f>
        <v>0</v>
      </c>
      <c r="I97" s="492"/>
      <c r="J97" s="492"/>
      <c r="K97" s="486"/>
    </row>
    <row r="98" spans="1:11" s="219" customFormat="1" ht="11.4">
      <c r="A98" s="205" t="s">
        <v>1707</v>
      </c>
      <c r="B98" s="491">
        <f>'Sources and Uses Budget'!C99</f>
        <v>0</v>
      </c>
      <c r="C98" s="492"/>
      <c r="D98" s="492"/>
      <c r="E98" s="491">
        <f>'Sources and Uses Budget'!S99</f>
        <v>0</v>
      </c>
      <c r="F98" s="492"/>
      <c r="G98" s="492"/>
      <c r="H98" s="491">
        <f>'Sources and Uses Budget'!T99</f>
        <v>0</v>
      </c>
      <c r="I98" s="492"/>
      <c r="J98" s="492"/>
      <c r="K98" s="486"/>
    </row>
    <row r="99" spans="1:11" s="219" customFormat="1" ht="12" customHeight="1">
      <c r="A99" s="205" t="s">
        <v>1708</v>
      </c>
      <c r="B99" s="491">
        <f>'Sources and Uses Budget'!C100</f>
        <v>0</v>
      </c>
      <c r="C99" s="492"/>
      <c r="D99" s="492"/>
      <c r="E99" s="491">
        <f>'Sources and Uses Budget'!S100</f>
        <v>0</v>
      </c>
      <c r="F99" s="492"/>
      <c r="G99" s="492"/>
      <c r="H99" s="491">
        <f>'Sources and Uses Budget'!T100</f>
        <v>0</v>
      </c>
      <c r="I99" s="492"/>
      <c r="J99" s="492"/>
      <c r="K99" s="486"/>
    </row>
    <row r="100" spans="1:11" s="219" customFormat="1" ht="11.4">
      <c r="A100" s="205" t="s">
        <v>1709</v>
      </c>
      <c r="B100" s="491">
        <f>'Sources and Uses Budget'!C101</f>
        <v>0</v>
      </c>
      <c r="C100" s="492"/>
      <c r="D100" s="492"/>
      <c r="E100" s="491">
        <f>'Sources and Uses Budget'!S101</f>
        <v>0</v>
      </c>
      <c r="F100" s="492"/>
      <c r="G100" s="492"/>
      <c r="H100" s="491">
        <f>'Sources and Uses Budget'!T101</f>
        <v>0</v>
      </c>
      <c r="I100" s="492"/>
      <c r="J100" s="492"/>
      <c r="K100" s="486"/>
    </row>
    <row r="101" spans="1:11" s="219" customFormat="1" ht="11.4">
      <c r="A101" s="205" t="str">
        <f>'Sources and Uses Budget'!$A102</f>
        <v>Other: (Specify)</v>
      </c>
      <c r="B101" s="491">
        <f>'Sources and Uses Budget'!C102</f>
        <v>0</v>
      </c>
      <c r="C101" s="492"/>
      <c r="D101" s="492"/>
      <c r="E101" s="491">
        <f>'Sources and Uses Budget'!S102</f>
        <v>0</v>
      </c>
      <c r="F101" s="492"/>
      <c r="G101" s="492"/>
      <c r="H101" s="491">
        <f>'Sources and Uses Budget'!T102</f>
        <v>0</v>
      </c>
      <c r="I101" s="492"/>
      <c r="J101" s="492"/>
      <c r="K101" s="486"/>
    </row>
    <row r="102" spans="1:11" s="219" customFormat="1">
      <c r="A102" s="209" t="s">
        <v>1710</v>
      </c>
      <c r="B102" s="491">
        <f>'Sources and Uses Budget'!C103</f>
        <v>627495.75</v>
      </c>
      <c r="C102" s="491">
        <f>SUM(C97:C101)</f>
        <v>0</v>
      </c>
      <c r="D102" s="491">
        <f>SUM(D97:D101)</f>
        <v>0</v>
      </c>
      <c r="E102" s="491">
        <f>'Sources and Uses Budget'!S103</f>
        <v>627495.75</v>
      </c>
      <c r="F102" s="494">
        <f>SUM(F97:F101)</f>
        <v>0</v>
      </c>
      <c r="G102" s="494">
        <f>SUM(G97:G101)</f>
        <v>0</v>
      </c>
      <c r="H102" s="491">
        <f>'Sources and Uses Budget'!T103</f>
        <v>0</v>
      </c>
      <c r="I102" s="494">
        <f>SUM(I97:I101)</f>
        <v>0</v>
      </c>
      <c r="J102" s="494">
        <f>SUM(J97:J101)</f>
        <v>0</v>
      </c>
      <c r="K102" s="486"/>
    </row>
    <row r="103" spans="1:11" s="219" customFormat="1">
      <c r="A103" s="209" t="s">
        <v>1807</v>
      </c>
      <c r="B103" s="491">
        <f>'Sources and Uses Budget'!C104</f>
        <v>7425654.6644075764</v>
      </c>
      <c r="C103" s="494">
        <f>SUM(C95+C102)</f>
        <v>0</v>
      </c>
      <c r="D103" s="494">
        <f>SUM(D95+D102)</f>
        <v>0</v>
      </c>
      <c r="E103" s="491">
        <f>'Sources and Uses Budget'!S104</f>
        <v>4810800.75</v>
      </c>
      <c r="F103" s="494">
        <f>F95+F102</f>
        <v>0</v>
      </c>
      <c r="G103" s="494">
        <f>G95+G102</f>
        <v>0</v>
      </c>
      <c r="H103" s="491">
        <f>'Sources and Uses Budget'!T104</f>
        <v>0</v>
      </c>
      <c r="I103" s="494">
        <f>I95+I102</f>
        <v>0</v>
      </c>
      <c r="J103" s="494">
        <f>J95+J102</f>
        <v>0</v>
      </c>
      <c r="K103" s="486"/>
    </row>
    <row r="104" spans="1:11" s="219" customFormat="1">
      <c r="A104" s="217"/>
      <c r="B104" s="495"/>
      <c r="C104" s="495"/>
      <c r="D104" s="495"/>
      <c r="E104" s="491">
        <f>'Sources and Uses Budget'!S105</f>
        <v>0</v>
      </c>
      <c r="F104" s="492"/>
      <c r="G104" s="492"/>
      <c r="H104" s="491">
        <f>'Sources and Uses Budget'!T105</f>
        <v>0</v>
      </c>
      <c r="I104" s="492"/>
      <c r="J104" s="492"/>
      <c r="K104" s="486"/>
    </row>
    <row r="105" spans="1:11" s="219" customFormat="1">
      <c r="A105" s="468"/>
      <c r="B105" s="496"/>
      <c r="C105" s="495"/>
      <c r="D105" s="495"/>
      <c r="E105" s="491">
        <f>'Sources and Uses Budget'!S106</f>
        <v>4810800.75</v>
      </c>
      <c r="F105" s="494">
        <f>F103+F104</f>
        <v>0</v>
      </c>
      <c r="G105" s="494">
        <f>G103+G104</f>
        <v>0</v>
      </c>
      <c r="H105" s="491">
        <f>'Sources and Uses Budget'!T106</f>
        <v>0</v>
      </c>
      <c r="I105" s="494">
        <f>I103+I104</f>
        <v>0</v>
      </c>
      <c r="J105" s="494">
        <f>J103+J104</f>
        <v>0</v>
      </c>
      <c r="K105" s="486"/>
    </row>
    <row r="106" spans="1:11" s="219" customFormat="1" hidden="1">
      <c r="A106" s="468"/>
      <c r="B106" s="218"/>
      <c r="C106" s="218"/>
      <c r="D106" s="218"/>
      <c r="J106" s="489"/>
      <c r="K106" s="486"/>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642" zoomScale="80" zoomScaleNormal="80" workbookViewId="0">
      <selection activeCell="M656" sqref="M656"/>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69" customWidth="1"/>
    <col min="41" max="41" width="6.44140625" style="34" hidden="1" customWidth="1"/>
    <col min="42" max="43" width="7" style="21" hidden="1" customWidth="1"/>
    <col min="44" max="44" width="9.109375" style="21" hidden="1" customWidth="1"/>
    <col min="45" max="45" width="6.441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20" t="s">
        <v>1808</v>
      </c>
      <c r="B1" s="1520"/>
      <c r="C1" s="1520"/>
      <c r="D1" s="1520"/>
      <c r="E1" s="1520"/>
      <c r="F1" s="1520"/>
      <c r="G1" s="1520"/>
      <c r="H1" s="1520"/>
      <c r="I1" s="1520"/>
      <c r="J1" s="1520"/>
      <c r="K1" s="1520"/>
      <c r="L1" s="1520"/>
      <c r="M1" s="1520"/>
      <c r="N1" s="1520"/>
      <c r="O1" s="1520"/>
      <c r="P1" s="1520"/>
      <c r="Q1" s="1520"/>
      <c r="R1" s="1520"/>
      <c r="S1" s="1520"/>
      <c r="T1" s="1520"/>
      <c r="U1" s="1520"/>
      <c r="V1" s="1520"/>
      <c r="W1" s="1520"/>
      <c r="X1" s="1520"/>
      <c r="Y1" s="1520"/>
      <c r="Z1" s="1520"/>
      <c r="AA1" s="1520"/>
      <c r="AB1" s="1520"/>
      <c r="AC1" s="1520"/>
      <c r="AD1" s="1520"/>
      <c r="AE1" s="1520"/>
      <c r="AF1" s="1520"/>
      <c r="AG1" s="1520"/>
      <c r="AH1" s="1520"/>
      <c r="AI1" s="1520"/>
      <c r="AJ1" s="1520"/>
      <c r="AK1" s="1520"/>
      <c r="AL1" s="1520"/>
      <c r="AM1" s="1520"/>
    </row>
    <row r="2" spans="1:43" s="5" customFormat="1" ht="12.75" customHeight="1" thickBot="1">
      <c r="A2" s="1521"/>
      <c r="B2" s="1521"/>
      <c r="C2" s="1521"/>
      <c r="D2" s="1521"/>
      <c r="E2" s="1521"/>
      <c r="F2" s="1521"/>
      <c r="G2" s="1521"/>
      <c r="H2" s="1521"/>
      <c r="I2" s="1521"/>
      <c r="J2" s="1521"/>
      <c r="K2" s="1521"/>
      <c r="L2" s="1521"/>
      <c r="M2" s="1521"/>
      <c r="N2" s="1521"/>
      <c r="O2" s="1521"/>
      <c r="P2" s="1521"/>
      <c r="Q2" s="1521"/>
      <c r="R2" s="1521"/>
      <c r="S2" s="1521"/>
      <c r="T2" s="1521"/>
      <c r="U2" s="1521"/>
      <c r="V2" s="1521"/>
      <c r="W2" s="1521"/>
      <c r="X2" s="1521"/>
      <c r="Y2" s="1521"/>
      <c r="Z2" s="1521"/>
      <c r="AA2" s="1521"/>
      <c r="AB2" s="1521"/>
      <c r="AC2" s="1521"/>
      <c r="AD2" s="1521"/>
      <c r="AE2" s="1521"/>
      <c r="AF2" s="1521"/>
      <c r="AG2" s="1521"/>
      <c r="AH2" s="1521"/>
      <c r="AI2" s="1521"/>
      <c r="AJ2" s="1521"/>
      <c r="AK2" s="1521"/>
      <c r="AL2" s="1521"/>
      <c r="AM2" s="1521"/>
      <c r="AN2" s="902"/>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0"/>
    </row>
    <row r="4" spans="1:43" s="3" customFormat="1" ht="12.75" customHeight="1">
      <c r="A4" s="56" t="s">
        <v>1809</v>
      </c>
      <c r="AE4" s="1585" t="s">
        <v>1810</v>
      </c>
      <c r="AF4" s="1585"/>
      <c r="AG4" s="1585"/>
      <c r="AH4" s="1585"/>
      <c r="AI4" s="1585"/>
      <c r="AJ4" s="1585"/>
      <c r="AK4" s="1585"/>
      <c r="AL4" s="18"/>
      <c r="AN4" s="570"/>
    </row>
    <row r="5" spans="1:43" s="3" customFormat="1" ht="12.9" customHeight="1">
      <c r="A5" s="56"/>
      <c r="AE5" s="18"/>
      <c r="AF5" s="18"/>
      <c r="AG5" s="18"/>
      <c r="AH5" s="18"/>
      <c r="AI5" s="18"/>
      <c r="AJ5" s="18"/>
      <c r="AK5" s="18"/>
      <c r="AL5" s="18"/>
      <c r="AN5" s="570"/>
    </row>
    <row r="6" spans="1:43" s="5" customFormat="1" ht="12.75" customHeight="1">
      <c r="A6" s="56"/>
      <c r="B6" s="56" t="s">
        <v>1811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93" t="s">
        <v>1812</v>
      </c>
      <c r="AG6" s="1593"/>
      <c r="AH6" s="1593"/>
      <c r="AI6" s="1593"/>
      <c r="AJ6" s="1593"/>
      <c r="AK6" s="1593"/>
      <c r="AL6" s="1593"/>
      <c r="AM6" s="3"/>
      <c r="AN6" s="902"/>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2"/>
      <c r="AO7" s="37"/>
      <c r="AP7" s="37"/>
      <c r="AQ7" s="37"/>
    </row>
    <row r="8" spans="1:43" s="5" customFormat="1" ht="15" customHeight="1">
      <c r="A8" s="56"/>
      <c r="B8" s="1394" t="s">
        <v>698</v>
      </c>
      <c r="C8" s="1394"/>
      <c r="D8" s="1394"/>
      <c r="E8" s="1394"/>
      <c r="F8" s="1394"/>
      <c r="G8" s="1394"/>
      <c r="H8" s="1394"/>
      <c r="I8" s="1394"/>
      <c r="J8" s="1394"/>
      <c r="K8" s="1394"/>
      <c r="L8" s="1394"/>
      <c r="M8" s="1394"/>
      <c r="N8" s="1394"/>
      <c r="O8" s="1394"/>
      <c r="P8" s="1394"/>
      <c r="Q8" s="1394"/>
      <c r="R8" s="1394"/>
      <c r="S8" s="1394"/>
      <c r="T8" s="1394"/>
      <c r="U8" s="1394"/>
      <c r="V8" s="1394"/>
      <c r="W8" s="1394"/>
      <c r="X8" s="1394"/>
      <c r="Y8" s="1394"/>
      <c r="Z8" s="1394"/>
      <c r="AA8" s="1394"/>
      <c r="AB8" s="1394"/>
      <c r="AC8" s="1394"/>
      <c r="AD8" s="3"/>
      <c r="AE8" s="88"/>
      <c r="AF8" s="88"/>
      <c r="AG8" s="88"/>
      <c r="AH8" s="88"/>
      <c r="AI8" s="88"/>
      <c r="AJ8" s="88"/>
      <c r="AK8" s="88"/>
      <c r="AL8" s="88"/>
      <c r="AM8" s="3"/>
      <c r="AN8" s="902"/>
      <c r="AO8" s="37"/>
      <c r="AP8" s="401"/>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2"/>
      <c r="AO9" s="340" t="s">
        <v>320</v>
      </c>
      <c r="AP9" s="382"/>
      <c r="AQ9" s="37"/>
    </row>
    <row r="10" spans="1:43" s="5" customFormat="1" ht="12.75" customHeight="1">
      <c r="A10" s="56"/>
      <c r="B10" s="20" t="s">
        <v>1813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2"/>
      <c r="AO10" s="295" t="s">
        <v>1814</v>
      </c>
      <c r="AP10" s="299">
        <v>5</v>
      </c>
      <c r="AQ10" s="37"/>
    </row>
    <row r="11" spans="1:43" s="5" customFormat="1" ht="12.75" customHeight="1">
      <c r="A11" s="56"/>
      <c r="B11" s="1394" t="s">
        <v>1815</v>
      </c>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G11" s="1394"/>
      <c r="AH11" s="1394"/>
      <c r="AI11" s="1394"/>
      <c r="AJ11" s="37"/>
      <c r="AK11" s="37"/>
      <c r="AL11" s="37"/>
      <c r="AM11" s="3"/>
      <c r="AN11" s="902"/>
      <c r="AO11" s="295" t="s">
        <v>1815</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2"/>
      <c r="AO12" s="295"/>
      <c r="AP12" s="299"/>
      <c r="AQ12" s="37"/>
    </row>
    <row r="13" spans="1:43" s="5" customFormat="1" ht="12.75" customHeight="1">
      <c r="A13" s="56"/>
      <c r="B13" s="20" t="s">
        <v>1816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96" t="s">
        <v>325</v>
      </c>
      <c r="AC13" s="1696"/>
      <c r="AD13" s="18"/>
      <c r="AE13" s="37"/>
      <c r="AF13" s="37"/>
      <c r="AG13" s="37"/>
      <c r="AH13" s="37"/>
      <c r="AI13" s="37"/>
      <c r="AJ13" s="37"/>
      <c r="AK13" s="37"/>
      <c r="AL13" s="37"/>
      <c r="AM13" s="3"/>
      <c r="AN13" s="902"/>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2"/>
      <c r="AO14" s="340" t="s">
        <v>1817</v>
      </c>
      <c r="AP14" s="299"/>
      <c r="AQ14" s="37"/>
    </row>
    <row r="15" spans="1:43" s="5" customFormat="1" ht="12.75" customHeight="1">
      <c r="A15" s="56"/>
      <c r="B15" s="54" t="s">
        <v>1818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2"/>
      <c r="AO15" s="295" t="s">
        <v>1819</v>
      </c>
      <c r="AP15" s="299">
        <v>5</v>
      </c>
      <c r="AQ15" s="37"/>
    </row>
    <row r="16" spans="1:43" s="5" customFormat="1" ht="12.75" customHeight="1">
      <c r="A16" s="56"/>
      <c r="B16" s="1394" t="s">
        <v>1817</v>
      </c>
      <c r="C16" s="1394"/>
      <c r="D16" s="1394"/>
      <c r="E16" s="1394"/>
      <c r="F16" s="1394"/>
      <c r="G16" s="1394"/>
      <c r="H16" s="1394"/>
      <c r="I16" s="1394"/>
      <c r="J16" s="1394"/>
      <c r="K16" s="1394"/>
      <c r="L16" s="1394"/>
      <c r="M16" s="1394"/>
      <c r="N16" s="1394"/>
      <c r="O16" s="1394"/>
      <c r="P16" s="1394"/>
      <c r="Q16" s="1394"/>
      <c r="R16" s="1394"/>
      <c r="S16" s="1394"/>
      <c r="T16" s="1394"/>
      <c r="U16" s="1394"/>
      <c r="V16" s="1394"/>
      <c r="W16" s="1394"/>
      <c r="X16" s="1394"/>
      <c r="Y16" s="1394"/>
      <c r="Z16" s="1394"/>
      <c r="AA16" s="1394"/>
      <c r="AB16" s="1394"/>
      <c r="AC16" s="1394"/>
      <c r="AD16" s="1394"/>
      <c r="AE16" s="1394"/>
      <c r="AF16" s="1394"/>
      <c r="AG16" s="1394"/>
      <c r="AH16" s="1394"/>
      <c r="AI16" s="1394"/>
      <c r="AJ16" s="1394"/>
      <c r="AK16" s="403"/>
      <c r="AL16" s="403"/>
      <c r="AM16" s="403"/>
      <c r="AN16" s="902"/>
      <c r="AO16" s="295" t="s">
        <v>1820</v>
      </c>
      <c r="AP16" s="299">
        <v>7</v>
      </c>
      <c r="AQ16" s="37"/>
    </row>
    <row r="17" spans="1:42" s="5" customFormat="1" ht="12.75" customHeight="1">
      <c r="A17" s="37"/>
      <c r="B17" s="54" t="s">
        <v>1821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2"/>
      <c r="AO17" s="295"/>
      <c r="AP17" s="299"/>
    </row>
    <row r="18" spans="1:42" s="5" customFormat="1" ht="12.75" customHeight="1">
      <c r="A18" s="37"/>
      <c r="B18" s="20" t="s">
        <v>1822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2"/>
      <c r="AO18" s="37"/>
      <c r="AP18" s="401"/>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2"/>
      <c r="AO19" s="37"/>
      <c r="AP19" s="37"/>
    </row>
    <row r="20" spans="1:42" s="5" customFormat="1" ht="12.75" customHeight="1">
      <c r="A20" s="37"/>
      <c r="B20" s="1547" t="s">
        <v>1823</v>
      </c>
      <c r="C20" s="1547"/>
      <c r="D20" s="1547"/>
      <c r="E20" s="1547"/>
      <c r="F20" s="1547"/>
      <c r="G20" s="1547"/>
      <c r="H20" s="1547"/>
      <c r="I20" s="1547"/>
      <c r="J20" s="1547"/>
      <c r="K20" s="1547"/>
      <c r="L20" s="1547"/>
      <c r="M20" s="1547"/>
      <c r="N20" s="1547"/>
      <c r="O20" s="1547"/>
      <c r="P20" s="1547"/>
      <c r="Q20" s="1547"/>
      <c r="R20" s="1547"/>
      <c r="S20" s="1547"/>
      <c r="T20" s="1547"/>
      <c r="U20" s="1547"/>
      <c r="V20" s="1547"/>
      <c r="W20" s="1547"/>
      <c r="X20" s="1547"/>
      <c r="Y20" s="1547"/>
      <c r="Z20" s="1547"/>
      <c r="AA20" s="1547"/>
      <c r="AB20" s="1547"/>
      <c r="AC20" s="1547"/>
      <c r="AD20" s="1547"/>
      <c r="AE20" s="1547"/>
      <c r="AF20" s="1547"/>
      <c r="AG20" s="1547"/>
      <c r="AH20" s="1547"/>
      <c r="AI20" s="1547"/>
      <c r="AJ20" s="1547"/>
      <c r="AK20" s="1547"/>
      <c r="AL20" s="83"/>
      <c r="AM20" s="26"/>
      <c r="AN20" s="902"/>
      <c r="AO20" s="37"/>
      <c r="AP20" s="37"/>
    </row>
    <row r="21" spans="1:42" s="5" customFormat="1" ht="12.75" customHeight="1">
      <c r="A21" s="26"/>
      <c r="B21" s="1547"/>
      <c r="C21" s="1547"/>
      <c r="D21" s="1547"/>
      <c r="E21" s="1547"/>
      <c r="F21" s="1547"/>
      <c r="G21" s="1547"/>
      <c r="H21" s="1547"/>
      <c r="I21" s="1547"/>
      <c r="J21" s="1547"/>
      <c r="K21" s="1547"/>
      <c r="L21" s="1547"/>
      <c r="M21" s="1547"/>
      <c r="N21" s="1547"/>
      <c r="O21" s="1547"/>
      <c r="P21" s="1547"/>
      <c r="Q21" s="1547"/>
      <c r="R21" s="1547"/>
      <c r="S21" s="1547"/>
      <c r="T21" s="1547"/>
      <c r="U21" s="1547"/>
      <c r="V21" s="1547"/>
      <c r="W21" s="1547"/>
      <c r="X21" s="1547"/>
      <c r="Y21" s="1547"/>
      <c r="Z21" s="1547"/>
      <c r="AA21" s="1547"/>
      <c r="AB21" s="1547"/>
      <c r="AC21" s="1547"/>
      <c r="AD21" s="1547"/>
      <c r="AE21" s="1547"/>
      <c r="AF21" s="1547"/>
      <c r="AG21" s="1547"/>
      <c r="AH21" s="1547"/>
      <c r="AI21" s="1547"/>
      <c r="AJ21" s="1547"/>
      <c r="AK21" s="1547"/>
      <c r="AL21" s="83"/>
      <c r="AM21" s="26"/>
      <c r="AN21" s="902"/>
      <c r="AO21" s="37"/>
      <c r="AP21" s="903"/>
    </row>
    <row r="22" spans="1:42" s="5" customFormat="1" ht="12.75" customHeight="1">
      <c r="A22" s="26"/>
      <c r="B22" s="1547"/>
      <c r="C22" s="1547"/>
      <c r="D22" s="1547"/>
      <c r="E22" s="1547"/>
      <c r="F22" s="1547"/>
      <c r="G22" s="1547"/>
      <c r="H22" s="1547"/>
      <c r="I22" s="1547"/>
      <c r="J22" s="1547"/>
      <c r="K22" s="1547"/>
      <c r="L22" s="1547"/>
      <c r="M22" s="1547"/>
      <c r="N22" s="1547"/>
      <c r="O22" s="1547"/>
      <c r="P22" s="1547"/>
      <c r="Q22" s="1547"/>
      <c r="R22" s="1547"/>
      <c r="S22" s="1547"/>
      <c r="T22" s="1547"/>
      <c r="U22" s="1547"/>
      <c r="V22" s="1547"/>
      <c r="W22" s="1547"/>
      <c r="X22" s="1547"/>
      <c r="Y22" s="1547"/>
      <c r="Z22" s="1547"/>
      <c r="AA22" s="1547"/>
      <c r="AB22" s="1547"/>
      <c r="AC22" s="1547"/>
      <c r="AD22" s="1547"/>
      <c r="AE22" s="1547"/>
      <c r="AF22" s="1547"/>
      <c r="AG22" s="1547"/>
      <c r="AH22" s="1547"/>
      <c r="AI22" s="1547"/>
      <c r="AJ22" s="1547"/>
      <c r="AK22" s="1547"/>
      <c r="AL22" s="83"/>
      <c r="AM22" s="26"/>
      <c r="AN22" s="902"/>
      <c r="AO22" s="37"/>
      <c r="AP22" s="37"/>
    </row>
    <row r="23" spans="1:42" s="4" customFormat="1" ht="12.75" customHeight="1">
      <c r="A23" s="26"/>
      <c r="B23" s="1547"/>
      <c r="C23" s="1547"/>
      <c r="D23" s="1547"/>
      <c r="E23" s="1547"/>
      <c r="F23" s="1547"/>
      <c r="G23" s="1547"/>
      <c r="H23" s="1547"/>
      <c r="I23" s="1547"/>
      <c r="J23" s="1547"/>
      <c r="K23" s="1547"/>
      <c r="L23" s="1547"/>
      <c r="M23" s="1547"/>
      <c r="N23" s="1547"/>
      <c r="O23" s="1547"/>
      <c r="P23" s="1547"/>
      <c r="Q23" s="1547"/>
      <c r="R23" s="1547"/>
      <c r="S23" s="1547"/>
      <c r="T23" s="1547"/>
      <c r="U23" s="1547"/>
      <c r="V23" s="1547"/>
      <c r="W23" s="1547"/>
      <c r="X23" s="1547"/>
      <c r="Y23" s="1547"/>
      <c r="Z23" s="1547"/>
      <c r="AA23" s="1547"/>
      <c r="AB23" s="1547"/>
      <c r="AC23" s="1547"/>
      <c r="AD23" s="1547"/>
      <c r="AE23" s="1547"/>
      <c r="AF23" s="1547"/>
      <c r="AG23" s="1547"/>
      <c r="AH23" s="1547"/>
      <c r="AI23" s="1547"/>
      <c r="AJ23" s="1547"/>
      <c r="AK23" s="1547"/>
      <c r="AL23" s="83"/>
      <c r="AM23" s="26"/>
      <c r="AN23" s="243"/>
    </row>
    <row r="24" spans="1:42" s="4" customFormat="1" ht="12.75" customHeight="1">
      <c r="A24" s="26"/>
      <c r="B24" s="1547"/>
      <c r="C24" s="1547"/>
      <c r="D24" s="1547"/>
      <c r="E24" s="1547"/>
      <c r="F24" s="1547"/>
      <c r="G24" s="1547"/>
      <c r="H24" s="1547"/>
      <c r="I24" s="1547"/>
      <c r="J24" s="1547"/>
      <c r="K24" s="1547"/>
      <c r="L24" s="1547"/>
      <c r="M24" s="1547"/>
      <c r="N24" s="1547"/>
      <c r="O24" s="1547"/>
      <c r="P24" s="1547"/>
      <c r="Q24" s="1547"/>
      <c r="R24" s="1547"/>
      <c r="S24" s="1547"/>
      <c r="T24" s="1547"/>
      <c r="U24" s="1547"/>
      <c r="V24" s="1547"/>
      <c r="W24" s="1547"/>
      <c r="X24" s="1547"/>
      <c r="Y24" s="1547"/>
      <c r="Z24" s="1547"/>
      <c r="AA24" s="1547"/>
      <c r="AB24" s="1547"/>
      <c r="AC24" s="1547"/>
      <c r="AD24" s="1547"/>
      <c r="AE24" s="1547"/>
      <c r="AF24" s="1547"/>
      <c r="AG24" s="1547"/>
      <c r="AH24" s="1547"/>
      <c r="AI24" s="1547"/>
      <c r="AJ24" s="1547"/>
      <c r="AK24" s="1547"/>
      <c r="AL24" s="83"/>
      <c r="AM24" s="26"/>
      <c r="AN24" s="571"/>
      <c r="AO24" s="75"/>
    </row>
    <row r="25" spans="1:42" s="4" customFormat="1" ht="12.75" customHeight="1">
      <c r="A25" s="26"/>
      <c r="B25" s="1547"/>
      <c r="C25" s="1547"/>
      <c r="D25" s="1547"/>
      <c r="E25" s="1547"/>
      <c r="F25" s="1547"/>
      <c r="G25" s="1547"/>
      <c r="H25" s="1547"/>
      <c r="I25" s="1547"/>
      <c r="J25" s="1547"/>
      <c r="K25" s="1547"/>
      <c r="L25" s="1547"/>
      <c r="M25" s="1547"/>
      <c r="N25" s="1547"/>
      <c r="O25" s="1547"/>
      <c r="P25" s="1547"/>
      <c r="Q25" s="1547"/>
      <c r="R25" s="1547"/>
      <c r="S25" s="1547"/>
      <c r="T25" s="1547"/>
      <c r="U25" s="1547"/>
      <c r="V25" s="1547"/>
      <c r="W25" s="1547"/>
      <c r="X25" s="1547"/>
      <c r="Y25" s="1547"/>
      <c r="Z25" s="1547"/>
      <c r="AA25" s="1547"/>
      <c r="AB25" s="1547"/>
      <c r="AC25" s="1547"/>
      <c r="AD25" s="1547"/>
      <c r="AE25" s="1547"/>
      <c r="AF25" s="1547"/>
      <c r="AG25" s="1547"/>
      <c r="AH25" s="1547"/>
      <c r="AI25" s="1547"/>
      <c r="AJ25" s="1547"/>
      <c r="AK25" s="1547"/>
      <c r="AL25" s="83"/>
      <c r="AM25" s="26"/>
      <c r="AN25" s="571"/>
    </row>
    <row r="26" spans="1:42" s="4" customFormat="1" ht="12.75" customHeight="1">
      <c r="A26" s="26"/>
      <c r="B26" s="1547"/>
      <c r="C26" s="1547"/>
      <c r="D26" s="1547"/>
      <c r="E26" s="1547"/>
      <c r="F26" s="1547"/>
      <c r="G26" s="1547"/>
      <c r="H26" s="1547"/>
      <c r="I26" s="1547"/>
      <c r="J26" s="1547"/>
      <c r="K26" s="1547"/>
      <c r="L26" s="1547"/>
      <c r="M26" s="1547"/>
      <c r="N26" s="1547"/>
      <c r="O26" s="1547"/>
      <c r="P26" s="1547"/>
      <c r="Q26" s="1547"/>
      <c r="R26" s="1547"/>
      <c r="S26" s="1547"/>
      <c r="T26" s="1547"/>
      <c r="U26" s="1547"/>
      <c r="V26" s="1547"/>
      <c r="W26" s="1547"/>
      <c r="X26" s="1547"/>
      <c r="Y26" s="1547"/>
      <c r="Z26" s="1547"/>
      <c r="AA26" s="1547"/>
      <c r="AB26" s="1547"/>
      <c r="AC26" s="1547"/>
      <c r="AD26" s="1547"/>
      <c r="AE26" s="1547"/>
      <c r="AF26" s="1547"/>
      <c r="AG26" s="1547"/>
      <c r="AH26" s="1547"/>
      <c r="AI26" s="1547"/>
      <c r="AJ26" s="1547"/>
      <c r="AK26" s="1547"/>
      <c r="AL26" s="83"/>
      <c r="AM26" s="26"/>
      <c r="AN26" s="243"/>
    </row>
    <row r="27" spans="1:42" s="4" customFormat="1" ht="12.75" customHeight="1">
      <c r="A27" s="26"/>
      <c r="B27" s="1547"/>
      <c r="C27" s="1547"/>
      <c r="D27" s="1547"/>
      <c r="E27" s="1547"/>
      <c r="F27" s="1547"/>
      <c r="G27" s="1547"/>
      <c r="H27" s="1547"/>
      <c r="I27" s="1547"/>
      <c r="J27" s="1547"/>
      <c r="K27" s="1547"/>
      <c r="L27" s="1547"/>
      <c r="M27" s="1547"/>
      <c r="N27" s="1547"/>
      <c r="O27" s="1547"/>
      <c r="P27" s="1547"/>
      <c r="Q27" s="1547"/>
      <c r="R27" s="1547"/>
      <c r="S27" s="1547"/>
      <c r="T27" s="1547"/>
      <c r="U27" s="1547"/>
      <c r="V27" s="1547"/>
      <c r="W27" s="1547"/>
      <c r="X27" s="1547"/>
      <c r="Y27" s="1547"/>
      <c r="Z27" s="1547"/>
      <c r="AA27" s="1547"/>
      <c r="AB27" s="1547"/>
      <c r="AC27" s="1547"/>
      <c r="AD27" s="1547"/>
      <c r="AE27" s="1547"/>
      <c r="AF27" s="1547"/>
      <c r="AG27" s="1547"/>
      <c r="AH27" s="1547"/>
      <c r="AI27" s="1547"/>
      <c r="AJ27" s="1547"/>
      <c r="AK27" s="1547"/>
      <c r="AL27" s="83"/>
      <c r="AM27" s="26"/>
      <c r="AN27" s="519"/>
    </row>
    <row r="28" spans="1:42" s="4" customFormat="1" ht="12.75" customHeight="1">
      <c r="A28" s="26"/>
      <c r="B28" s="1547"/>
      <c r="C28" s="1547"/>
      <c r="D28" s="1547"/>
      <c r="E28" s="1547"/>
      <c r="F28" s="1547"/>
      <c r="G28" s="1547"/>
      <c r="H28" s="1547"/>
      <c r="I28" s="1547"/>
      <c r="J28" s="1547"/>
      <c r="K28" s="1547"/>
      <c r="L28" s="1547"/>
      <c r="M28" s="1547"/>
      <c r="N28" s="1547"/>
      <c r="O28" s="1547"/>
      <c r="P28" s="1547"/>
      <c r="Q28" s="1547"/>
      <c r="R28" s="1547"/>
      <c r="S28" s="1547"/>
      <c r="T28" s="1547"/>
      <c r="U28" s="1547"/>
      <c r="V28" s="1547"/>
      <c r="W28" s="1547"/>
      <c r="X28" s="1547"/>
      <c r="Y28" s="1547"/>
      <c r="Z28" s="1547"/>
      <c r="AA28" s="1547"/>
      <c r="AB28" s="1547"/>
      <c r="AC28" s="1547"/>
      <c r="AD28" s="1547"/>
      <c r="AE28" s="1547"/>
      <c r="AF28" s="1547"/>
      <c r="AG28" s="1547"/>
      <c r="AH28" s="1547"/>
      <c r="AI28" s="1547"/>
      <c r="AJ28" s="1547"/>
      <c r="AK28" s="1547"/>
      <c r="AL28" s="83"/>
      <c r="AM28" s="26"/>
      <c r="AN28" s="519"/>
    </row>
    <row r="29" spans="1:42" s="4" customFormat="1" ht="31.65" customHeight="1">
      <c r="A29" s="26"/>
      <c r="B29" s="1547"/>
      <c r="C29" s="1547"/>
      <c r="D29" s="1547"/>
      <c r="E29" s="1547"/>
      <c r="F29" s="1547"/>
      <c r="G29" s="1547"/>
      <c r="H29" s="1547"/>
      <c r="I29" s="1547"/>
      <c r="J29" s="1547"/>
      <c r="K29" s="1547"/>
      <c r="L29" s="1547"/>
      <c r="M29" s="1547"/>
      <c r="N29" s="1547"/>
      <c r="O29" s="1547"/>
      <c r="P29" s="1547"/>
      <c r="Q29" s="1547"/>
      <c r="R29" s="1547"/>
      <c r="S29" s="1547"/>
      <c r="T29" s="1547"/>
      <c r="U29" s="1547"/>
      <c r="V29" s="1547"/>
      <c r="W29" s="1547"/>
      <c r="X29" s="1547"/>
      <c r="Y29" s="1547"/>
      <c r="Z29" s="1547"/>
      <c r="AA29" s="1547"/>
      <c r="AB29" s="1547"/>
      <c r="AC29" s="1547"/>
      <c r="AD29" s="1547"/>
      <c r="AE29" s="1547"/>
      <c r="AF29" s="1547"/>
      <c r="AG29" s="1547"/>
      <c r="AH29" s="1547"/>
      <c r="AI29" s="1547"/>
      <c r="AJ29" s="1547"/>
      <c r="AK29" s="1547"/>
      <c r="AL29" s="83"/>
      <c r="AM29" s="26"/>
      <c r="AN29" s="519"/>
    </row>
    <row r="30" spans="1:42" s="4" customFormat="1" ht="12.75" customHeight="1">
      <c r="A30" s="37"/>
      <c r="B30" s="1615"/>
      <c r="C30" s="1615"/>
      <c r="D30" s="1615"/>
      <c r="E30" s="1615"/>
      <c r="F30" s="1615"/>
      <c r="G30" s="1615"/>
      <c r="H30" s="1615"/>
      <c r="I30" s="1615"/>
      <c r="J30" s="1615"/>
      <c r="K30" s="1615"/>
      <c r="L30" s="1615"/>
      <c r="M30" s="1615"/>
      <c r="N30" s="1615"/>
      <c r="O30" s="1615"/>
      <c r="P30" s="1615"/>
      <c r="Q30" s="1615"/>
      <c r="R30" s="1615"/>
      <c r="S30" s="1615"/>
      <c r="T30" s="1615"/>
      <c r="U30" s="1615"/>
      <c r="V30" s="1615"/>
      <c r="W30" s="1615"/>
      <c r="X30" s="1615"/>
      <c r="Y30" s="1615"/>
      <c r="Z30" s="1615"/>
      <c r="AA30" s="1615"/>
      <c r="AB30" s="1615"/>
      <c r="AC30" s="1615"/>
      <c r="AD30" s="1615"/>
      <c r="AE30" s="1615"/>
      <c r="AF30" s="1615"/>
      <c r="AG30" s="1615"/>
      <c r="AH30" s="1615"/>
      <c r="AI30" s="1615"/>
      <c r="AJ30" s="1615"/>
      <c r="AK30" s="1615"/>
      <c r="AL30" s="401"/>
      <c r="AM30" s="37"/>
      <c r="AN30" s="519"/>
    </row>
    <row r="31" spans="1:42" s="4" customFormat="1" ht="12.75" customHeight="1">
      <c r="A31" s="180"/>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53" t="s">
        <v>1824</v>
      </c>
      <c r="AJ31" s="118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5"/>
      <c r="AL31" s="401"/>
      <c r="AM31" s="37"/>
      <c r="AN31" s="519"/>
    </row>
    <row r="32" spans="1:42" s="4" customFormat="1" ht="12.75" customHeight="1">
      <c r="A32" s="401"/>
      <c r="B32" s="401"/>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9"/>
    </row>
    <row r="33" spans="1:42" s="4" customFormat="1" ht="12.75" customHeight="1">
      <c r="A33" s="37"/>
      <c r="B33" s="56" t="s">
        <v>1825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93" t="s">
        <v>1826</v>
      </c>
      <c r="AG33" s="1593"/>
      <c r="AH33" s="1593"/>
      <c r="AI33" s="1593"/>
      <c r="AJ33" s="1593"/>
      <c r="AK33" s="1593"/>
      <c r="AL33" s="1593"/>
      <c r="AM33" s="26"/>
      <c r="AN33" s="519"/>
      <c r="AO33" s="295" t="s">
        <v>320</v>
      </c>
      <c r="AP33" s="295"/>
    </row>
    <row r="34" spans="1:42" s="4" customFormat="1" ht="12.75" customHeight="1">
      <c r="A34" s="37"/>
      <c r="B34" s="56" t="s">
        <v>1827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9"/>
      <c r="AO34" s="295" t="s">
        <v>1828</v>
      </c>
      <c r="AP34" s="383">
        <v>2</v>
      </c>
    </row>
    <row r="35" spans="1:42" s="4" customFormat="1" ht="12.75" customHeight="1">
      <c r="A35" s="37"/>
      <c r="B35" s="1692" t="str">
        <f>Application!AA329</f>
        <v>AWI Management Corporation</v>
      </c>
      <c r="C35" s="1692"/>
      <c r="D35" s="1692"/>
      <c r="E35" s="1692"/>
      <c r="F35" s="1692"/>
      <c r="G35" s="1692"/>
      <c r="H35" s="1692"/>
      <c r="I35" s="1692"/>
      <c r="J35" s="1692"/>
      <c r="K35" s="1692"/>
      <c r="L35" s="1692"/>
      <c r="M35" s="1692"/>
      <c r="N35" s="1692"/>
      <c r="O35" s="1692"/>
      <c r="P35" s="1692"/>
      <c r="Q35" s="1692"/>
      <c r="R35" s="1692"/>
      <c r="S35" s="1692"/>
      <c r="T35" s="1692"/>
      <c r="U35" s="1692"/>
      <c r="V35" s="1692"/>
      <c r="W35" s="1692"/>
      <c r="X35" s="1692"/>
      <c r="Y35" s="1692"/>
      <c r="Z35" s="1692"/>
      <c r="AA35" s="1692"/>
      <c r="AB35" s="1692"/>
      <c r="AC35" s="1692"/>
      <c r="AM35" s="26"/>
      <c r="AN35" s="243"/>
      <c r="AO35" s="295" t="s">
        <v>1829</v>
      </c>
      <c r="AP35" s="383">
        <v>3</v>
      </c>
    </row>
    <row r="36" spans="1:42" s="4" customFormat="1" ht="12.75" customHeight="1">
      <c r="A36" s="37"/>
      <c r="AM36" s="26"/>
      <c r="AN36" s="243"/>
    </row>
    <row r="37" spans="1:42" s="4" customFormat="1" ht="12.75" customHeight="1">
      <c r="A37" s="37"/>
      <c r="B37" s="20" t="s">
        <v>1813</v>
      </c>
      <c r="AA37" s="3"/>
      <c r="AB37" s="3"/>
      <c r="AC37" s="3"/>
      <c r="AD37" s="3"/>
      <c r="AM37" s="26"/>
      <c r="AN37" s="243"/>
    </row>
    <row r="38" spans="1:42" s="4" customFormat="1" ht="12.75" customHeight="1">
      <c r="A38" s="37"/>
      <c r="B38" s="1394" t="s">
        <v>1829</v>
      </c>
      <c r="C38" s="1394"/>
      <c r="D38" s="1394"/>
      <c r="E38" s="1394"/>
      <c r="F38" s="1394"/>
      <c r="G38" s="1394"/>
      <c r="H38" s="1394"/>
      <c r="I38" s="1394"/>
      <c r="J38" s="1394"/>
      <c r="K38" s="1394"/>
      <c r="L38" s="1394"/>
      <c r="M38" s="1394"/>
      <c r="N38" s="1394"/>
      <c r="O38" s="1394"/>
      <c r="P38" s="1394"/>
      <c r="Q38" s="1394"/>
      <c r="R38" s="1394"/>
      <c r="S38" s="1394"/>
      <c r="T38" s="1394"/>
      <c r="U38" s="1394"/>
      <c r="V38" s="1394"/>
      <c r="W38" s="1394"/>
      <c r="X38" s="1394"/>
      <c r="Y38" s="1394"/>
      <c r="Z38" s="1394"/>
      <c r="AA38" s="1394"/>
      <c r="AB38" s="1394"/>
      <c r="AC38" s="1394"/>
      <c r="AM38" s="26"/>
      <c r="AN38" s="243"/>
      <c r="AO38" s="295" t="s">
        <v>1817</v>
      </c>
      <c r="AP38" s="295"/>
    </row>
    <row r="39" spans="1:42" s="4" customFormat="1" ht="12.75" customHeight="1">
      <c r="A39" s="37"/>
      <c r="AM39" s="26"/>
      <c r="AN39" s="243"/>
      <c r="AO39" s="295" t="s">
        <v>1830</v>
      </c>
      <c r="AP39" s="383">
        <v>2</v>
      </c>
    </row>
    <row r="40" spans="1:42" s="4" customFormat="1" ht="12.75" customHeight="1">
      <c r="A40" s="37"/>
      <c r="B40" s="20" t="s">
        <v>1831</v>
      </c>
      <c r="D40" s="37"/>
      <c r="E40" s="37"/>
      <c r="F40" s="37"/>
      <c r="G40" s="37"/>
      <c r="H40" s="37"/>
      <c r="I40" s="37"/>
      <c r="J40" s="37"/>
      <c r="K40" s="37"/>
      <c r="L40" s="37"/>
      <c r="M40" s="37"/>
      <c r="N40" s="37"/>
      <c r="O40" s="37"/>
      <c r="P40" s="37"/>
      <c r="Q40" s="37"/>
      <c r="R40" s="37"/>
      <c r="S40" s="37"/>
      <c r="T40" s="37"/>
      <c r="U40" s="37"/>
      <c r="V40" s="37"/>
      <c r="W40" s="37"/>
      <c r="X40" s="37"/>
      <c r="Y40" s="37"/>
      <c r="Z40" s="1394" t="s">
        <v>325</v>
      </c>
      <c r="AA40" s="1394"/>
      <c r="AB40" s="37"/>
      <c r="AM40" s="26"/>
      <c r="AN40" s="243"/>
      <c r="AO40" s="295" t="s">
        <v>1832</v>
      </c>
      <c r="AP40" s="383">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1818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394" t="s">
        <v>1817</v>
      </c>
      <c r="C43" s="1394"/>
      <c r="D43" s="1394"/>
      <c r="E43" s="1394"/>
      <c r="F43" s="1394"/>
      <c r="G43" s="1394"/>
      <c r="H43" s="1394"/>
      <c r="I43" s="1394"/>
      <c r="J43" s="1394"/>
      <c r="K43" s="1394"/>
      <c r="L43" s="1394"/>
      <c r="M43" s="1394"/>
      <c r="N43" s="1394"/>
      <c r="O43" s="1394"/>
      <c r="P43" s="1394"/>
      <c r="Q43" s="1394"/>
      <c r="R43" s="1394"/>
      <c r="S43" s="1394"/>
      <c r="T43" s="1394"/>
      <c r="U43" s="1394"/>
      <c r="V43" s="1394"/>
      <c r="W43" s="1394"/>
      <c r="X43" s="1394"/>
      <c r="Y43" s="1394"/>
      <c r="Z43" s="1394"/>
      <c r="AA43" s="1394"/>
      <c r="AB43" s="1394"/>
      <c r="AC43" s="1394"/>
      <c r="AM43" s="26"/>
      <c r="AN43" s="243"/>
    </row>
    <row r="44" spans="1:42" s="4" customFormat="1" ht="12.75" customHeight="1">
      <c r="A44" s="37"/>
      <c r="B44" s="20" t="s">
        <v>1833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1834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5"/>
      <c r="R47" s="904"/>
      <c r="S47" s="77"/>
      <c r="T47" s="77"/>
      <c r="U47" s="77"/>
      <c r="V47" s="77"/>
      <c r="W47" s="77"/>
      <c r="X47" s="77"/>
      <c r="Y47" s="77"/>
      <c r="Z47" s="77"/>
      <c r="AA47" s="77"/>
      <c r="AB47" s="77"/>
      <c r="AC47" s="77"/>
      <c r="AD47" s="77"/>
      <c r="AE47" s="77"/>
      <c r="AF47" s="77"/>
      <c r="AG47" s="77"/>
      <c r="AH47" s="77"/>
      <c r="AI47" s="53" t="s">
        <v>1835</v>
      </c>
      <c r="AJ47" s="16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21"/>
      <c r="AL47" s="807"/>
      <c r="AM47" s="74"/>
      <c r="AN47" s="243"/>
    </row>
    <row r="48" spans="1:42" s="4" customFormat="1" ht="12.75" customHeight="1">
      <c r="A48" s="37"/>
      <c r="B48" s="806"/>
      <c r="R48" s="37"/>
      <c r="S48" s="806"/>
      <c r="AN48" s="243"/>
    </row>
    <row r="49" spans="1:46" s="4" customFormat="1" ht="12.75" customHeight="1">
      <c r="B49" s="1547" t="s">
        <v>1836</v>
      </c>
      <c r="C49" s="1547"/>
      <c r="D49" s="1547"/>
      <c r="E49" s="1547"/>
      <c r="F49" s="1547"/>
      <c r="G49" s="1547"/>
      <c r="H49" s="1547"/>
      <c r="I49" s="1547"/>
      <c r="J49" s="1547"/>
      <c r="K49" s="1547"/>
      <c r="L49" s="1547"/>
      <c r="M49" s="1547"/>
      <c r="N49" s="1547"/>
      <c r="O49" s="1547"/>
      <c r="P49" s="1547"/>
      <c r="Q49" s="1547"/>
      <c r="R49" s="1547"/>
      <c r="S49" s="1547"/>
      <c r="T49" s="1547"/>
      <c r="U49" s="1547"/>
      <c r="V49" s="1547"/>
      <c r="W49" s="1547"/>
      <c r="X49" s="1547"/>
      <c r="Y49" s="1547"/>
      <c r="Z49" s="1547"/>
      <c r="AA49" s="1547"/>
      <c r="AB49" s="1547"/>
      <c r="AC49" s="1547"/>
      <c r="AD49" s="1547"/>
      <c r="AE49" s="1547"/>
      <c r="AF49" s="1547"/>
      <c r="AG49" s="1547"/>
      <c r="AH49" s="1547"/>
      <c r="AI49" s="1547"/>
      <c r="AJ49" s="1547"/>
      <c r="AK49" s="1547"/>
      <c r="AL49" s="83"/>
      <c r="AM49" s="26"/>
      <c r="AN49" s="243"/>
    </row>
    <row r="50" spans="1:46" s="4" customFormat="1" ht="12.75" customHeight="1">
      <c r="A50" s="25"/>
      <c r="B50" s="1547"/>
      <c r="C50" s="1547"/>
      <c r="D50" s="1547"/>
      <c r="E50" s="1547"/>
      <c r="F50" s="1547"/>
      <c r="G50" s="1547"/>
      <c r="H50" s="1547"/>
      <c r="I50" s="1547"/>
      <c r="J50" s="1547"/>
      <c r="K50" s="1547"/>
      <c r="L50" s="1547"/>
      <c r="M50" s="1547"/>
      <c r="N50" s="1547"/>
      <c r="O50" s="1547"/>
      <c r="P50" s="1547"/>
      <c r="Q50" s="1547"/>
      <c r="R50" s="1547"/>
      <c r="S50" s="1547"/>
      <c r="T50" s="1547"/>
      <c r="U50" s="1547"/>
      <c r="V50" s="1547"/>
      <c r="W50" s="1547"/>
      <c r="X50" s="1547"/>
      <c r="Y50" s="1547"/>
      <c r="Z50" s="1547"/>
      <c r="AA50" s="1547"/>
      <c r="AB50" s="1547"/>
      <c r="AC50" s="1547"/>
      <c r="AD50" s="1547"/>
      <c r="AE50" s="1547"/>
      <c r="AF50" s="1547"/>
      <c r="AG50" s="1547"/>
      <c r="AH50" s="1547"/>
      <c r="AI50" s="1547"/>
      <c r="AJ50" s="1547"/>
      <c r="AK50" s="1547"/>
      <c r="AL50" s="83"/>
      <c r="AM50" s="26"/>
      <c r="AN50" s="243"/>
    </row>
    <row r="51" spans="1:46" s="4" customFormat="1" ht="12.75" customHeight="1">
      <c r="A51" s="25"/>
      <c r="B51" s="1547"/>
      <c r="C51" s="1547"/>
      <c r="D51" s="1547"/>
      <c r="E51" s="1547"/>
      <c r="F51" s="1547"/>
      <c r="G51" s="1547"/>
      <c r="H51" s="1547"/>
      <c r="I51" s="1547"/>
      <c r="J51" s="1547"/>
      <c r="K51" s="1547"/>
      <c r="L51" s="1547"/>
      <c r="M51" s="1547"/>
      <c r="N51" s="1547"/>
      <c r="O51" s="1547"/>
      <c r="P51" s="1547"/>
      <c r="Q51" s="1547"/>
      <c r="R51" s="1547"/>
      <c r="S51" s="1547"/>
      <c r="T51" s="1547"/>
      <c r="U51" s="1547"/>
      <c r="V51" s="1547"/>
      <c r="W51" s="1547"/>
      <c r="X51" s="1547"/>
      <c r="Y51" s="1547"/>
      <c r="Z51" s="1547"/>
      <c r="AA51" s="1547"/>
      <c r="AB51" s="1547"/>
      <c r="AC51" s="1547"/>
      <c r="AD51" s="1547"/>
      <c r="AE51" s="1547"/>
      <c r="AF51" s="1547"/>
      <c r="AG51" s="1547"/>
      <c r="AH51" s="1547"/>
      <c r="AI51" s="1547"/>
      <c r="AJ51" s="1547"/>
      <c r="AK51" s="1547"/>
      <c r="AL51" s="83"/>
      <c r="AM51" s="26"/>
      <c r="AN51" s="243"/>
    </row>
    <row r="52" spans="1:46" s="4" customFormat="1" ht="12.75" customHeight="1">
      <c r="A52" s="25"/>
      <c r="B52" s="1547"/>
      <c r="C52" s="1547"/>
      <c r="D52" s="1547"/>
      <c r="E52" s="1547"/>
      <c r="F52" s="1547"/>
      <c r="G52" s="1547"/>
      <c r="H52" s="1547"/>
      <c r="I52" s="1547"/>
      <c r="J52" s="1547"/>
      <c r="K52" s="1547"/>
      <c r="L52" s="1547"/>
      <c r="M52" s="1547"/>
      <c r="N52" s="1547"/>
      <c r="O52" s="1547"/>
      <c r="P52" s="1547"/>
      <c r="Q52" s="1547"/>
      <c r="R52" s="1547"/>
      <c r="S52" s="1547"/>
      <c r="T52" s="1547"/>
      <c r="U52" s="1547"/>
      <c r="V52" s="1547"/>
      <c r="W52" s="1547"/>
      <c r="X52" s="1547"/>
      <c r="Y52" s="1547"/>
      <c r="Z52" s="1547"/>
      <c r="AA52" s="1547"/>
      <c r="AB52" s="1547"/>
      <c r="AC52" s="1547"/>
      <c r="AD52" s="1547"/>
      <c r="AE52" s="1547"/>
      <c r="AF52" s="1547"/>
      <c r="AG52" s="1547"/>
      <c r="AH52" s="1547"/>
      <c r="AI52" s="1547"/>
      <c r="AJ52" s="1547"/>
      <c r="AK52" s="1547"/>
      <c r="AL52" s="83"/>
      <c r="AM52" s="26"/>
      <c r="AN52" s="243"/>
    </row>
    <row r="53" spans="1:46" s="4" customFormat="1" ht="12.75" customHeight="1">
      <c r="A53" s="25"/>
      <c r="B53" s="1547"/>
      <c r="C53" s="1547"/>
      <c r="D53" s="1547"/>
      <c r="E53" s="1547"/>
      <c r="F53" s="1547"/>
      <c r="G53" s="1547"/>
      <c r="H53" s="1547"/>
      <c r="I53" s="1547"/>
      <c r="J53" s="1547"/>
      <c r="K53" s="1547"/>
      <c r="L53" s="1547"/>
      <c r="M53" s="1547"/>
      <c r="N53" s="1547"/>
      <c r="O53" s="1547"/>
      <c r="P53" s="1547"/>
      <c r="Q53" s="1547"/>
      <c r="R53" s="1547"/>
      <c r="S53" s="1547"/>
      <c r="T53" s="1547"/>
      <c r="U53" s="1547"/>
      <c r="V53" s="1547"/>
      <c r="W53" s="1547"/>
      <c r="X53" s="1547"/>
      <c r="Y53" s="1547"/>
      <c r="Z53" s="1547"/>
      <c r="AA53" s="1547"/>
      <c r="AB53" s="1547"/>
      <c r="AC53" s="1547"/>
      <c r="AD53" s="1547"/>
      <c r="AE53" s="1547"/>
      <c r="AF53" s="1547"/>
      <c r="AG53" s="1547"/>
      <c r="AH53" s="1547"/>
      <c r="AI53" s="1547"/>
      <c r="AJ53" s="1547"/>
      <c r="AK53" s="1547"/>
      <c r="AL53" s="83"/>
      <c r="AM53" s="26"/>
      <c r="AN53" s="243"/>
    </row>
    <row r="54" spans="1:46" s="4" customFormat="1" ht="12.75" customHeight="1">
      <c r="A54" s="25"/>
      <c r="B54" s="1547"/>
      <c r="C54" s="1547"/>
      <c r="D54" s="1547"/>
      <c r="E54" s="1547"/>
      <c r="F54" s="1547"/>
      <c r="G54" s="1547"/>
      <c r="H54" s="1547"/>
      <c r="I54" s="1547"/>
      <c r="J54" s="1547"/>
      <c r="K54" s="1547"/>
      <c r="L54" s="1547"/>
      <c r="M54" s="1547"/>
      <c r="N54" s="1547"/>
      <c r="O54" s="1547"/>
      <c r="P54" s="1547"/>
      <c r="Q54" s="1547"/>
      <c r="R54" s="1547"/>
      <c r="S54" s="1547"/>
      <c r="T54" s="1547"/>
      <c r="U54" s="1547"/>
      <c r="V54" s="1547"/>
      <c r="W54" s="1547"/>
      <c r="X54" s="1547"/>
      <c r="Y54" s="1547"/>
      <c r="Z54" s="1547"/>
      <c r="AA54" s="1547"/>
      <c r="AB54" s="1547"/>
      <c r="AC54" s="1547"/>
      <c r="AD54" s="1547"/>
      <c r="AE54" s="1547"/>
      <c r="AF54" s="1547"/>
      <c r="AG54" s="1547"/>
      <c r="AH54" s="1547"/>
      <c r="AI54" s="1547"/>
      <c r="AJ54" s="1547"/>
      <c r="AK54" s="1547"/>
      <c r="AL54" s="83"/>
      <c r="AM54" s="26"/>
      <c r="AN54" s="243"/>
    </row>
    <row r="55" spans="1:46" s="4" customFormat="1" ht="33.6" customHeight="1">
      <c r="A55" s="25"/>
      <c r="B55" s="1547"/>
      <c r="C55" s="1547"/>
      <c r="D55" s="1547"/>
      <c r="E55" s="1547"/>
      <c r="F55" s="1547"/>
      <c r="G55" s="1547"/>
      <c r="H55" s="1547"/>
      <c r="I55" s="1547"/>
      <c r="J55" s="1547"/>
      <c r="K55" s="1547"/>
      <c r="L55" s="1547"/>
      <c r="M55" s="1547"/>
      <c r="N55" s="1547"/>
      <c r="O55" s="1547"/>
      <c r="P55" s="1547"/>
      <c r="Q55" s="1547"/>
      <c r="R55" s="1547"/>
      <c r="S55" s="1547"/>
      <c r="T55" s="1547"/>
      <c r="U55" s="1547"/>
      <c r="V55" s="1547"/>
      <c r="W55" s="1547"/>
      <c r="X55" s="1547"/>
      <c r="Y55" s="1547"/>
      <c r="Z55" s="1547"/>
      <c r="AA55" s="1547"/>
      <c r="AB55" s="1547"/>
      <c r="AC55" s="1547"/>
      <c r="AD55" s="1547"/>
      <c r="AE55" s="1547"/>
      <c r="AF55" s="1547"/>
      <c r="AG55" s="1547"/>
      <c r="AH55" s="1547"/>
      <c r="AI55" s="1547"/>
      <c r="AJ55" s="1547"/>
      <c r="AK55" s="1547"/>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46"/>
      <c r="B57" s="1547" t="s">
        <v>1837</v>
      </c>
      <c r="C57" s="1547"/>
      <c r="D57" s="1547"/>
      <c r="E57" s="1547"/>
      <c r="F57" s="1547"/>
      <c r="G57" s="1547"/>
      <c r="H57" s="1547"/>
      <c r="I57" s="1547"/>
      <c r="J57" s="1547"/>
      <c r="K57" s="1547"/>
      <c r="L57" s="1547"/>
      <c r="M57" s="1547"/>
      <c r="N57" s="1547"/>
      <c r="O57" s="1547"/>
      <c r="P57" s="1547"/>
      <c r="Q57" s="1547"/>
      <c r="R57" s="1547"/>
      <c r="S57" s="1547"/>
      <c r="T57" s="1547"/>
      <c r="U57" s="1547"/>
      <c r="V57" s="1547"/>
      <c r="W57" s="1547"/>
      <c r="X57" s="1547"/>
      <c r="Y57" s="1547"/>
      <c r="Z57" s="1547"/>
      <c r="AA57" s="1547"/>
      <c r="AB57" s="1547"/>
      <c r="AC57" s="1547"/>
      <c r="AD57" s="1547"/>
      <c r="AE57" s="1547"/>
      <c r="AF57" s="1547"/>
      <c r="AG57" s="1547"/>
      <c r="AH57" s="1547"/>
      <c r="AI57" s="1547"/>
      <c r="AJ57" s="1547"/>
      <c r="AK57" s="1547"/>
      <c r="AL57" s="83"/>
      <c r="AM57" s="26"/>
      <c r="AN57" s="243"/>
    </row>
    <row r="58" spans="1:46" s="4" customFormat="1" ht="12.75" customHeight="1">
      <c r="B58" s="1547"/>
      <c r="C58" s="1547"/>
      <c r="D58" s="1547"/>
      <c r="E58" s="1547"/>
      <c r="F58" s="1547"/>
      <c r="G58" s="1547"/>
      <c r="H58" s="1547"/>
      <c r="I58" s="1547"/>
      <c r="J58" s="1547"/>
      <c r="K58" s="1547"/>
      <c r="L58" s="1547"/>
      <c r="M58" s="1547"/>
      <c r="N58" s="1547"/>
      <c r="O58" s="1547"/>
      <c r="P58" s="1547"/>
      <c r="Q58" s="1547"/>
      <c r="R58" s="1547"/>
      <c r="S58" s="1547"/>
      <c r="T58" s="1547"/>
      <c r="U58" s="1547"/>
      <c r="V58" s="1547"/>
      <c r="W58" s="1547"/>
      <c r="X58" s="1547"/>
      <c r="Y58" s="1547"/>
      <c r="Z58" s="1547"/>
      <c r="AA58" s="1547"/>
      <c r="AB58" s="1547"/>
      <c r="AC58" s="1547"/>
      <c r="AD58" s="1547"/>
      <c r="AE58" s="1547"/>
      <c r="AF58" s="1547"/>
      <c r="AG58" s="1547"/>
      <c r="AH58" s="1547"/>
      <c r="AI58" s="1547"/>
      <c r="AJ58" s="1547"/>
      <c r="AK58" s="1547"/>
      <c r="AL58" s="83"/>
      <c r="AM58" s="26"/>
      <c r="AN58" s="243"/>
    </row>
    <row r="59" spans="1:46" s="4" customFormat="1" ht="23.1" customHeight="1">
      <c r="A59" s="346"/>
      <c r="B59" s="1547"/>
      <c r="C59" s="1547"/>
      <c r="D59" s="1547"/>
      <c r="E59" s="1547"/>
      <c r="F59" s="1547"/>
      <c r="G59" s="1547"/>
      <c r="H59" s="1547"/>
      <c r="I59" s="1547"/>
      <c r="J59" s="1547"/>
      <c r="K59" s="1547"/>
      <c r="L59" s="1547"/>
      <c r="M59" s="1547"/>
      <c r="N59" s="1547"/>
      <c r="O59" s="1547"/>
      <c r="P59" s="1547"/>
      <c r="Q59" s="1547"/>
      <c r="R59" s="1547"/>
      <c r="S59" s="1547"/>
      <c r="T59" s="1547"/>
      <c r="U59" s="1547"/>
      <c r="V59" s="1547"/>
      <c r="W59" s="1547"/>
      <c r="X59" s="1547"/>
      <c r="Y59" s="1547"/>
      <c r="Z59" s="1547"/>
      <c r="AA59" s="1547"/>
      <c r="AB59" s="1547"/>
      <c r="AC59" s="1547"/>
      <c r="AD59" s="1547"/>
      <c r="AE59" s="1547"/>
      <c r="AF59" s="1547"/>
      <c r="AG59" s="1547"/>
      <c r="AH59" s="1547"/>
      <c r="AI59" s="1547"/>
      <c r="AJ59" s="1547"/>
      <c r="AK59" s="1547"/>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1838</v>
      </c>
      <c r="AK61" s="1241">
        <f>$AJ$31+$AJ$47</f>
        <v>10</v>
      </c>
      <c r="AL61" s="1242"/>
      <c r="AM61" s="1243"/>
      <c r="AN61" s="243"/>
    </row>
    <row r="62" spans="1:46" s="81" customFormat="1" ht="12.75" customHeight="1" thickBot="1">
      <c r="A62" s="863"/>
      <c r="B62" s="905"/>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1839</v>
      </c>
      <c r="B64" s="266"/>
      <c r="C64" s="84"/>
      <c r="D64" s="85"/>
      <c r="E64" s="85"/>
      <c r="F64" s="85"/>
      <c r="G64" s="85"/>
      <c r="H64" s="85"/>
      <c r="I64" s="85"/>
      <c r="J64" s="85"/>
      <c r="Y64" s="86"/>
      <c r="Z64" s="86"/>
      <c r="AA64" s="86"/>
      <c r="AB64" s="86"/>
      <c r="AE64" s="1585" t="s">
        <v>1810</v>
      </c>
      <c r="AF64" s="1585"/>
      <c r="AG64" s="1585"/>
      <c r="AH64" s="1585"/>
      <c r="AI64" s="1585"/>
      <c r="AJ64" s="1585"/>
      <c r="AK64" s="1585"/>
      <c r="AL64" s="18"/>
      <c r="AN64" s="243"/>
      <c r="AS64" s="4" t="s">
        <v>1840</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851</v>
      </c>
      <c r="AT65" s="4">
        <v>10</v>
      </c>
    </row>
    <row r="66" spans="1:46" s="4" customFormat="1" ht="12.75" customHeight="1">
      <c r="B66" s="1394" t="s">
        <v>1216</v>
      </c>
      <c r="C66" s="1394"/>
      <c r="D66" s="1394"/>
      <c r="E66" s="1394"/>
      <c r="F66" s="1394"/>
      <c r="G66" s="1394"/>
      <c r="H66" s="1394"/>
      <c r="I66" s="1394"/>
      <c r="J66" s="1394"/>
      <c r="K66" s="1394"/>
      <c r="AF66" s="1593" t="s">
        <v>1841</v>
      </c>
      <c r="AG66" s="1593"/>
      <c r="AH66" s="1593"/>
      <c r="AI66" s="1593"/>
      <c r="AJ66" s="1593"/>
      <c r="AK66" s="1593"/>
      <c r="AL66" s="1593"/>
      <c r="AN66" s="243"/>
      <c r="AP66" s="4" t="s">
        <v>325</v>
      </c>
      <c r="AS66" s="4" t="s">
        <v>1216</v>
      </c>
      <c r="AT66" s="4">
        <v>10</v>
      </c>
    </row>
    <row r="67" spans="1:46" s="4" customFormat="1" ht="12.75" customHeight="1">
      <c r="B67" s="1691" t="s">
        <v>1842</v>
      </c>
      <c r="C67" s="1691"/>
      <c r="D67" s="1691"/>
      <c r="E67" s="1691"/>
      <c r="F67" s="1691"/>
      <c r="G67" s="1691"/>
      <c r="H67" s="1691"/>
      <c r="I67" s="1691"/>
      <c r="J67" s="1691"/>
      <c r="K67" s="1691"/>
      <c r="L67" s="1691"/>
      <c r="M67" s="1691"/>
      <c r="N67" s="1691"/>
      <c r="O67" s="1691"/>
      <c r="P67" s="1691"/>
      <c r="Q67" s="1691"/>
      <c r="R67" s="1691"/>
      <c r="S67" s="1691"/>
      <c r="T67" s="1394" t="s">
        <v>325</v>
      </c>
      <c r="U67" s="1394"/>
      <c r="V67" s="1394"/>
      <c r="W67" s="1394"/>
      <c r="X67" s="1394"/>
      <c r="Y67" s="1394"/>
      <c r="Z67" s="1394"/>
      <c r="AA67" s="1394"/>
      <c r="AB67" s="1394"/>
      <c r="AC67" s="1394"/>
      <c r="AJ67" s="55"/>
      <c r="AK67" s="401"/>
      <c r="AL67" s="401"/>
      <c r="AM67" s="401"/>
      <c r="AN67" s="243"/>
      <c r="AP67" s="4" t="s">
        <v>1843</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1844</v>
      </c>
      <c r="AK68" s="1018">
        <f>VLOOKUP($B$66,$AS$64:$AU$69,2,FALSE)</f>
        <v>10</v>
      </c>
      <c r="AL68" s="1019"/>
      <c r="AM68" s="1019"/>
      <c r="AN68" s="902"/>
      <c r="AP68" s="4" t="s">
        <v>1845</v>
      </c>
      <c r="AS68" s="4" t="s">
        <v>865</v>
      </c>
      <c r="AT68" s="4">
        <v>10</v>
      </c>
    </row>
    <row r="69" spans="1:46" s="4" customFormat="1" ht="12.75" customHeight="1" thickBot="1">
      <c r="A69" s="906"/>
      <c r="B69" s="906"/>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860</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1846</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1847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85" t="s">
        <v>1848</v>
      </c>
      <c r="AF73" s="1585"/>
      <c r="AG73" s="1585"/>
      <c r="AH73" s="1585"/>
      <c r="AI73" s="1585"/>
      <c r="AJ73" s="1585"/>
      <c r="AK73" s="1585"/>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47" t="s">
        <v>1849</v>
      </c>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83"/>
      <c r="AM75" s="26"/>
      <c r="AN75" s="243"/>
    </row>
    <row r="76" spans="1:46" s="4" customFormat="1" ht="12.75" customHeight="1">
      <c r="A76" s="26"/>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83"/>
      <c r="AM76" s="26"/>
      <c r="AN76" s="243"/>
    </row>
    <row r="77" spans="1:46" s="4" customFormat="1" ht="12.75" customHeight="1">
      <c r="A77" s="26"/>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83"/>
      <c r="AM77" s="26"/>
      <c r="AN77" s="243"/>
    </row>
    <row r="78" spans="1:46" s="4" customFormat="1" ht="12.75" customHeight="1">
      <c r="A78" s="26"/>
      <c r="B78" s="1547"/>
      <c r="C78" s="1547"/>
      <c r="D78" s="1547"/>
      <c r="E78" s="1547"/>
      <c r="F78" s="1547"/>
      <c r="G78" s="1547"/>
      <c r="H78" s="1547"/>
      <c r="I78" s="1547"/>
      <c r="J78" s="1547"/>
      <c r="K78" s="1547"/>
      <c r="L78" s="1547"/>
      <c r="M78" s="1547"/>
      <c r="N78" s="1547"/>
      <c r="O78" s="1547"/>
      <c r="P78" s="1547"/>
      <c r="Q78" s="1547"/>
      <c r="R78" s="1547"/>
      <c r="S78" s="1547"/>
      <c r="T78" s="1547"/>
      <c r="U78" s="1547"/>
      <c r="V78" s="1547"/>
      <c r="W78" s="1547"/>
      <c r="X78" s="1547"/>
      <c r="Y78" s="1547"/>
      <c r="Z78" s="1547"/>
      <c r="AA78" s="1547"/>
      <c r="AB78" s="1547"/>
      <c r="AC78" s="1547"/>
      <c r="AD78" s="1547"/>
      <c r="AE78" s="1547"/>
      <c r="AF78" s="1547"/>
      <c r="AG78" s="1547"/>
      <c r="AH78" s="1547"/>
      <c r="AI78" s="1547"/>
      <c r="AJ78" s="1547"/>
      <c r="AK78" s="1547"/>
      <c r="AL78" s="83"/>
      <c r="AM78" s="26"/>
      <c r="AN78" s="243"/>
    </row>
    <row r="79" spans="1:46" s="4" customFormat="1" ht="12.75" customHeight="1">
      <c r="A79" s="26"/>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83"/>
      <c r="AM79" s="26"/>
      <c r="AN79" s="243"/>
    </row>
    <row r="80" spans="1:46" s="4" customFormat="1" ht="12.75" customHeight="1">
      <c r="A80" s="26"/>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83"/>
      <c r="AM80" s="26"/>
      <c r="AN80" s="243"/>
    </row>
    <row r="81" spans="1:42" ht="12.75" customHeight="1">
      <c r="A81" s="26"/>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83"/>
      <c r="AM81" s="26"/>
    </row>
    <row r="82" spans="1:42" s="4" customFormat="1" ht="12.75" customHeight="1">
      <c r="B82" s="1547"/>
      <c r="C82" s="1547"/>
      <c r="D82" s="1547"/>
      <c r="E82" s="1547"/>
      <c r="F82" s="1547"/>
      <c r="G82" s="1547"/>
      <c r="H82" s="1547"/>
      <c r="I82" s="1547"/>
      <c r="J82" s="1547"/>
      <c r="K82" s="1547"/>
      <c r="L82" s="1547"/>
      <c r="M82" s="1547"/>
      <c r="N82" s="1547"/>
      <c r="O82" s="1547"/>
      <c r="P82" s="1547"/>
      <c r="Q82" s="1547"/>
      <c r="R82" s="1547"/>
      <c r="S82" s="1547"/>
      <c r="T82" s="1547"/>
      <c r="U82" s="1547"/>
      <c r="V82" s="1547"/>
      <c r="W82" s="1547"/>
      <c r="X82" s="1547"/>
      <c r="Y82" s="1547"/>
      <c r="Z82" s="1547"/>
      <c r="AA82" s="1547"/>
      <c r="AB82" s="1547"/>
      <c r="AC82" s="1547"/>
      <c r="AD82" s="1547"/>
      <c r="AE82" s="1547"/>
      <c r="AF82" s="1547"/>
      <c r="AG82" s="1547"/>
      <c r="AH82" s="1547"/>
      <c r="AI82" s="1547"/>
      <c r="AJ82" s="1547"/>
      <c r="AK82" s="1547"/>
      <c r="AL82" s="83"/>
      <c r="AN82" s="243"/>
    </row>
    <row r="83" spans="1:42" s="4" customFormat="1" ht="12.75" customHeight="1">
      <c r="B83" s="1547"/>
      <c r="C83" s="1547"/>
      <c r="D83" s="1547"/>
      <c r="E83" s="1547"/>
      <c r="F83" s="1547"/>
      <c r="G83" s="1547"/>
      <c r="H83" s="1547"/>
      <c r="I83" s="1547"/>
      <c r="J83" s="1547"/>
      <c r="K83" s="1547"/>
      <c r="L83" s="1547"/>
      <c r="M83" s="1547"/>
      <c r="N83" s="1547"/>
      <c r="O83" s="1547"/>
      <c r="P83" s="1547"/>
      <c r="Q83" s="1547"/>
      <c r="R83" s="1547"/>
      <c r="S83" s="1547"/>
      <c r="T83" s="1547"/>
      <c r="U83" s="1547"/>
      <c r="V83" s="1547"/>
      <c r="W83" s="1547"/>
      <c r="X83" s="1547"/>
      <c r="Y83" s="1547"/>
      <c r="Z83" s="1547"/>
      <c r="AA83" s="1547"/>
      <c r="AB83" s="1547"/>
      <c r="AC83" s="1547"/>
      <c r="AD83" s="1547"/>
      <c r="AE83" s="1547"/>
      <c r="AF83" s="1547"/>
      <c r="AG83" s="1547"/>
      <c r="AH83" s="1547"/>
      <c r="AI83" s="1547"/>
      <c r="AJ83" s="1547"/>
      <c r="AK83" s="1547"/>
      <c r="AL83" s="83"/>
      <c r="AN83" s="243"/>
    </row>
    <row r="84" spans="1:42" s="4" customFormat="1" ht="14.4" customHeight="1">
      <c r="B84" s="1547"/>
      <c r="C84" s="1547"/>
      <c r="D84" s="1547"/>
      <c r="E84" s="1547"/>
      <c r="F84" s="1547"/>
      <c r="G84" s="1547"/>
      <c r="H84" s="1547"/>
      <c r="I84" s="1547"/>
      <c r="J84" s="1547"/>
      <c r="K84" s="1547"/>
      <c r="L84" s="1547"/>
      <c r="M84" s="1547"/>
      <c r="N84" s="1547"/>
      <c r="O84" s="1547"/>
      <c r="P84" s="1547"/>
      <c r="Q84" s="1547"/>
      <c r="R84" s="1547"/>
      <c r="S84" s="1547"/>
      <c r="T84" s="1547"/>
      <c r="U84" s="1547"/>
      <c r="V84" s="1547"/>
      <c r="W84" s="1547"/>
      <c r="X84" s="1547"/>
      <c r="Y84" s="1547"/>
      <c r="Z84" s="1547"/>
      <c r="AA84" s="1547"/>
      <c r="AB84" s="1547"/>
      <c r="AC84" s="1547"/>
      <c r="AD84" s="1547"/>
      <c r="AE84" s="1547"/>
      <c r="AF84" s="1547"/>
      <c r="AG84" s="1547"/>
      <c r="AH84" s="1547"/>
      <c r="AI84" s="1547"/>
      <c r="AJ84" s="1547"/>
      <c r="AK84" s="1547"/>
      <c r="AL84" s="83"/>
      <c r="AN84" s="243"/>
    </row>
    <row r="85" spans="1:42" s="4" customFormat="1" ht="12.75" customHeight="1">
      <c r="B85" s="1547"/>
      <c r="C85" s="1547"/>
      <c r="D85" s="1547"/>
      <c r="E85" s="1547"/>
      <c r="F85" s="1547"/>
      <c r="G85" s="1547"/>
      <c r="H85" s="1547"/>
      <c r="I85" s="1547"/>
      <c r="J85" s="1547"/>
      <c r="K85" s="1547"/>
      <c r="L85" s="1547"/>
      <c r="M85" s="1547"/>
      <c r="N85" s="1547"/>
      <c r="O85" s="1547"/>
      <c r="P85" s="1547"/>
      <c r="Q85" s="1547"/>
      <c r="R85" s="1547"/>
      <c r="S85" s="1547"/>
      <c r="T85" s="1547"/>
      <c r="U85" s="1547"/>
      <c r="V85" s="1547"/>
      <c r="W85" s="1547"/>
      <c r="X85" s="1547"/>
      <c r="Y85" s="1547"/>
      <c r="Z85" s="1547"/>
      <c r="AA85" s="1547"/>
      <c r="AB85" s="1547"/>
      <c r="AC85" s="1547"/>
      <c r="AD85" s="1547"/>
      <c r="AE85" s="1547"/>
      <c r="AF85" s="1547"/>
      <c r="AG85" s="1547"/>
      <c r="AH85" s="1547"/>
      <c r="AI85" s="1547"/>
      <c r="AJ85" s="1547"/>
      <c r="AK85" s="1547"/>
      <c r="AN85" s="243"/>
    </row>
    <row r="86" spans="1:42" s="4" customFormat="1" ht="12.75" customHeight="1">
      <c r="B86" s="25" t="s">
        <v>1850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46" t="s">
        <v>1852</v>
      </c>
      <c r="F90" s="26"/>
      <c r="G90" s="26"/>
      <c r="H90" s="26"/>
      <c r="I90" s="26"/>
      <c r="J90" s="26"/>
      <c r="K90" s="26"/>
      <c r="L90" s="26"/>
      <c r="M90" s="26"/>
      <c r="N90" s="26"/>
      <c r="O90" s="26"/>
      <c r="P90" s="26"/>
      <c r="Q90" s="26"/>
      <c r="R90" s="26"/>
      <c r="S90" s="26"/>
      <c r="T90" s="26"/>
      <c r="U90" s="26"/>
      <c r="V90" s="26"/>
      <c r="W90" s="26"/>
      <c r="X90" s="26"/>
      <c r="Y90" s="26"/>
      <c r="Z90" s="26"/>
      <c r="AA90" s="26"/>
      <c r="AB90" s="26"/>
      <c r="AF90" s="1593" t="s">
        <v>1812</v>
      </c>
      <c r="AG90" s="1593"/>
      <c r="AH90" s="1593"/>
      <c r="AI90" s="1593"/>
      <c r="AJ90" s="1593"/>
      <c r="AK90" s="1593"/>
      <c r="AL90" s="1593"/>
      <c r="AN90" s="243"/>
    </row>
    <row r="91" spans="1:42" s="4" customFormat="1" ht="12.75" customHeight="1">
      <c r="C91" s="19"/>
      <c r="D91" s="25"/>
      <c r="E91" s="346" t="s">
        <v>1853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46" t="s">
        <v>1854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46" t="s">
        <v>1855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1856</v>
      </c>
      <c r="AP93" s="4" t="b">
        <f>IF(Application!AF411&gt;=25,TRUE,FALSE)</f>
        <v>1</v>
      </c>
    </row>
    <row r="94" spans="1:42" s="4" customFormat="1" ht="12.75" customHeight="1">
      <c r="C94" s="19"/>
      <c r="D94" s="25"/>
      <c r="E94" s="346"/>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883</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46" t="s">
        <v>1857</v>
      </c>
      <c r="F95" s="93"/>
      <c r="G95" s="93"/>
      <c r="H95" s="93"/>
      <c r="I95" s="93"/>
      <c r="J95" s="93"/>
      <c r="K95" s="93"/>
      <c r="L95" s="93"/>
      <c r="M95" s="93"/>
      <c r="N95" s="93"/>
      <c r="O95" s="93"/>
      <c r="P95" s="93"/>
      <c r="Q95" s="93"/>
      <c r="R95" s="93"/>
      <c r="S95" s="93"/>
      <c r="T95" s="93"/>
      <c r="U95" s="93"/>
      <c r="V95" s="93"/>
      <c r="W95" s="93"/>
      <c r="X95" s="93"/>
      <c r="Y95" s="93"/>
      <c r="Z95" s="93"/>
      <c r="AA95" s="93"/>
      <c r="AB95" s="93"/>
      <c r="AF95" s="1593" t="s">
        <v>1858</v>
      </c>
      <c r="AG95" s="1593"/>
      <c r="AH95" s="1593"/>
      <c r="AI95" s="1593"/>
      <c r="AJ95" s="1593"/>
      <c r="AK95" s="1593"/>
      <c r="AL95" s="1593"/>
      <c r="AN95" s="243"/>
    </row>
    <row r="96" spans="1:42" s="4" customFormat="1" ht="12.75" customHeight="1">
      <c r="B96" s="37"/>
      <c r="C96" s="94"/>
      <c r="D96" s="25"/>
      <c r="E96" s="346" t="s">
        <v>1859</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4">
        <v>0</v>
      </c>
    </row>
    <row r="97" spans="1:53" s="4" customFormat="1" ht="12.75" customHeight="1">
      <c r="B97" s="806"/>
      <c r="C97" s="38"/>
      <c r="D97" s="25"/>
      <c r="E97" s="346" t="s">
        <v>1860</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06"/>
      <c r="C98" s="38"/>
      <c r="D98" s="25"/>
      <c r="E98" s="346" t="s">
        <v>1861</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06"/>
      <c r="C99" s="38"/>
      <c r="D99" s="25"/>
      <c r="E99" s="347"/>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46" t="s">
        <v>1862</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93" t="s">
        <v>1863</v>
      </c>
      <c r="AG100" s="1593"/>
      <c r="AH100" s="1593"/>
      <c r="AI100" s="1593"/>
      <c r="AJ100" s="1593"/>
      <c r="AK100" s="1593"/>
      <c r="AL100" s="1593"/>
      <c r="AN100" s="243"/>
      <c r="AO100" s="25" t="s">
        <v>1864</v>
      </c>
      <c r="AP100" s="4">
        <v>4</v>
      </c>
    </row>
    <row r="101" spans="1:53" s="4" customFormat="1" ht="12.75" customHeight="1">
      <c r="B101" s="37"/>
      <c r="C101" s="94"/>
      <c r="D101" s="25"/>
      <c r="E101" s="346" t="s">
        <v>1865</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1866</v>
      </c>
      <c r="AP101" s="4">
        <v>3</v>
      </c>
    </row>
    <row r="102" spans="1:53" s="4" customFormat="1" ht="12.75" customHeight="1">
      <c r="B102" s="37"/>
      <c r="C102" s="94"/>
      <c r="D102" s="25"/>
      <c r="E102" s="346" t="s">
        <v>1860</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46" t="s">
        <v>1861</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1867</v>
      </c>
    </row>
    <row r="104" spans="1:53" s="4" customFormat="1" ht="12.75" customHeight="1">
      <c r="A104" s="21"/>
      <c r="B104" s="21"/>
      <c r="C104" s="21"/>
      <c r="D104" s="25"/>
      <c r="E104" s="34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1868</v>
      </c>
    </row>
    <row r="105" spans="1:53" s="4" customFormat="1" ht="12.75" customHeight="1">
      <c r="B105" s="37"/>
      <c r="C105" s="38"/>
      <c r="D105" s="25" t="s">
        <v>1864</v>
      </c>
      <c r="E105" s="346" t="s">
        <v>1857</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93" t="s">
        <v>1869</v>
      </c>
      <c r="AG105" s="1593"/>
      <c r="AH105" s="1593"/>
      <c r="AI105" s="1593"/>
      <c r="AJ105" s="1593"/>
      <c r="AK105" s="1593"/>
      <c r="AL105" s="1593"/>
      <c r="AN105" s="243"/>
    </row>
    <row r="106" spans="1:53" s="4" customFormat="1" ht="12.75" customHeight="1">
      <c r="B106" s="37"/>
      <c r="C106" s="94"/>
      <c r="D106" s="25"/>
      <c r="E106" s="346" t="s">
        <v>1870</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06"/>
      <c r="C107" s="38"/>
      <c r="D107" s="25"/>
      <c r="E107" s="346" t="s">
        <v>1871</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1872</v>
      </c>
    </row>
    <row r="108" spans="1:53" s="4" customFormat="1" ht="12.75" customHeight="1">
      <c r="B108" s="806"/>
      <c r="C108" s="38"/>
      <c r="D108" s="25"/>
      <c r="E108" s="346"/>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1873</v>
      </c>
    </row>
    <row r="109" spans="1:53" s="4" customFormat="1" ht="12.75" customHeight="1">
      <c r="B109" s="37"/>
      <c r="C109" s="38"/>
      <c r="D109" s="25" t="s">
        <v>1866</v>
      </c>
      <c r="E109" s="346" t="s">
        <v>1862</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93" t="s">
        <v>1826</v>
      </c>
      <c r="AG109" s="1593"/>
      <c r="AH109" s="1593"/>
      <c r="AI109" s="1593"/>
      <c r="AJ109" s="1593"/>
      <c r="AK109" s="1593"/>
      <c r="AL109" s="1593"/>
      <c r="AN109" s="243"/>
      <c r="AO109" s="4" t="s">
        <v>1874</v>
      </c>
    </row>
    <row r="110" spans="1:53" s="4" customFormat="1" ht="12.75" customHeight="1">
      <c r="B110" s="37"/>
      <c r="C110" s="38"/>
      <c r="D110" s="25"/>
      <c r="E110" s="346" t="s">
        <v>1875</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1876</v>
      </c>
      <c r="E112" s="95"/>
      <c r="F112" s="95"/>
      <c r="G112" s="95"/>
      <c r="H112" s="1584" t="s">
        <v>1864</v>
      </c>
      <c r="I112" s="1584"/>
      <c r="J112" s="95"/>
      <c r="K112" s="95"/>
      <c r="L112" s="95"/>
      <c r="M112" s="821" t="s">
        <v>1877</v>
      </c>
      <c r="R112" s="1695" t="s">
        <v>1874</v>
      </c>
      <c r="S112" s="1695"/>
      <c r="T112" s="1695"/>
      <c r="U112" s="1695"/>
      <c r="V112" s="1695"/>
      <c r="W112" s="1695"/>
      <c r="Y112" s="1481" t="str">
        <f>IF(AND(H112="(i)",NOT(Application!AF411&gt;25)),AO103,IF(AND(H112="(iv)",OR(R112=AO108,R112=AO109),NOT(AP94)),AO104,""))</f>
        <v/>
      </c>
      <c r="Z112" s="1481"/>
      <c r="AA112" s="1481"/>
      <c r="AB112" s="1481"/>
      <c r="AC112" s="1481"/>
      <c r="AD112" s="1481"/>
      <c r="AE112" s="1481"/>
      <c r="AF112" s="1481"/>
      <c r="AG112" s="1481"/>
      <c r="AH112" s="1481"/>
      <c r="AI112" s="1481"/>
      <c r="AJ112" s="1481"/>
      <c r="AK112" s="1481"/>
      <c r="AL112" s="1481"/>
      <c r="AM112" s="1775"/>
      <c r="AN112" s="840"/>
    </row>
    <row r="113" spans="1:47" s="4" customFormat="1" ht="12.75" customHeight="1">
      <c r="B113" s="37"/>
      <c r="C113" s="94"/>
      <c r="E113" s="95"/>
      <c r="F113" s="95"/>
      <c r="G113" s="95"/>
      <c r="H113" s="95"/>
      <c r="I113" s="95"/>
      <c r="J113" s="95"/>
      <c r="K113" s="95"/>
      <c r="L113" s="95"/>
      <c r="M113" s="95"/>
      <c r="Y113" s="1481"/>
      <c r="Z113" s="1481"/>
      <c r="AA113" s="1481"/>
      <c r="AB113" s="1481"/>
      <c r="AC113" s="1481"/>
      <c r="AD113" s="1481"/>
      <c r="AE113" s="1481"/>
      <c r="AF113" s="1481"/>
      <c r="AG113" s="1481"/>
      <c r="AH113" s="1481"/>
      <c r="AI113" s="1481"/>
      <c r="AJ113" s="1481"/>
      <c r="AK113" s="1481"/>
      <c r="AL113" s="1481"/>
      <c r="AM113" s="1775"/>
      <c r="AN113" s="840"/>
    </row>
    <row r="114" spans="1:47" s="4" customFormat="1" ht="12.75" customHeight="1">
      <c r="B114" s="37"/>
      <c r="C114" s="94"/>
      <c r="D114" s="4" t="s">
        <v>1878</v>
      </c>
      <c r="E114" s="95"/>
      <c r="F114" s="95"/>
      <c r="G114" s="95"/>
      <c r="H114" s="95"/>
      <c r="I114" s="95"/>
      <c r="J114" s="95"/>
      <c r="K114" s="95"/>
      <c r="L114" s="95"/>
      <c r="M114" s="95"/>
      <c r="AN114" s="243"/>
      <c r="AP114" s="384"/>
      <c r="AU114" s="384"/>
    </row>
    <row r="115" spans="1:47" s="4" customFormat="1" ht="12.75" customHeight="1">
      <c r="B115" s="37"/>
      <c r="C115" s="94"/>
      <c r="D115" s="4" t="s">
        <v>1879</v>
      </c>
      <c r="E115" s="95"/>
      <c r="F115" s="95"/>
      <c r="G115" s="95"/>
      <c r="H115" s="95"/>
      <c r="I115" s="95"/>
      <c r="J115" s="95"/>
      <c r="K115" s="95"/>
      <c r="L115" s="95"/>
      <c r="M115" s="95"/>
      <c r="AN115" s="243"/>
    </row>
    <row r="116" spans="1:47" s="4" customFormat="1" ht="12.75" customHeight="1">
      <c r="B116" s="37"/>
      <c r="C116" s="94"/>
      <c r="D116" s="1776" t="s">
        <v>1880</v>
      </c>
      <c r="E116" s="1776"/>
      <c r="F116" s="1776"/>
      <c r="G116" s="1776"/>
      <c r="H116" s="1776"/>
      <c r="I116" s="1776"/>
      <c r="J116" s="1776"/>
      <c r="K116" s="1776"/>
      <c r="L116" s="1776"/>
      <c r="M116" s="1776"/>
      <c r="N116" s="1776"/>
      <c r="O116" s="1776"/>
      <c r="P116" s="1776"/>
      <c r="Q116" s="1776"/>
      <c r="R116" s="1776"/>
      <c r="S116" s="1776"/>
      <c r="T116" s="1776"/>
      <c r="U116" s="1776"/>
      <c r="V116" s="1776"/>
      <c r="W116" s="1776"/>
      <c r="X116" s="1776"/>
      <c r="Y116" s="1776"/>
      <c r="Z116" s="1776"/>
      <c r="AA116" s="1776"/>
      <c r="AB116" s="1776"/>
      <c r="AC116" s="1776"/>
      <c r="AD116" s="1776"/>
      <c r="AE116" s="1776"/>
      <c r="AF116" s="1776"/>
      <c r="AG116" s="1776"/>
      <c r="AH116" s="1776"/>
      <c r="AN116" s="243"/>
      <c r="AO116" s="4" t="s">
        <v>325</v>
      </c>
      <c r="AP116" s="384">
        <v>0</v>
      </c>
    </row>
    <row r="117" spans="1:47" s="4" customFormat="1" ht="12.75" customHeight="1">
      <c r="B117" s="37"/>
      <c r="C117" s="94"/>
      <c r="D117" s="1776"/>
      <c r="E117" s="1776"/>
      <c r="F117" s="1776"/>
      <c r="G117" s="1776"/>
      <c r="H117" s="1776"/>
      <c r="I117" s="1776"/>
      <c r="J117" s="1776"/>
      <c r="K117" s="1776"/>
      <c r="L117" s="1776"/>
      <c r="M117" s="1776"/>
      <c r="N117" s="1776"/>
      <c r="O117" s="1776"/>
      <c r="P117" s="1776"/>
      <c r="Q117" s="1776"/>
      <c r="R117" s="1776"/>
      <c r="S117" s="1776"/>
      <c r="T117" s="1776"/>
      <c r="U117" s="1776"/>
      <c r="V117" s="1776"/>
      <c r="W117" s="1776"/>
      <c r="X117" s="1776"/>
      <c r="Y117" s="1776"/>
      <c r="Z117" s="1776"/>
      <c r="AA117" s="1776"/>
      <c r="AB117" s="1776"/>
      <c r="AC117" s="1776"/>
      <c r="AD117" s="1776"/>
      <c r="AE117" s="1776"/>
      <c r="AF117" s="1776"/>
      <c r="AG117" s="1776"/>
      <c r="AH117" s="1776"/>
      <c r="AN117" s="243"/>
      <c r="AO117" s="4" t="s">
        <v>1881</v>
      </c>
      <c r="AP117" s="4">
        <v>3</v>
      </c>
    </row>
    <row r="118" spans="1:47" s="4" customFormat="1" ht="12.75" customHeight="1">
      <c r="B118" s="37"/>
      <c r="C118" s="94"/>
      <c r="E118" s="4" t="s">
        <v>1876</v>
      </c>
      <c r="F118" s="95"/>
      <c r="G118" s="95"/>
      <c r="H118" s="1694" t="s">
        <v>325</v>
      </c>
      <c r="I118" s="1694"/>
      <c r="J118" s="1694"/>
      <c r="K118" s="1694"/>
      <c r="L118" s="1694"/>
      <c r="M118" s="1694"/>
      <c r="N118" s="1694"/>
      <c r="O118" s="1694"/>
      <c r="P118" s="1694"/>
      <c r="Q118" s="1694"/>
      <c r="R118" s="1694"/>
      <c r="S118" s="1694"/>
      <c r="T118" s="1694"/>
      <c r="U118" s="1694"/>
      <c r="V118" s="1694"/>
      <c r="W118" s="1694"/>
      <c r="X118" s="1694"/>
      <c r="Y118" s="1694"/>
      <c r="Z118" s="1694"/>
      <c r="AA118" s="1694"/>
      <c r="AB118" s="1694"/>
      <c r="AC118" s="1694"/>
      <c r="AD118" s="1694"/>
      <c r="AE118" s="1694"/>
      <c r="AN118" s="243"/>
      <c r="AO118" s="4" t="s">
        <v>1882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394" t="s">
        <v>325</v>
      </c>
      <c r="C120" s="1394"/>
      <c r="D120" s="42"/>
      <c r="E120" s="1547" t="s">
        <v>1883</v>
      </c>
      <c r="F120" s="1547"/>
      <c r="G120" s="1547"/>
      <c r="H120" s="1547"/>
      <c r="I120" s="1547"/>
      <c r="J120" s="1547"/>
      <c r="K120" s="1547"/>
      <c r="L120" s="1547"/>
      <c r="M120" s="1547"/>
      <c r="N120" s="1547"/>
      <c r="O120" s="1547"/>
      <c r="P120" s="1547"/>
      <c r="Q120" s="1547"/>
      <c r="R120" s="1547"/>
      <c r="S120" s="1547"/>
      <c r="T120" s="1547"/>
      <c r="U120" s="1547"/>
      <c r="V120" s="1547"/>
      <c r="W120" s="1547"/>
      <c r="X120" s="1547"/>
      <c r="Y120" s="1547"/>
      <c r="Z120" s="1547"/>
      <c r="AA120" s="1547"/>
      <c r="AB120" s="1547"/>
      <c r="AC120" s="1547"/>
      <c r="AD120" s="1547"/>
      <c r="AE120" s="1547"/>
      <c r="AF120" s="1547"/>
      <c r="AG120" s="1547"/>
      <c r="AH120" s="42"/>
      <c r="AI120" s="42"/>
      <c r="AJ120" s="42"/>
      <c r="AK120" s="42"/>
      <c r="AL120" s="42"/>
      <c r="AN120" s="243"/>
    </row>
    <row r="121" spans="1:47" s="4" customFormat="1" ht="12.75" customHeight="1">
      <c r="B121" s="37"/>
      <c r="C121" s="94"/>
      <c r="D121" s="42"/>
      <c r="E121" s="1547"/>
      <c r="F121" s="1547"/>
      <c r="G121" s="1547"/>
      <c r="H121" s="1547"/>
      <c r="I121" s="1547"/>
      <c r="J121" s="1547"/>
      <c r="K121" s="1547"/>
      <c r="L121" s="1547"/>
      <c r="M121" s="1547"/>
      <c r="N121" s="1547"/>
      <c r="O121" s="1547"/>
      <c r="P121" s="1547"/>
      <c r="Q121" s="1547"/>
      <c r="R121" s="1547"/>
      <c r="S121" s="1547"/>
      <c r="T121" s="1547"/>
      <c r="U121" s="1547"/>
      <c r="V121" s="1547"/>
      <c r="W121" s="1547"/>
      <c r="X121" s="1547"/>
      <c r="Y121" s="1547"/>
      <c r="Z121" s="1547"/>
      <c r="AA121" s="1547"/>
      <c r="AB121" s="1547"/>
      <c r="AC121" s="1547"/>
      <c r="AD121" s="1547"/>
      <c r="AE121" s="1547"/>
      <c r="AF121" s="1547"/>
      <c r="AG121" s="1547"/>
      <c r="AH121" s="42"/>
      <c r="AI121" s="42"/>
      <c r="AJ121" s="42"/>
      <c r="AK121" s="42"/>
      <c r="AL121" s="42"/>
      <c r="AN121" s="243"/>
    </row>
    <row r="122" spans="1:47" s="4" customFormat="1" ht="12.75" customHeight="1">
      <c r="B122" s="37"/>
      <c r="C122" s="94"/>
      <c r="D122" s="42"/>
      <c r="E122" s="1547"/>
      <c r="F122" s="1547"/>
      <c r="G122" s="1547"/>
      <c r="H122" s="1547"/>
      <c r="I122" s="1547"/>
      <c r="J122" s="1547"/>
      <c r="K122" s="1547"/>
      <c r="L122" s="1547"/>
      <c r="M122" s="1547"/>
      <c r="N122" s="1547"/>
      <c r="O122" s="1547"/>
      <c r="P122" s="1547"/>
      <c r="Q122" s="1547"/>
      <c r="R122" s="1547"/>
      <c r="S122" s="1547"/>
      <c r="T122" s="1547"/>
      <c r="U122" s="1547"/>
      <c r="V122" s="1547"/>
      <c r="W122" s="1547"/>
      <c r="X122" s="1547"/>
      <c r="Y122" s="1547"/>
      <c r="Z122" s="1547"/>
      <c r="AA122" s="1547"/>
      <c r="AB122" s="1547"/>
      <c r="AC122" s="1547"/>
      <c r="AD122" s="1547"/>
      <c r="AE122" s="1547"/>
      <c r="AF122" s="1547"/>
      <c r="AG122" s="1547"/>
      <c r="AH122" s="42"/>
      <c r="AI122" s="42"/>
      <c r="AJ122" s="42"/>
      <c r="AK122" s="42"/>
      <c r="AL122" s="42"/>
      <c r="AN122" s="243"/>
    </row>
    <row r="123" spans="1:47" s="4" customFormat="1" ht="12.75" customHeight="1">
      <c r="B123" s="37"/>
      <c r="C123" s="94"/>
      <c r="D123" s="255"/>
      <c r="E123" s="1615"/>
      <c r="F123" s="1615"/>
      <c r="G123" s="1615"/>
      <c r="H123" s="1615"/>
      <c r="I123" s="1615"/>
      <c r="J123" s="1615"/>
      <c r="K123" s="1615"/>
      <c r="L123" s="1615"/>
      <c r="M123" s="1615"/>
      <c r="N123" s="1615"/>
      <c r="O123" s="1615"/>
      <c r="P123" s="1615"/>
      <c r="Q123" s="1615"/>
      <c r="R123" s="1615"/>
      <c r="S123" s="1615"/>
      <c r="T123" s="1615"/>
      <c r="U123" s="1615"/>
      <c r="V123" s="1615"/>
      <c r="W123" s="1615"/>
      <c r="X123" s="1615"/>
      <c r="Y123" s="1615"/>
      <c r="Z123" s="1615"/>
      <c r="AA123" s="1615"/>
      <c r="AB123" s="1615"/>
      <c r="AC123" s="1615"/>
      <c r="AD123" s="1615"/>
      <c r="AE123" s="1615"/>
      <c r="AF123" s="1615"/>
      <c r="AG123" s="1615"/>
      <c r="AH123" s="255"/>
      <c r="AI123" s="255"/>
      <c r="AJ123" s="255"/>
      <c r="AK123" s="255"/>
      <c r="AL123" s="42"/>
      <c r="AN123" s="243"/>
    </row>
    <row r="124" spans="1:47" s="4" customFormat="1" ht="12.75" customHeight="1">
      <c r="A124" s="76"/>
      <c r="B124" s="335"/>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5"/>
      <c r="AD124" s="77"/>
      <c r="AE124" s="77"/>
      <c r="AF124" s="77"/>
      <c r="AG124" s="77"/>
      <c r="AH124" s="77"/>
      <c r="AI124" s="53" t="s">
        <v>1884</v>
      </c>
      <c r="AJ124" s="1018">
        <f>VLOOKUP($H$112,$AO$96:$AP$101,2,FALSE)+IF(R112=AO108,0,VLOOKUP($H$118,$AO$116:$AP$118,2,FALSE))</f>
        <v>4</v>
      </c>
      <c r="AK124" s="1021"/>
      <c r="AL124" s="401"/>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1885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06"/>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93" t="s">
        <v>1886</v>
      </c>
      <c r="F128" s="1693"/>
      <c r="G128" s="1693"/>
      <c r="H128" s="1693"/>
      <c r="I128" s="1693"/>
      <c r="J128" s="1693"/>
      <c r="K128" s="1693"/>
      <c r="L128" s="1693"/>
      <c r="M128" s="1693"/>
      <c r="N128" s="1693"/>
      <c r="O128" s="1693"/>
      <c r="P128" s="1693"/>
      <c r="Q128" s="1693"/>
      <c r="R128" s="1693"/>
      <c r="S128" s="1693"/>
      <c r="T128" s="1693"/>
      <c r="U128" s="1693"/>
      <c r="V128" s="1693"/>
      <c r="W128" s="1693"/>
      <c r="X128" s="1693"/>
      <c r="Y128" s="1693"/>
      <c r="Z128" s="1693"/>
      <c r="AA128" s="1693"/>
      <c r="AB128" s="1693"/>
      <c r="AC128" s="1693"/>
      <c r="AD128" s="1693"/>
      <c r="AF128" s="1593" t="s">
        <v>1826</v>
      </c>
      <c r="AG128" s="1593"/>
      <c r="AH128" s="1593"/>
      <c r="AI128" s="1593"/>
      <c r="AJ128" s="1593"/>
      <c r="AK128" s="1593"/>
      <c r="AL128" s="1593"/>
      <c r="AM128" s="4"/>
      <c r="AN128" s="254"/>
      <c r="AO128" s="4" t="str">
        <f>S133</f>
        <v>N/A</v>
      </c>
    </row>
    <row r="129" spans="1:42" s="4" customFormat="1" ht="12.75" customHeight="1">
      <c r="A129" s="99"/>
      <c r="B129" s="37"/>
      <c r="C129" s="94"/>
      <c r="D129" s="25"/>
      <c r="E129" s="1693"/>
      <c r="F129" s="1693"/>
      <c r="G129" s="1693"/>
      <c r="H129" s="1693"/>
      <c r="I129" s="1693"/>
      <c r="J129" s="1693"/>
      <c r="K129" s="1693"/>
      <c r="L129" s="1693"/>
      <c r="M129" s="1693"/>
      <c r="N129" s="1693"/>
      <c r="O129" s="1693"/>
      <c r="P129" s="1693"/>
      <c r="Q129" s="1693"/>
      <c r="R129" s="1693"/>
      <c r="S129" s="1693"/>
      <c r="T129" s="1693"/>
      <c r="U129" s="1693"/>
      <c r="V129" s="1693"/>
      <c r="W129" s="1693"/>
      <c r="X129" s="1693"/>
      <c r="Y129" s="1693"/>
      <c r="Z129" s="1693"/>
      <c r="AA129" s="1693"/>
      <c r="AB129" s="1693"/>
      <c r="AC129" s="1693"/>
      <c r="AD129" s="1693"/>
      <c r="AF129" s="37"/>
      <c r="AN129" s="243"/>
    </row>
    <row r="130" spans="1:42" s="4" customFormat="1" ht="12.75" customHeight="1">
      <c r="B130" s="37"/>
      <c r="C130" s="38"/>
      <c r="D130" s="25"/>
      <c r="E130" s="1693"/>
      <c r="F130" s="1693"/>
      <c r="G130" s="1693"/>
      <c r="H130" s="1693"/>
      <c r="I130" s="1693"/>
      <c r="J130" s="1693"/>
      <c r="K130" s="1693"/>
      <c r="L130" s="1693"/>
      <c r="M130" s="1693"/>
      <c r="N130" s="1693"/>
      <c r="O130" s="1693"/>
      <c r="P130" s="1693"/>
      <c r="Q130" s="1693"/>
      <c r="R130" s="1693"/>
      <c r="S130" s="1693"/>
      <c r="T130" s="1693"/>
      <c r="U130" s="1693"/>
      <c r="V130" s="1693"/>
      <c r="W130" s="1693"/>
      <c r="X130" s="1693"/>
      <c r="Y130" s="1693"/>
      <c r="Z130" s="1693"/>
      <c r="AA130" s="1693"/>
      <c r="AB130" s="1693"/>
      <c r="AC130" s="1693"/>
      <c r="AD130" s="1693"/>
      <c r="AF130" s="37"/>
      <c r="AN130" s="243"/>
    </row>
    <row r="131" spans="1:42" s="4" customFormat="1" ht="12.75" customHeight="1">
      <c r="A131" s="32"/>
      <c r="B131" s="266"/>
      <c r="C131" s="100"/>
      <c r="D131" s="25"/>
      <c r="E131" s="1693"/>
      <c r="F131" s="1693"/>
      <c r="G131" s="1693"/>
      <c r="H131" s="1693"/>
      <c r="I131" s="1693"/>
      <c r="J131" s="1693"/>
      <c r="K131" s="1693"/>
      <c r="L131" s="1693"/>
      <c r="M131" s="1693"/>
      <c r="N131" s="1693"/>
      <c r="O131" s="1693"/>
      <c r="P131" s="1693"/>
      <c r="Q131" s="1693"/>
      <c r="R131" s="1693"/>
      <c r="S131" s="1693"/>
      <c r="T131" s="1693"/>
      <c r="U131" s="1693"/>
      <c r="V131" s="1693"/>
      <c r="W131" s="1693"/>
      <c r="X131" s="1693"/>
      <c r="Y131" s="1693"/>
      <c r="Z131" s="1693"/>
      <c r="AA131" s="1693"/>
      <c r="AB131" s="1693"/>
      <c r="AC131" s="1693"/>
      <c r="AD131" s="1693"/>
      <c r="AE131" s="19"/>
      <c r="AF131" s="266"/>
      <c r="AG131" s="19"/>
      <c r="AH131" s="19"/>
      <c r="AI131" s="19"/>
      <c r="AJ131" s="19"/>
      <c r="AN131" s="243"/>
    </row>
    <row r="132" spans="1:42" s="4" customFormat="1" ht="23.1" customHeight="1">
      <c r="B132" s="266"/>
      <c r="C132" s="100"/>
      <c r="D132" s="25"/>
      <c r="E132" s="1693"/>
      <c r="F132" s="1693"/>
      <c r="G132" s="1693"/>
      <c r="H132" s="1693"/>
      <c r="I132" s="1693"/>
      <c r="J132" s="1693"/>
      <c r="K132" s="1693"/>
      <c r="L132" s="1693"/>
      <c r="M132" s="1693"/>
      <c r="N132" s="1693"/>
      <c r="O132" s="1693"/>
      <c r="P132" s="1693"/>
      <c r="Q132" s="1693"/>
      <c r="R132" s="1693"/>
      <c r="S132" s="1693"/>
      <c r="T132" s="1693"/>
      <c r="U132" s="1693"/>
      <c r="V132" s="1693"/>
      <c r="W132" s="1693"/>
      <c r="X132" s="1693"/>
      <c r="Y132" s="1693"/>
      <c r="Z132" s="1693"/>
      <c r="AA132" s="1693"/>
      <c r="AB132" s="1693"/>
      <c r="AC132" s="1693"/>
      <c r="AD132" s="1693"/>
      <c r="AE132" s="19"/>
      <c r="AF132" s="266"/>
      <c r="AG132" s="19"/>
      <c r="AH132" s="19"/>
      <c r="AI132" s="19"/>
      <c r="AJ132" s="19"/>
      <c r="AN132" s="243"/>
    </row>
    <row r="133" spans="1:42" s="4" customFormat="1" ht="12.75" customHeight="1">
      <c r="B133" s="266"/>
      <c r="C133" s="38"/>
      <c r="D133" s="25"/>
      <c r="E133" s="19" t="s">
        <v>1887</v>
      </c>
      <c r="F133" s="582"/>
      <c r="G133" s="582"/>
      <c r="H133" s="582"/>
      <c r="I133" s="582"/>
      <c r="J133" s="582"/>
      <c r="K133" s="582"/>
      <c r="L133" s="582"/>
      <c r="M133" s="582"/>
      <c r="N133" s="582"/>
      <c r="O133" s="582"/>
      <c r="P133" s="582"/>
      <c r="Q133" s="582"/>
      <c r="R133" s="582"/>
      <c r="S133" s="1696" t="s">
        <v>325</v>
      </c>
      <c r="T133" s="1696"/>
      <c r="U133" s="582"/>
      <c r="V133" s="582"/>
      <c r="W133" s="582"/>
      <c r="X133" s="582"/>
      <c r="Y133" s="582"/>
      <c r="Z133" s="582"/>
      <c r="AA133" s="582"/>
      <c r="AB133" s="582"/>
      <c r="AC133" s="582"/>
      <c r="AD133" s="582"/>
      <c r="AF133" s="266"/>
      <c r="AG133" s="19"/>
      <c r="AH133" s="19"/>
      <c r="AI133" s="19"/>
      <c r="AJ133" s="19"/>
      <c r="AN133" s="243"/>
      <c r="AO133" s="4" t="s">
        <v>325</v>
      </c>
      <c r="AP133" s="384">
        <v>0</v>
      </c>
    </row>
    <row r="134" spans="1:42" s="4" customFormat="1" ht="12.75" customHeight="1">
      <c r="B134" s="266"/>
      <c r="C134" s="100"/>
      <c r="W134" s="19"/>
      <c r="X134" s="19"/>
      <c r="Y134" s="19"/>
      <c r="Z134" s="19"/>
      <c r="AA134" s="19"/>
      <c r="AB134" s="19"/>
      <c r="AN134" s="243"/>
      <c r="AO134" s="4" t="s">
        <v>18</v>
      </c>
      <c r="AP134" s="384">
        <v>3</v>
      </c>
    </row>
    <row r="135" spans="1:42" s="4" customFormat="1" ht="12.75" customHeight="1">
      <c r="B135" s="37"/>
      <c r="C135" s="38"/>
      <c r="D135" s="25" t="s">
        <v>23</v>
      </c>
      <c r="E135" s="284" t="s">
        <v>1888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93" t="s">
        <v>1889</v>
      </c>
      <c r="AG135" s="1593"/>
      <c r="AH135" s="1593"/>
      <c r="AI135" s="1593"/>
      <c r="AJ135" s="1593"/>
      <c r="AK135" s="1593"/>
      <c r="AL135" s="1593"/>
      <c r="AN135" s="243"/>
      <c r="AO135" s="4" t="s">
        <v>23</v>
      </c>
      <c r="AP135" s="384">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1876</v>
      </c>
      <c r="E137" s="95"/>
      <c r="F137" s="95"/>
      <c r="G137" s="95"/>
      <c r="H137" s="1584" t="s">
        <v>18</v>
      </c>
      <c r="I137" s="1584"/>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17"/>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5"/>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5"/>
      <c r="AD139" s="77"/>
      <c r="AE139" s="77"/>
      <c r="AF139" s="77"/>
      <c r="AG139" s="77"/>
      <c r="AH139" s="77"/>
      <c r="AI139" s="53" t="s">
        <v>1890</v>
      </c>
      <c r="AJ139" s="1018">
        <f>VLOOKUP($H$137,$AO$133:$AP$135,2,FALSE)</f>
        <v>3</v>
      </c>
      <c r="AK139" s="1021"/>
      <c r="AL139" s="401"/>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4">
        <v>0</v>
      </c>
    </row>
    <row r="141" spans="1:42" s="4" customFormat="1" ht="12.75" customHeight="1">
      <c r="B141" s="37"/>
      <c r="C141" s="3" t="s">
        <v>1891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4">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4">
        <v>2</v>
      </c>
    </row>
    <row r="143" spans="1:42" s="4" customFormat="1" ht="12.75" customHeight="1">
      <c r="D143" s="25" t="s">
        <v>18</v>
      </c>
      <c r="E143" s="19" t="s">
        <v>1892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93" t="s">
        <v>1826</v>
      </c>
      <c r="AG143" s="1593"/>
      <c r="AH143" s="1593"/>
      <c r="AI143" s="1593"/>
      <c r="AJ143" s="1593"/>
      <c r="AK143" s="1593"/>
      <c r="AL143" s="1593"/>
      <c r="AN143" s="243"/>
    </row>
    <row r="144" spans="1:42" s="4" customFormat="1" ht="12.75" customHeight="1">
      <c r="D144" s="25"/>
      <c r="E144" s="19" t="s">
        <v>1893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1894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93" t="s">
        <v>1889</v>
      </c>
      <c r="AG146" s="1593"/>
      <c r="AH146" s="1593"/>
      <c r="AI146" s="1593"/>
      <c r="AJ146" s="1593"/>
      <c r="AK146" s="1593"/>
      <c r="AL146" s="1593"/>
      <c r="AN146" s="243"/>
    </row>
    <row r="147" spans="1:42" s="4" customFormat="1" ht="12.75" customHeight="1">
      <c r="B147" s="37"/>
      <c r="C147" s="38"/>
      <c r="D147" s="25"/>
      <c r="E147" s="19" t="s">
        <v>1895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1876</v>
      </c>
      <c r="E149" s="95"/>
      <c r="F149" s="95"/>
      <c r="G149" s="95"/>
      <c r="H149" s="1584" t="s">
        <v>18</v>
      </c>
      <c r="I149" s="1584"/>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5"/>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5"/>
      <c r="AD151" s="77"/>
      <c r="AE151" s="77"/>
      <c r="AF151" s="77"/>
      <c r="AG151" s="77"/>
      <c r="AH151" s="77"/>
      <c r="AI151" s="53" t="s">
        <v>1896</v>
      </c>
      <c r="AJ151" s="1018">
        <f>VLOOKUP(H149,AO140:AP142,2,FALSE)</f>
        <v>3</v>
      </c>
      <c r="AK151" s="1021"/>
      <c r="AL151" s="401"/>
      <c r="AN151" s="243"/>
    </row>
    <row r="152" spans="1:42" s="4" customFormat="1" ht="12.75" customHeight="1">
      <c r="B152" s="37"/>
      <c r="C152" s="38"/>
      <c r="AN152" s="243"/>
    </row>
    <row r="153" spans="1:42" s="4" customFormat="1" ht="12.75" customHeight="1">
      <c r="C153" s="3" t="s">
        <v>1897</v>
      </c>
      <c r="AN153" s="243"/>
    </row>
    <row r="154" spans="1:42" s="4" customFormat="1" ht="12.75" customHeight="1">
      <c r="C154" s="3"/>
      <c r="D154" s="231" t="s">
        <v>1898</v>
      </c>
      <c r="AN154" s="243"/>
    </row>
    <row r="155" spans="1:42" s="4" customFormat="1" ht="12.75" customHeight="1">
      <c r="C155" s="3"/>
      <c r="AN155" s="243"/>
    </row>
    <row r="156" spans="1:42" s="4" customFormat="1" ht="12.75" customHeight="1">
      <c r="C156" s="3"/>
      <c r="D156" s="25" t="s">
        <v>18</v>
      </c>
      <c r="E156" s="1547" t="s">
        <v>1899</v>
      </c>
      <c r="F156" s="1547"/>
      <c r="G156" s="1547"/>
      <c r="H156" s="1547"/>
      <c r="I156" s="1547"/>
      <c r="J156" s="1547"/>
      <c r="K156" s="1547"/>
      <c r="L156" s="1547"/>
      <c r="M156" s="1547"/>
      <c r="N156" s="1547"/>
      <c r="O156" s="1547"/>
      <c r="P156" s="1547"/>
      <c r="Q156" s="1547"/>
      <c r="R156" s="1547"/>
      <c r="S156" s="1547"/>
      <c r="T156" s="1547"/>
      <c r="U156" s="1547"/>
      <c r="V156" s="1547"/>
      <c r="W156" s="1547"/>
      <c r="X156" s="1547"/>
      <c r="Y156" s="1547"/>
      <c r="Z156" s="1547"/>
      <c r="AA156" s="1547"/>
      <c r="AB156" s="1547"/>
      <c r="AC156" s="1547"/>
      <c r="AE156" s="282"/>
      <c r="AF156" s="1057" t="s">
        <v>1863</v>
      </c>
      <c r="AG156" s="1057"/>
      <c r="AH156" s="1057"/>
      <c r="AI156" s="1057"/>
      <c r="AJ156" s="1057"/>
      <c r="AK156" s="1057"/>
      <c r="AL156" s="1057"/>
      <c r="AN156" s="243"/>
    </row>
    <row r="157" spans="1:42" s="4" customFormat="1" ht="12.75" customHeight="1">
      <c r="C157" s="3"/>
      <c r="E157" s="1547"/>
      <c r="F157" s="1547"/>
      <c r="G157" s="1547"/>
      <c r="H157" s="1547"/>
      <c r="I157" s="1547"/>
      <c r="J157" s="1547"/>
      <c r="K157" s="1547"/>
      <c r="L157" s="1547"/>
      <c r="M157" s="1547"/>
      <c r="N157" s="1547"/>
      <c r="O157" s="1547"/>
      <c r="P157" s="1547"/>
      <c r="Q157" s="1547"/>
      <c r="R157" s="1547"/>
      <c r="S157" s="1547"/>
      <c r="T157" s="1547"/>
      <c r="U157" s="1547"/>
      <c r="V157" s="1547"/>
      <c r="W157" s="1547"/>
      <c r="X157" s="1547"/>
      <c r="Y157" s="1547"/>
      <c r="Z157" s="1547"/>
      <c r="AA157" s="1547"/>
      <c r="AB157" s="1547"/>
      <c r="AC157" s="1547"/>
      <c r="AE157" s="282"/>
      <c r="AF157" s="282"/>
      <c r="AG157" s="282"/>
      <c r="AH157" s="282"/>
      <c r="AI157" s="282"/>
      <c r="AJ157" s="282"/>
      <c r="AK157" s="282"/>
      <c r="AL157" s="282"/>
      <c r="AN157" s="243"/>
    </row>
    <row r="158" spans="1:42" s="4" customFormat="1" ht="12.75" customHeight="1">
      <c r="C158" s="3"/>
      <c r="D158" s="25"/>
      <c r="E158" s="1547"/>
      <c r="F158" s="1547"/>
      <c r="G158" s="1547"/>
      <c r="H158" s="1547"/>
      <c r="I158" s="1547"/>
      <c r="J158" s="1547"/>
      <c r="K158" s="1547"/>
      <c r="L158" s="1547"/>
      <c r="M158" s="1547"/>
      <c r="N158" s="1547"/>
      <c r="O158" s="1547"/>
      <c r="P158" s="1547"/>
      <c r="Q158" s="1547"/>
      <c r="R158" s="1547"/>
      <c r="S158" s="1547"/>
      <c r="T158" s="1547"/>
      <c r="U158" s="1547"/>
      <c r="V158" s="1547"/>
      <c r="W158" s="1547"/>
      <c r="X158" s="1547"/>
      <c r="Y158" s="1547"/>
      <c r="Z158" s="1547"/>
      <c r="AA158" s="1547"/>
      <c r="AB158" s="1547"/>
      <c r="AC158" s="1547"/>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47" t="s">
        <v>1900</v>
      </c>
      <c r="F160" s="1547"/>
      <c r="G160" s="1547"/>
      <c r="H160" s="1547"/>
      <c r="I160" s="1547"/>
      <c r="J160" s="1547"/>
      <c r="K160" s="1547"/>
      <c r="L160" s="1547"/>
      <c r="M160" s="1547"/>
      <c r="N160" s="1547"/>
      <c r="O160" s="1547"/>
      <c r="P160" s="1547"/>
      <c r="Q160" s="1547"/>
      <c r="R160" s="1547"/>
      <c r="S160" s="1547"/>
      <c r="T160" s="1547"/>
      <c r="U160" s="1547"/>
      <c r="V160" s="1547"/>
      <c r="W160" s="1547"/>
      <c r="X160" s="1547"/>
      <c r="Y160" s="1547"/>
      <c r="Z160" s="1547"/>
      <c r="AA160" s="1547"/>
      <c r="AB160" s="1547"/>
      <c r="AC160" s="1547"/>
      <c r="AE160" s="282"/>
      <c r="AF160" s="1057" t="s">
        <v>1869</v>
      </c>
      <c r="AG160" s="1057"/>
      <c r="AH160" s="1057"/>
      <c r="AI160" s="1057"/>
      <c r="AJ160" s="1057"/>
      <c r="AK160" s="1057"/>
      <c r="AL160" s="1057"/>
      <c r="AN160" s="243"/>
    </row>
    <row r="161" spans="1:42" s="4" customFormat="1" ht="12.75" customHeight="1">
      <c r="C161" s="3"/>
      <c r="E161" s="1547"/>
      <c r="F161" s="1547"/>
      <c r="G161" s="1547"/>
      <c r="H161" s="1547"/>
      <c r="I161" s="1547"/>
      <c r="J161" s="1547"/>
      <c r="K161" s="1547"/>
      <c r="L161" s="1547"/>
      <c r="M161" s="1547"/>
      <c r="N161" s="1547"/>
      <c r="O161" s="1547"/>
      <c r="P161" s="1547"/>
      <c r="Q161" s="1547"/>
      <c r="R161" s="1547"/>
      <c r="S161" s="1547"/>
      <c r="T161" s="1547"/>
      <c r="U161" s="1547"/>
      <c r="V161" s="1547"/>
      <c r="W161" s="1547"/>
      <c r="X161" s="1547"/>
      <c r="Y161" s="1547"/>
      <c r="Z161" s="1547"/>
      <c r="AA161" s="1547"/>
      <c r="AB161" s="1547"/>
      <c r="AC161" s="1547"/>
      <c r="AE161" s="282"/>
      <c r="AF161" s="282"/>
      <c r="AG161" s="282"/>
      <c r="AH161" s="282"/>
      <c r="AI161" s="282"/>
      <c r="AJ161" s="282"/>
      <c r="AK161" s="282"/>
      <c r="AL161" s="282"/>
      <c r="AN161" s="243"/>
    </row>
    <row r="162" spans="1:42" s="4" customFormat="1" ht="15" customHeight="1">
      <c r="C162" s="3"/>
      <c r="D162" s="25"/>
      <c r="E162" s="1547"/>
      <c r="F162" s="1547"/>
      <c r="G162" s="1547"/>
      <c r="H162" s="1547"/>
      <c r="I162" s="1547"/>
      <c r="J162" s="1547"/>
      <c r="K162" s="1547"/>
      <c r="L162" s="1547"/>
      <c r="M162" s="1547"/>
      <c r="N162" s="1547"/>
      <c r="O162" s="1547"/>
      <c r="P162" s="1547"/>
      <c r="Q162" s="1547"/>
      <c r="R162" s="1547"/>
      <c r="S162" s="1547"/>
      <c r="T162" s="1547"/>
      <c r="U162" s="1547"/>
      <c r="V162" s="1547"/>
      <c r="W162" s="1547"/>
      <c r="X162" s="1547"/>
      <c r="Y162" s="1547"/>
      <c r="Z162" s="1547"/>
      <c r="AA162" s="1547"/>
      <c r="AB162" s="1547"/>
      <c r="AC162" s="1547"/>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47" t="s">
        <v>1901</v>
      </c>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E164" s="282"/>
      <c r="AF164" s="1057" t="s">
        <v>1826</v>
      </c>
      <c r="AG164" s="1057"/>
      <c r="AH164" s="1057"/>
      <c r="AI164" s="1057"/>
      <c r="AJ164" s="1057"/>
      <c r="AK164" s="1057"/>
      <c r="AL164" s="1057"/>
      <c r="AN164" s="243"/>
    </row>
    <row r="165" spans="1:42" s="4" customFormat="1" ht="12.75" customHeight="1">
      <c r="B165" s="37"/>
      <c r="C165" s="38"/>
      <c r="E165" s="1547"/>
      <c r="F165" s="1547"/>
      <c r="G165" s="1547"/>
      <c r="H165" s="1547"/>
      <c r="I165" s="1547"/>
      <c r="J165" s="1547"/>
      <c r="K165" s="1547"/>
      <c r="L165" s="1547"/>
      <c r="M165" s="1547"/>
      <c r="N165" s="1547"/>
      <c r="O165" s="1547"/>
      <c r="P165" s="1547"/>
      <c r="Q165" s="1547"/>
      <c r="R165" s="1547"/>
      <c r="S165" s="1547"/>
      <c r="T165" s="1547"/>
      <c r="U165" s="1547"/>
      <c r="V165" s="1547"/>
      <c r="W165" s="1547"/>
      <c r="X165" s="1547"/>
      <c r="Y165" s="1547"/>
      <c r="Z165" s="1547"/>
      <c r="AA165" s="1547"/>
      <c r="AB165" s="1547"/>
      <c r="AC165" s="1547"/>
      <c r="AE165" s="1057"/>
      <c r="AF165" s="1057"/>
      <c r="AG165" s="1057"/>
      <c r="AH165" s="1057"/>
      <c r="AI165" s="1057"/>
      <c r="AJ165" s="1057"/>
      <c r="AK165" s="1057"/>
      <c r="AL165" s="849"/>
      <c r="AN165" s="243"/>
    </row>
    <row r="166" spans="1:42" s="4" customFormat="1" ht="12.75" customHeight="1">
      <c r="A166" s="99"/>
      <c r="D166" s="25"/>
      <c r="E166" s="1547"/>
      <c r="F166" s="1547"/>
      <c r="G166" s="1547"/>
      <c r="H166" s="1547"/>
      <c r="I166" s="1547"/>
      <c r="J166" s="1547"/>
      <c r="K166" s="1547"/>
      <c r="L166" s="1547"/>
      <c r="M166" s="1547"/>
      <c r="N166" s="1547"/>
      <c r="O166" s="1547"/>
      <c r="P166" s="1547"/>
      <c r="Q166" s="1547"/>
      <c r="R166" s="1547"/>
      <c r="S166" s="1547"/>
      <c r="T166" s="1547"/>
      <c r="U166" s="1547"/>
      <c r="V166" s="1547"/>
      <c r="W166" s="1547"/>
      <c r="X166" s="1547"/>
      <c r="Y166" s="1547"/>
      <c r="Z166" s="1547"/>
      <c r="AA166" s="1547"/>
      <c r="AB166" s="1547"/>
      <c r="AC166" s="1547"/>
      <c r="AE166" s="282"/>
      <c r="AF166" s="860"/>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1864</v>
      </c>
      <c r="E168" s="1547" t="s">
        <v>1902</v>
      </c>
      <c r="F168" s="1547"/>
      <c r="G168" s="1547"/>
      <c r="H168" s="1547"/>
      <c r="I168" s="1547"/>
      <c r="J168" s="1547"/>
      <c r="K168" s="1547"/>
      <c r="L168" s="1547"/>
      <c r="M168" s="1547"/>
      <c r="N168" s="1547"/>
      <c r="O168" s="1547"/>
      <c r="P168" s="1547"/>
      <c r="Q168" s="1547"/>
      <c r="R168" s="1547"/>
      <c r="S168" s="1547"/>
      <c r="T168" s="1547"/>
      <c r="U168" s="1547"/>
      <c r="V168" s="1547"/>
      <c r="W168" s="1547"/>
      <c r="X168" s="1547"/>
      <c r="Y168" s="1547"/>
      <c r="Z168" s="1547"/>
      <c r="AA168" s="1547"/>
      <c r="AB168" s="1547"/>
      <c r="AC168" s="1547"/>
      <c r="AE168" s="282"/>
      <c r="AF168" s="1057" t="s">
        <v>1869</v>
      </c>
      <c r="AG168" s="1057"/>
      <c r="AH168" s="1057"/>
      <c r="AI168" s="1057"/>
      <c r="AJ168" s="1057"/>
      <c r="AK168" s="1057"/>
      <c r="AL168" s="1057"/>
      <c r="AN168" s="243"/>
    </row>
    <row r="169" spans="1:42" s="4" customFormat="1" ht="12.75" customHeight="1">
      <c r="A169" s="90"/>
      <c r="B169" s="37"/>
      <c r="C169" s="105"/>
      <c r="D169" s="25"/>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E169" s="849"/>
      <c r="AF169" s="849"/>
      <c r="AG169" s="849"/>
      <c r="AH169" s="849"/>
      <c r="AI169" s="849"/>
      <c r="AJ169" s="849"/>
      <c r="AK169" s="849"/>
      <c r="AL169" s="849"/>
      <c r="AM169" s="20"/>
      <c r="AN169" s="243"/>
      <c r="AO169" s="4" t="s">
        <v>325</v>
      </c>
      <c r="AP169" s="384">
        <v>0</v>
      </c>
    </row>
    <row r="170" spans="1:42" s="4" customFormat="1" ht="12.75" customHeight="1">
      <c r="A170" s="90"/>
      <c r="B170" s="37"/>
      <c r="C170" s="105"/>
      <c r="D170" s="25"/>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E170" s="849"/>
      <c r="AF170" s="849"/>
      <c r="AG170" s="849"/>
      <c r="AH170" s="849"/>
      <c r="AI170" s="849"/>
      <c r="AJ170" s="849"/>
      <c r="AK170" s="849"/>
      <c r="AL170" s="849"/>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49"/>
      <c r="AM171" s="20"/>
      <c r="AN171" s="243"/>
      <c r="AO171" s="25" t="s">
        <v>23</v>
      </c>
      <c r="AP171" s="106">
        <v>4</v>
      </c>
    </row>
    <row r="172" spans="1:42" s="4" customFormat="1" ht="12.75" customHeight="1">
      <c r="B172" s="37"/>
      <c r="C172" s="38"/>
      <c r="D172" s="25" t="s">
        <v>1866</v>
      </c>
      <c r="E172" s="1547" t="s">
        <v>1903</v>
      </c>
      <c r="F172" s="1547"/>
      <c r="G172" s="1547"/>
      <c r="H172" s="1547"/>
      <c r="I172" s="1547"/>
      <c r="J172" s="1547"/>
      <c r="K172" s="1547"/>
      <c r="L172" s="1547"/>
      <c r="M172" s="1547"/>
      <c r="N172" s="1547"/>
      <c r="O172" s="1547"/>
      <c r="P172" s="1547"/>
      <c r="Q172" s="1547"/>
      <c r="R172" s="1547"/>
      <c r="S172" s="1547"/>
      <c r="T172" s="1547"/>
      <c r="U172" s="1547"/>
      <c r="V172" s="1547"/>
      <c r="W172" s="1547"/>
      <c r="X172" s="1547"/>
      <c r="Y172" s="1547"/>
      <c r="Z172" s="1547"/>
      <c r="AA172" s="1547"/>
      <c r="AB172" s="1547"/>
      <c r="AC172" s="1547"/>
      <c r="AE172" s="282"/>
      <c r="AF172" s="1057" t="s">
        <v>1826</v>
      </c>
      <c r="AG172" s="1057"/>
      <c r="AH172" s="1057"/>
      <c r="AI172" s="1057"/>
      <c r="AJ172" s="1057"/>
      <c r="AK172" s="1057"/>
      <c r="AL172" s="1057"/>
      <c r="AM172" s="20"/>
      <c r="AN172" s="243"/>
      <c r="AO172" s="25" t="s">
        <v>43</v>
      </c>
      <c r="AP172" s="4">
        <v>3</v>
      </c>
    </row>
    <row r="173" spans="1:42" s="4" customFormat="1" ht="12.75" customHeight="1">
      <c r="B173" s="37"/>
      <c r="C173" s="38"/>
      <c r="D173" s="25"/>
      <c r="E173" s="1547"/>
      <c r="F173" s="1547"/>
      <c r="G173" s="1547"/>
      <c r="H173" s="1547"/>
      <c r="I173" s="1547"/>
      <c r="J173" s="1547"/>
      <c r="K173" s="1547"/>
      <c r="L173" s="1547"/>
      <c r="M173" s="1547"/>
      <c r="N173" s="1547"/>
      <c r="O173" s="1547"/>
      <c r="P173" s="1547"/>
      <c r="Q173" s="1547"/>
      <c r="R173" s="1547"/>
      <c r="S173" s="1547"/>
      <c r="T173" s="1547"/>
      <c r="U173" s="1547"/>
      <c r="V173" s="1547"/>
      <c r="W173" s="1547"/>
      <c r="X173" s="1547"/>
      <c r="Y173" s="1547"/>
      <c r="Z173" s="1547"/>
      <c r="AA173" s="1547"/>
      <c r="AB173" s="1547"/>
      <c r="AC173" s="1547"/>
      <c r="AE173" s="282"/>
      <c r="AF173" s="860"/>
      <c r="AG173" s="282"/>
      <c r="AH173" s="282"/>
      <c r="AI173" s="282"/>
      <c r="AJ173" s="282"/>
      <c r="AK173" s="282"/>
      <c r="AL173" s="282"/>
      <c r="AM173" s="20"/>
      <c r="AN173" s="243"/>
      <c r="AO173" s="25" t="s">
        <v>1864</v>
      </c>
      <c r="AP173" s="106">
        <v>4</v>
      </c>
    </row>
    <row r="174" spans="1:42" s="4" customFormat="1" ht="12.75" customHeight="1">
      <c r="B174" s="37"/>
      <c r="C174" s="38"/>
      <c r="D174" s="25"/>
      <c r="E174" s="1547"/>
      <c r="F174" s="1547"/>
      <c r="G174" s="1547"/>
      <c r="H174" s="1547"/>
      <c r="I174" s="1547"/>
      <c r="J174" s="1547"/>
      <c r="K174" s="1547"/>
      <c r="L174" s="1547"/>
      <c r="M174" s="1547"/>
      <c r="N174" s="1547"/>
      <c r="O174" s="1547"/>
      <c r="P174" s="1547"/>
      <c r="Q174" s="1547"/>
      <c r="R174" s="1547"/>
      <c r="S174" s="1547"/>
      <c r="T174" s="1547"/>
      <c r="U174" s="1547"/>
      <c r="V174" s="1547"/>
      <c r="W174" s="1547"/>
      <c r="X174" s="1547"/>
      <c r="Y174" s="1547"/>
      <c r="Z174" s="1547"/>
      <c r="AA174" s="1547"/>
      <c r="AB174" s="1547"/>
      <c r="AC174" s="1547"/>
      <c r="AE174" s="282"/>
      <c r="AF174" s="860"/>
      <c r="AG174" s="282"/>
      <c r="AH174" s="282"/>
      <c r="AI174" s="282"/>
      <c r="AJ174" s="282"/>
      <c r="AK174" s="282"/>
      <c r="AL174" s="282"/>
      <c r="AM174" s="20"/>
      <c r="AN174" s="243"/>
      <c r="AO174" s="25" t="s">
        <v>1866</v>
      </c>
      <c r="AP174" s="4">
        <v>3</v>
      </c>
    </row>
    <row r="175" spans="1:42" s="4" customFormat="1" ht="12.75" customHeight="1">
      <c r="B175" s="37"/>
      <c r="C175" s="38"/>
      <c r="D175" s="25"/>
      <c r="AE175" s="282"/>
      <c r="AF175" s="282"/>
      <c r="AG175" s="282"/>
      <c r="AH175" s="282"/>
      <c r="AI175" s="282"/>
      <c r="AJ175" s="282"/>
      <c r="AK175" s="282"/>
      <c r="AL175" s="282"/>
      <c r="AM175" s="20"/>
      <c r="AN175" s="243"/>
      <c r="AO175" s="25" t="s">
        <v>1904</v>
      </c>
      <c r="AP175" s="4">
        <v>2</v>
      </c>
    </row>
    <row r="176" spans="1:42" s="4" customFormat="1" ht="12.75" customHeight="1">
      <c r="A176" s="99"/>
      <c r="B176" s="37"/>
      <c r="C176" s="38"/>
      <c r="D176" s="25" t="s">
        <v>1904</v>
      </c>
      <c r="E176" s="1547" t="s">
        <v>1905</v>
      </c>
      <c r="F176" s="1547"/>
      <c r="G176" s="1547"/>
      <c r="H176" s="1547"/>
      <c r="I176" s="1547"/>
      <c r="J176" s="1547"/>
      <c r="K176" s="1547"/>
      <c r="L176" s="1547"/>
      <c r="M176" s="1547"/>
      <c r="N176" s="1547"/>
      <c r="O176" s="1547"/>
      <c r="P176" s="1547"/>
      <c r="Q176" s="1547"/>
      <c r="R176" s="1547"/>
      <c r="S176" s="1547"/>
      <c r="T176" s="1547"/>
      <c r="U176" s="1547"/>
      <c r="V176" s="1547"/>
      <c r="W176" s="1547"/>
      <c r="X176" s="1547"/>
      <c r="Y176" s="1547"/>
      <c r="Z176" s="1547"/>
      <c r="AA176" s="1547"/>
      <c r="AB176" s="1547"/>
      <c r="AC176" s="1547"/>
      <c r="AE176" s="282"/>
      <c r="AF176" s="1057" t="s">
        <v>1889</v>
      </c>
      <c r="AG176" s="1057"/>
      <c r="AH176" s="1057"/>
      <c r="AI176" s="1057"/>
      <c r="AJ176" s="1057"/>
      <c r="AK176" s="1057"/>
      <c r="AL176" s="1057"/>
      <c r="AM176" s="20"/>
      <c r="AN176" s="243"/>
      <c r="AO176" s="25" t="s">
        <v>1906</v>
      </c>
      <c r="AP176" s="4">
        <v>1</v>
      </c>
    </row>
    <row r="177" spans="1:61" s="4" customFormat="1" ht="23.1" customHeight="1">
      <c r="A177" s="99"/>
      <c r="B177" s="37"/>
      <c r="C177" s="38"/>
      <c r="D177" s="25"/>
      <c r="E177" s="1547"/>
      <c r="F177" s="1547"/>
      <c r="G177" s="1547"/>
      <c r="H177" s="1547"/>
      <c r="I177" s="1547"/>
      <c r="J177" s="1547"/>
      <c r="K177" s="1547"/>
      <c r="L177" s="1547"/>
      <c r="M177" s="1547"/>
      <c r="N177" s="1547"/>
      <c r="O177" s="1547"/>
      <c r="P177" s="1547"/>
      <c r="Q177" s="1547"/>
      <c r="R177" s="1547"/>
      <c r="S177" s="1547"/>
      <c r="T177" s="1547"/>
      <c r="U177" s="1547"/>
      <c r="V177" s="1547"/>
      <c r="W177" s="1547"/>
      <c r="X177" s="1547"/>
      <c r="Y177" s="1547"/>
      <c r="Z177" s="1547"/>
      <c r="AA177" s="1547"/>
      <c r="AB177" s="1547"/>
      <c r="AC177" s="1547"/>
      <c r="AE177" s="849"/>
      <c r="AF177" s="849"/>
      <c r="AG177" s="849"/>
      <c r="AH177" s="849"/>
      <c r="AI177" s="849"/>
      <c r="AJ177" s="849"/>
      <c r="AK177" s="849"/>
      <c r="AL177" s="849"/>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9"/>
      <c r="AF178" s="282"/>
      <c r="AG178" s="282"/>
      <c r="AH178" s="282"/>
      <c r="AI178" s="282"/>
      <c r="AJ178" s="282"/>
      <c r="AK178" s="282"/>
      <c r="AL178" s="282"/>
      <c r="AM178" s="20"/>
      <c r="AN178" s="243"/>
    </row>
    <row r="179" spans="1:61" s="4" customFormat="1" ht="12.75" customHeight="1">
      <c r="A179" s="99"/>
      <c r="B179" s="37"/>
      <c r="C179" s="38"/>
      <c r="D179" s="25" t="s">
        <v>1906</v>
      </c>
      <c r="E179" s="1547" t="s">
        <v>1907</v>
      </c>
      <c r="F179" s="1547"/>
      <c r="G179" s="1547"/>
      <c r="H179" s="1547"/>
      <c r="I179" s="1547"/>
      <c r="J179" s="1547"/>
      <c r="K179" s="1547"/>
      <c r="L179" s="1547"/>
      <c r="M179" s="1547"/>
      <c r="N179" s="1547"/>
      <c r="O179" s="1547"/>
      <c r="P179" s="1547"/>
      <c r="Q179" s="1547"/>
      <c r="R179" s="1547"/>
      <c r="S179" s="1547"/>
      <c r="T179" s="1547"/>
      <c r="U179" s="1547"/>
      <c r="V179" s="1547"/>
      <c r="W179" s="1547"/>
      <c r="X179" s="1547"/>
      <c r="Y179" s="1547"/>
      <c r="Z179" s="1547"/>
      <c r="AA179" s="1547"/>
      <c r="AB179" s="1547"/>
      <c r="AC179" s="1547"/>
      <c r="AE179" s="282"/>
      <c r="AF179" s="1057" t="s">
        <v>1908</v>
      </c>
      <c r="AG179" s="1057"/>
      <c r="AH179" s="1057"/>
      <c r="AI179" s="1057"/>
      <c r="AJ179" s="1057"/>
      <c r="AK179" s="1057"/>
      <c r="AL179" s="1057"/>
      <c r="AM179" s="20"/>
      <c r="AN179" s="243"/>
    </row>
    <row r="180" spans="1:61" s="4" customFormat="1" ht="23.1" customHeight="1">
      <c r="A180" s="99"/>
      <c r="B180" s="37"/>
      <c r="C180" s="38"/>
      <c r="D180" s="25"/>
      <c r="E180" s="1547"/>
      <c r="F180" s="1547"/>
      <c r="G180" s="1547"/>
      <c r="H180" s="1547"/>
      <c r="I180" s="1547"/>
      <c r="J180" s="1547"/>
      <c r="K180" s="1547"/>
      <c r="L180" s="1547"/>
      <c r="M180" s="1547"/>
      <c r="N180" s="1547"/>
      <c r="O180" s="1547"/>
      <c r="P180" s="1547"/>
      <c r="Q180" s="1547"/>
      <c r="R180" s="1547"/>
      <c r="S180" s="1547"/>
      <c r="T180" s="1547"/>
      <c r="U180" s="1547"/>
      <c r="V180" s="1547"/>
      <c r="W180" s="1547"/>
      <c r="X180" s="1547"/>
      <c r="Y180" s="1547"/>
      <c r="Z180" s="1547"/>
      <c r="AA180" s="1547"/>
      <c r="AB180" s="1547"/>
      <c r="AC180" s="1547"/>
      <c r="AE180" s="849"/>
      <c r="AF180" s="849"/>
      <c r="AG180" s="849"/>
      <c r="AH180" s="849"/>
      <c r="AI180" s="849"/>
      <c r="AJ180" s="849"/>
      <c r="AK180" s="849"/>
      <c r="AL180" s="849"/>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1876</v>
      </c>
      <c r="E182" s="95"/>
      <c r="F182" s="95"/>
      <c r="G182" s="95"/>
      <c r="H182" s="1584" t="s">
        <v>18</v>
      </c>
      <c r="I182" s="1584"/>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5"/>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5"/>
      <c r="AD184" s="77"/>
      <c r="AE184" s="77"/>
      <c r="AF184" s="77"/>
      <c r="AG184" s="77"/>
      <c r="AH184" s="77"/>
      <c r="AI184" s="53" t="s">
        <v>1909</v>
      </c>
      <c r="AJ184" s="1018">
        <f>VLOOKUP($H$182,$AO$169:$AP$176,2,FALSE)</f>
        <v>5</v>
      </c>
      <c r="AK184" s="1021"/>
      <c r="AL184" s="401"/>
      <c r="AN184" s="243"/>
      <c r="AU184" s="840"/>
      <c r="AV184" s="847"/>
      <c r="AW184" s="847"/>
      <c r="AX184" s="847"/>
      <c r="AY184" s="847"/>
      <c r="AZ184" s="847"/>
      <c r="BA184" s="847"/>
      <c r="BB184" s="847"/>
      <c r="BC184" s="847"/>
      <c r="BD184" s="847"/>
      <c r="BE184" s="847"/>
      <c r="BF184" s="847"/>
      <c r="BG184" s="847"/>
      <c r="BH184" s="847"/>
      <c r="BI184" s="848"/>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47"/>
      <c r="AV185" s="847"/>
      <c r="AW185" s="847"/>
      <c r="AX185" s="847"/>
      <c r="AY185" s="847"/>
      <c r="AZ185" s="847"/>
      <c r="BA185" s="847"/>
      <c r="BB185" s="847"/>
      <c r="BC185" s="847"/>
      <c r="BD185" s="847"/>
      <c r="BE185" s="847"/>
      <c r="BF185" s="847"/>
      <c r="BG185" s="847"/>
      <c r="BH185" s="847"/>
      <c r="BI185" s="848"/>
    </row>
    <row r="186" spans="1:61" s="4" customFormat="1" ht="12.75" customHeight="1">
      <c r="A186" s="99"/>
      <c r="C186" s="3" t="s">
        <v>1910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774" t="s">
        <v>1911</v>
      </c>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D188" s="37"/>
      <c r="AF188" s="1083" t="s">
        <v>1826</v>
      </c>
      <c r="AG188" s="1083"/>
      <c r="AH188" s="1083"/>
      <c r="AI188" s="1083"/>
      <c r="AJ188" s="1083"/>
      <c r="AK188" s="1083"/>
      <c r="AL188" s="1083"/>
      <c r="AN188" s="243"/>
    </row>
    <row r="189" spans="1:61" s="4" customFormat="1" ht="12.75" customHeight="1">
      <c r="A189" s="99"/>
      <c r="B189" s="37"/>
      <c r="C189" s="109"/>
      <c r="D189" s="25"/>
      <c r="E189" s="1774"/>
      <c r="F189" s="1774"/>
      <c r="G189" s="1774"/>
      <c r="H189" s="1774"/>
      <c r="I189" s="1774"/>
      <c r="J189" s="1774"/>
      <c r="K189" s="1774"/>
      <c r="L189" s="1774"/>
      <c r="M189" s="1774"/>
      <c r="N189" s="1774"/>
      <c r="O189" s="1774"/>
      <c r="P189" s="1774"/>
      <c r="Q189" s="1774"/>
      <c r="R189" s="1774"/>
      <c r="S189" s="1774"/>
      <c r="T189" s="1774"/>
      <c r="U189" s="1774"/>
      <c r="V189" s="1774"/>
      <c r="W189" s="1774"/>
      <c r="X189" s="1774"/>
      <c r="Y189" s="1774"/>
      <c r="Z189" s="1774"/>
      <c r="AA189" s="1774"/>
      <c r="AB189" s="1774"/>
      <c r="AD189" s="37"/>
      <c r="AF189" s="1083"/>
      <c r="AG189" s="1083"/>
      <c r="AH189" s="1083"/>
      <c r="AI189" s="1083"/>
      <c r="AJ189" s="1083"/>
      <c r="AK189" s="1083"/>
      <c r="AL189" s="1083"/>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47" t="s">
        <v>1912</v>
      </c>
      <c r="F191" s="1547"/>
      <c r="G191" s="1547"/>
      <c r="H191" s="1547"/>
      <c r="I191" s="1547"/>
      <c r="J191" s="1547"/>
      <c r="K191" s="1547"/>
      <c r="L191" s="1547"/>
      <c r="M191" s="1547"/>
      <c r="N191" s="1547"/>
      <c r="O191" s="1547"/>
      <c r="P191" s="1547"/>
      <c r="Q191" s="1547"/>
      <c r="R191" s="1547"/>
      <c r="S191" s="1547"/>
      <c r="T191" s="1547"/>
      <c r="U191" s="1547"/>
      <c r="V191" s="1547"/>
      <c r="W191" s="1547"/>
      <c r="X191" s="1547"/>
      <c r="Y191" s="1547"/>
      <c r="Z191" s="1547"/>
      <c r="AA191" s="1547"/>
      <c r="AB191" s="1547"/>
      <c r="AF191" s="1057" t="s">
        <v>1826</v>
      </c>
      <c r="AG191" s="1057"/>
      <c r="AH191" s="1057"/>
      <c r="AI191" s="1057"/>
      <c r="AJ191" s="1057"/>
      <c r="AK191" s="1057"/>
      <c r="AL191" s="1057"/>
      <c r="AN191" s="243"/>
      <c r="AO191" s="25" t="s">
        <v>18</v>
      </c>
      <c r="AP191" s="4">
        <v>3</v>
      </c>
    </row>
    <row r="192" spans="1:61" s="4" customFormat="1" ht="12.75" customHeight="1">
      <c r="B192" s="37"/>
      <c r="C192" s="100"/>
      <c r="E192" s="1547"/>
      <c r="F192" s="1547"/>
      <c r="G192" s="1547"/>
      <c r="H192" s="1547"/>
      <c r="I192" s="1547"/>
      <c r="J192" s="1547"/>
      <c r="K192" s="1547"/>
      <c r="L192" s="1547"/>
      <c r="M192" s="1547"/>
      <c r="N192" s="1547"/>
      <c r="O192" s="1547"/>
      <c r="P192" s="1547"/>
      <c r="Q192" s="1547"/>
      <c r="R192" s="1547"/>
      <c r="S192" s="1547"/>
      <c r="T192" s="1547"/>
      <c r="U192" s="1547"/>
      <c r="V192" s="1547"/>
      <c r="W192" s="1547"/>
      <c r="X192" s="1547"/>
      <c r="Y192" s="1547"/>
      <c r="Z192" s="1547"/>
      <c r="AA192" s="1547"/>
      <c r="AB192" s="1547"/>
      <c r="AE192" s="19"/>
      <c r="AF192" s="1057"/>
      <c r="AG192" s="1057"/>
      <c r="AH192" s="1057"/>
      <c r="AI192" s="1057"/>
      <c r="AJ192" s="1057"/>
      <c r="AK192" s="1057"/>
      <c r="AL192" s="1057"/>
      <c r="AN192" s="243"/>
      <c r="AO192" s="25" t="s">
        <v>23</v>
      </c>
      <c r="AP192" s="25">
        <f>3*$AO$197</f>
        <v>0</v>
      </c>
    </row>
    <row r="193" spans="1:53" s="4" customFormat="1" ht="12.75" customHeight="1">
      <c r="B193" s="37"/>
      <c r="C193" s="100"/>
      <c r="E193" s="1547"/>
      <c r="F193" s="1547"/>
      <c r="G193" s="1547"/>
      <c r="H193" s="1547"/>
      <c r="I193" s="1547"/>
      <c r="J193" s="1547"/>
      <c r="K193" s="1547"/>
      <c r="L193" s="1547"/>
      <c r="M193" s="1547"/>
      <c r="N193" s="1547"/>
      <c r="O193" s="1547"/>
      <c r="P193" s="1547"/>
      <c r="Q193" s="1547"/>
      <c r="R193" s="1547"/>
      <c r="S193" s="1547"/>
      <c r="T193" s="1547"/>
      <c r="U193" s="1547"/>
      <c r="V193" s="1547"/>
      <c r="W193" s="1547"/>
      <c r="X193" s="1547"/>
      <c r="Y193" s="1547"/>
      <c r="Z193" s="1547"/>
      <c r="AA193" s="1547"/>
      <c r="AB193" s="1547"/>
      <c r="AE193" s="19"/>
      <c r="AF193" s="266"/>
      <c r="AG193" s="19"/>
      <c r="AH193" s="19"/>
      <c r="AI193" s="19"/>
      <c r="AJ193" s="19"/>
      <c r="AK193" s="19"/>
      <c r="AL193" s="19"/>
      <c r="AN193" s="243"/>
      <c r="AO193" s="4" t="s">
        <v>43</v>
      </c>
      <c r="AP193" s="25">
        <f>2*$AO$197</f>
        <v>0</v>
      </c>
    </row>
    <row r="194" spans="1:53" s="4" customFormat="1" ht="6.75" customHeight="1">
      <c r="B194" s="37"/>
      <c r="C194" s="100"/>
      <c r="E194" s="1547"/>
      <c r="F194" s="1547"/>
      <c r="G194" s="1547"/>
      <c r="H194" s="1547"/>
      <c r="I194" s="1547"/>
      <c r="J194" s="1547"/>
      <c r="K194" s="1547"/>
      <c r="L194" s="1547"/>
      <c r="M194" s="1547"/>
      <c r="N194" s="1547"/>
      <c r="O194" s="1547"/>
      <c r="P194" s="1547"/>
      <c r="Q194" s="1547"/>
      <c r="R194" s="1547"/>
      <c r="S194" s="1547"/>
      <c r="T194" s="1547"/>
      <c r="U194" s="1547"/>
      <c r="V194" s="1547"/>
      <c r="W194" s="1547"/>
      <c r="X194" s="1547"/>
      <c r="Y194" s="1547"/>
      <c r="Z194" s="1547"/>
      <c r="AA194" s="1547"/>
      <c r="AB194" s="1547"/>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47" t="s">
        <v>1913</v>
      </c>
      <c r="F196" s="1547"/>
      <c r="G196" s="1547"/>
      <c r="H196" s="1547"/>
      <c r="I196" s="1547"/>
      <c r="J196" s="1547"/>
      <c r="K196" s="1547"/>
      <c r="L196" s="1547"/>
      <c r="M196" s="1547"/>
      <c r="N196" s="1547"/>
      <c r="O196" s="1547"/>
      <c r="P196" s="1547"/>
      <c r="Q196" s="1547"/>
      <c r="R196" s="1547"/>
      <c r="S196" s="1547"/>
      <c r="T196" s="1547"/>
      <c r="U196" s="1547"/>
      <c r="V196" s="1547"/>
      <c r="W196" s="1547"/>
      <c r="X196" s="1547"/>
      <c r="Y196" s="1547"/>
      <c r="Z196" s="1547"/>
      <c r="AA196" s="1547"/>
      <c r="AB196" s="1547"/>
      <c r="AF196" s="1057" t="s">
        <v>1889</v>
      </c>
      <c r="AG196" s="1057"/>
      <c r="AH196" s="1057"/>
      <c r="AI196" s="1057"/>
      <c r="AJ196" s="1057"/>
      <c r="AK196" s="1057"/>
      <c r="AL196" s="1057"/>
      <c r="AN196" s="243"/>
      <c r="AY196" s="4" t="s">
        <v>1914</v>
      </c>
      <c r="AZ196" s="842">
        <f>Application!AC215</f>
        <v>0</v>
      </c>
    </row>
    <row r="197" spans="1:53" s="4" customFormat="1" ht="12.75" customHeight="1">
      <c r="B197" s="37"/>
      <c r="C197" s="38"/>
      <c r="E197" s="1547"/>
      <c r="F197" s="1547"/>
      <c r="G197" s="1547"/>
      <c r="H197" s="1547"/>
      <c r="I197" s="1547"/>
      <c r="J197" s="1547"/>
      <c r="K197" s="1547"/>
      <c r="L197" s="1547"/>
      <c r="M197" s="1547"/>
      <c r="N197" s="1547"/>
      <c r="O197" s="1547"/>
      <c r="P197" s="1547"/>
      <c r="Q197" s="1547"/>
      <c r="R197" s="1547"/>
      <c r="S197" s="1547"/>
      <c r="T197" s="1547"/>
      <c r="U197" s="1547"/>
      <c r="V197" s="1547"/>
      <c r="W197" s="1547"/>
      <c r="X197" s="1547"/>
      <c r="Y197" s="1547"/>
      <c r="Z197" s="1547"/>
      <c r="AA197" s="1547"/>
      <c r="AB197" s="1547"/>
      <c r="AD197" s="37"/>
      <c r="AE197" s="19"/>
      <c r="AF197" s="1057"/>
      <c r="AG197" s="1057"/>
      <c r="AH197" s="1057"/>
      <c r="AI197" s="1057"/>
      <c r="AJ197" s="1057"/>
      <c r="AK197" s="1057"/>
      <c r="AL197" s="1057"/>
      <c r="AN197" s="243"/>
      <c r="AO197" s="106" t="b">
        <f>IF(OR(Application!D214="Special Needs",Application!D211="At-Risk and Special Needs"),IF(BA203&gt;=0.25,TRUE,FALSE),IF(AZ203&gt;=0.25,TRUE,FALSE))</f>
        <v>0</v>
      </c>
      <c r="AY197" s="4" t="s">
        <v>1915</v>
      </c>
      <c r="AZ197" s="842">
        <f>Application!G730</f>
        <v>22</v>
      </c>
    </row>
    <row r="198" spans="1:53" s="4" customFormat="1" ht="12.75" customHeight="1">
      <c r="B198" s="37"/>
      <c r="C198" s="38"/>
      <c r="E198" s="1547"/>
      <c r="F198" s="1547"/>
      <c r="G198" s="1547"/>
      <c r="H198" s="1547"/>
      <c r="I198" s="1547"/>
      <c r="J198" s="1547"/>
      <c r="K198" s="1547"/>
      <c r="L198" s="1547"/>
      <c r="M198" s="1547"/>
      <c r="N198" s="1547"/>
      <c r="O198" s="1547"/>
      <c r="P198" s="1547"/>
      <c r="Q198" s="1547"/>
      <c r="R198" s="1547"/>
      <c r="S198" s="1547"/>
      <c r="T198" s="1547"/>
      <c r="U198" s="1547"/>
      <c r="V198" s="1547"/>
      <c r="W198" s="1547"/>
      <c r="X198" s="1547"/>
      <c r="Y198" s="1547"/>
      <c r="Z198" s="1547"/>
      <c r="AA198" s="1547"/>
      <c r="AB198" s="1547"/>
      <c r="AD198" s="37"/>
      <c r="AE198" s="19"/>
      <c r="AN198" s="243"/>
      <c r="AY198" s="4" t="s">
        <v>1916</v>
      </c>
      <c r="AZ198" s="4">
        <f>Application!CC626</f>
        <v>0</v>
      </c>
    </row>
    <row r="199" spans="1:53" customFormat="1" ht="12.75" customHeight="1">
      <c r="A199" s="4"/>
      <c r="B199" s="37"/>
      <c r="C199" s="38"/>
      <c r="D199" s="4"/>
      <c r="E199" s="1547"/>
      <c r="F199" s="1547"/>
      <c r="G199" s="1547"/>
      <c r="H199" s="1547"/>
      <c r="I199" s="1547"/>
      <c r="J199" s="1547"/>
      <c r="K199" s="1547"/>
      <c r="L199" s="1547"/>
      <c r="M199" s="1547"/>
      <c r="N199" s="1547"/>
      <c r="O199" s="1547"/>
      <c r="P199" s="1547"/>
      <c r="Q199" s="1547"/>
      <c r="R199" s="1547"/>
      <c r="S199" s="1547"/>
      <c r="T199" s="1547"/>
      <c r="U199" s="1547"/>
      <c r="V199" s="1547"/>
      <c r="W199" s="1547"/>
      <c r="X199" s="1547"/>
      <c r="Y199" s="1547"/>
      <c r="Z199" s="1547"/>
      <c r="AA199" s="1547"/>
      <c r="AB199" s="1547"/>
      <c r="AC199" s="4"/>
      <c r="AD199" s="37"/>
      <c r="AE199" s="19"/>
      <c r="AF199" s="19"/>
      <c r="AG199" s="19"/>
      <c r="AH199" s="19"/>
      <c r="AI199" s="19"/>
      <c r="AJ199" s="4"/>
      <c r="AK199" s="4"/>
      <c r="AL199" s="4"/>
      <c r="AM199" s="4"/>
      <c r="AN199" s="175"/>
      <c r="AY199" s="4" t="s">
        <v>1917</v>
      </c>
      <c r="AZ199">
        <f>Application!CH626</f>
        <v>0</v>
      </c>
    </row>
    <row r="200" spans="1:53" customFormat="1" ht="5.2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594" t="s">
        <v>1918</v>
      </c>
      <c r="F201" s="1594"/>
      <c r="G201" s="1594"/>
      <c r="H201" s="1594"/>
      <c r="I201" s="1594"/>
      <c r="J201" s="1594"/>
      <c r="K201" s="1594"/>
      <c r="L201" s="1594"/>
      <c r="M201" s="1594"/>
      <c r="N201" s="1594"/>
      <c r="O201" s="1594"/>
      <c r="P201" s="1594"/>
      <c r="Q201" s="1594"/>
      <c r="R201" s="1594"/>
      <c r="S201" s="1594"/>
      <c r="T201" s="1594"/>
      <c r="U201" s="1594"/>
      <c r="V201" s="1594"/>
      <c r="W201" s="1594"/>
      <c r="X201" s="1594"/>
      <c r="Y201" s="1594"/>
      <c r="Z201" s="1594"/>
      <c r="AA201" s="1594"/>
      <c r="AB201" s="1594"/>
      <c r="AC201" s="4"/>
      <c r="AD201" s="37"/>
      <c r="AE201" s="19"/>
      <c r="AF201" s="19"/>
      <c r="AG201" s="19"/>
      <c r="AH201" s="19"/>
      <c r="AI201" s="19"/>
      <c r="AJ201" s="4"/>
      <c r="AK201" s="4"/>
      <c r="AL201" s="4"/>
      <c r="AM201" s="4"/>
      <c r="AN201" s="175"/>
      <c r="AY201" s="4" t="s">
        <v>1919</v>
      </c>
      <c r="AZ201">
        <f>Application!CM626</f>
        <v>0</v>
      </c>
    </row>
    <row r="202" spans="1:53" customFormat="1" ht="12.75" customHeight="1">
      <c r="A202" s="4"/>
      <c r="B202" s="37"/>
      <c r="C202" s="38"/>
      <c r="D202" s="4"/>
      <c r="E202" s="1594"/>
      <c r="F202" s="1594"/>
      <c r="G202" s="1594"/>
      <c r="H202" s="1594"/>
      <c r="I202" s="1594"/>
      <c r="J202" s="1594"/>
      <c r="K202" s="1594"/>
      <c r="L202" s="1594"/>
      <c r="M202" s="1594"/>
      <c r="N202" s="1594"/>
      <c r="O202" s="1594"/>
      <c r="P202" s="1594"/>
      <c r="Q202" s="1594"/>
      <c r="R202" s="1594"/>
      <c r="S202" s="1594"/>
      <c r="T202" s="1594"/>
      <c r="U202" s="1594"/>
      <c r="V202" s="1594"/>
      <c r="W202" s="1594"/>
      <c r="X202" s="1594"/>
      <c r="Y202" s="1594"/>
      <c r="Z202" s="1594"/>
      <c r="AA202" s="1594"/>
      <c r="AB202" s="1594"/>
      <c r="AC202" s="4"/>
      <c r="AD202" s="37"/>
      <c r="AE202" s="19"/>
      <c r="AF202" s="19"/>
      <c r="AG202" s="19"/>
      <c r="AH202" s="19"/>
      <c r="AI202" s="19"/>
      <c r="AJ202" s="4"/>
      <c r="AK202" s="4"/>
      <c r="AL202" s="4"/>
      <c r="AM202" s="4"/>
      <c r="AN202" s="175"/>
      <c r="AY202" s="4" t="s">
        <v>1920</v>
      </c>
      <c r="AZ202">
        <f>AZ198+AZ199+AZ201</f>
        <v>0</v>
      </c>
    </row>
    <row r="203" spans="1:53" customFormat="1" ht="18" customHeight="1">
      <c r="A203" s="4"/>
      <c r="B203" s="37"/>
      <c r="C203" s="38"/>
      <c r="D203" s="4"/>
      <c r="E203" s="1594"/>
      <c r="F203" s="1594"/>
      <c r="G203" s="1594"/>
      <c r="H203" s="1594"/>
      <c r="I203" s="1594"/>
      <c r="J203" s="1594"/>
      <c r="K203" s="1594"/>
      <c r="L203" s="1594"/>
      <c r="M203" s="1594"/>
      <c r="N203" s="1594"/>
      <c r="O203" s="1594"/>
      <c r="P203" s="1594"/>
      <c r="Q203" s="1594"/>
      <c r="R203" s="1594"/>
      <c r="S203" s="1594"/>
      <c r="T203" s="1594"/>
      <c r="U203" s="1594"/>
      <c r="V203" s="1594"/>
      <c r="W203" s="1594"/>
      <c r="X203" s="1594"/>
      <c r="Y203" s="1594"/>
      <c r="Z203" s="1594"/>
      <c r="AA203" s="1594"/>
      <c r="AB203" s="1594"/>
      <c r="AC203" s="4"/>
      <c r="AD203" s="37"/>
      <c r="AE203" s="19"/>
      <c r="AF203" s="19"/>
      <c r="AG203" s="19"/>
      <c r="AH203" s="19"/>
      <c r="AI203" s="19"/>
      <c r="AJ203" s="4"/>
      <c r="AK203" s="4"/>
      <c r="AL203" s="4"/>
      <c r="AM203" s="4"/>
      <c r="AN203" s="175"/>
      <c r="AY203" s="4" t="s">
        <v>1921</v>
      </c>
      <c r="AZ203">
        <f>IFERROR(AZ202/AZ197,0)</f>
        <v>0</v>
      </c>
      <c r="BA203">
        <f>IFERROR(AZ202/(AZ197-AZ196),0)</f>
        <v>0</v>
      </c>
    </row>
    <row r="204" spans="1:53" customFormat="1" ht="12.75" customHeight="1">
      <c r="A204" s="4"/>
      <c r="B204" s="37"/>
      <c r="C204" s="38"/>
      <c r="D204" s="4" t="s">
        <v>1876</v>
      </c>
      <c r="E204" s="95"/>
      <c r="F204" s="95"/>
      <c r="G204" s="95"/>
      <c r="H204" s="1584" t="s">
        <v>325</v>
      </c>
      <c r="I204" s="1584"/>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5"/>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5"/>
      <c r="AD206" s="77"/>
      <c r="AE206" s="77"/>
      <c r="AF206" s="77"/>
      <c r="AG206" s="77"/>
      <c r="AH206" s="77"/>
      <c r="AI206" s="53" t="s">
        <v>1922</v>
      </c>
      <c r="AJ206" s="1018">
        <f>VLOOKUP($H$204,$AO$190:$AP$193,2,FALSE)</f>
        <v>0</v>
      </c>
      <c r="AK206" s="1021"/>
      <c r="AL206" s="401"/>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1923</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697" t="s">
        <v>1924</v>
      </c>
      <c r="F210" s="1697"/>
      <c r="G210" s="1697"/>
      <c r="H210" s="1697"/>
      <c r="I210" s="1697"/>
      <c r="J210" s="1697"/>
      <c r="K210" s="1697"/>
      <c r="L210" s="1697"/>
      <c r="M210" s="1697"/>
      <c r="N210" s="1697"/>
      <c r="O210" s="1697"/>
      <c r="P210" s="1697"/>
      <c r="Q210" s="1697"/>
      <c r="R210" s="1697"/>
      <c r="S210" s="1697"/>
      <c r="T210" s="1697"/>
      <c r="U210" s="1697"/>
      <c r="V210" s="1697"/>
      <c r="W210" s="1697"/>
      <c r="X210" s="1697"/>
      <c r="Y210" s="1697"/>
      <c r="Z210" s="1697"/>
      <c r="AA210" s="1697"/>
      <c r="AB210" s="1697"/>
      <c r="AC210" s="4"/>
      <c r="AD210" s="4"/>
      <c r="AF210" s="1593" t="s">
        <v>1826</v>
      </c>
      <c r="AG210" s="1593"/>
      <c r="AH210" s="1593"/>
      <c r="AI210" s="1593"/>
      <c r="AJ210" s="1593"/>
      <c r="AK210" s="1593"/>
      <c r="AL210" s="1593"/>
      <c r="AM210" s="4"/>
      <c r="AN210" s="175"/>
      <c r="AO210" s="4" t="s">
        <v>325</v>
      </c>
      <c r="AP210" s="384">
        <v>0</v>
      </c>
    </row>
    <row r="211" spans="1:52" customFormat="1" ht="12" customHeight="1">
      <c r="A211" s="4"/>
      <c r="B211" s="37"/>
      <c r="C211" s="94"/>
      <c r="D211" s="25"/>
      <c r="E211" s="1697"/>
      <c r="F211" s="1697"/>
      <c r="G211" s="1697"/>
      <c r="H211" s="1697"/>
      <c r="I211" s="1697"/>
      <c r="J211" s="1697"/>
      <c r="K211" s="1697"/>
      <c r="L211" s="1697"/>
      <c r="M211" s="1697"/>
      <c r="N211" s="1697"/>
      <c r="O211" s="1697"/>
      <c r="P211" s="1697"/>
      <c r="Q211" s="1697"/>
      <c r="R211" s="1697"/>
      <c r="S211" s="1697"/>
      <c r="T211" s="1697"/>
      <c r="U211" s="1697"/>
      <c r="V211" s="1697"/>
      <c r="W211" s="1697"/>
      <c r="X211" s="1697"/>
      <c r="Y211" s="1697"/>
      <c r="Z211" s="1697"/>
      <c r="AA211" s="1697"/>
      <c r="AB211" s="1697"/>
      <c r="AC211" s="4"/>
      <c r="AD211" s="4"/>
      <c r="AE211" s="4"/>
      <c r="AM211" s="4"/>
      <c r="AN211" s="175"/>
      <c r="AO211" s="25" t="s">
        <v>18</v>
      </c>
      <c r="AP211" s="4">
        <v>3</v>
      </c>
    </row>
    <row r="212" spans="1:52" customFormat="1" ht="14.1" customHeight="1">
      <c r="A212" s="4"/>
      <c r="B212" s="806"/>
      <c r="C212" s="38"/>
      <c r="D212" s="25"/>
      <c r="E212" s="1697"/>
      <c r="F212" s="1697"/>
      <c r="G212" s="1697"/>
      <c r="H212" s="1697"/>
      <c r="I212" s="1697"/>
      <c r="J212" s="1697"/>
      <c r="K212" s="1697"/>
      <c r="L212" s="1697"/>
      <c r="M212" s="1697"/>
      <c r="N212" s="1697"/>
      <c r="O212" s="1697"/>
      <c r="P212" s="1697"/>
      <c r="Q212" s="1697"/>
      <c r="R212" s="1697"/>
      <c r="S212" s="1697"/>
      <c r="T212" s="1697"/>
      <c r="U212" s="1697"/>
      <c r="V212" s="1697"/>
      <c r="W212" s="1697"/>
      <c r="X212" s="1697"/>
      <c r="Y212" s="1697"/>
      <c r="Z212" s="1697"/>
      <c r="AA212" s="1697"/>
      <c r="AB212" s="1697"/>
      <c r="AC212" s="4"/>
      <c r="AD212" s="4"/>
      <c r="AE212" s="19"/>
      <c r="AM212" s="4"/>
      <c r="AN212" s="175"/>
      <c r="AO212" s="25" t="s">
        <v>23</v>
      </c>
      <c r="AP212" s="4">
        <v>2</v>
      </c>
    </row>
    <row r="213" spans="1:52" customFormat="1" ht="14.1" customHeight="1">
      <c r="A213" s="4"/>
      <c r="B213" s="37"/>
      <c r="C213" s="38"/>
      <c r="D213" s="25" t="s">
        <v>23</v>
      </c>
      <c r="E213" s="1592" t="s">
        <v>1925</v>
      </c>
      <c r="F213" s="1592"/>
      <c r="G213" s="1592"/>
      <c r="H213" s="1592"/>
      <c r="I213" s="1592"/>
      <c r="J213" s="1592"/>
      <c r="K213" s="1592"/>
      <c r="L213" s="1592"/>
      <c r="M213" s="1592"/>
      <c r="N213" s="1592"/>
      <c r="O213" s="1592"/>
      <c r="P213" s="1592"/>
      <c r="Q213" s="1592"/>
      <c r="R213" s="1592"/>
      <c r="S213" s="1592"/>
      <c r="T213" s="1592"/>
      <c r="U213" s="1592"/>
      <c r="V213" s="1592"/>
      <c r="W213" s="1592"/>
      <c r="X213" s="1592"/>
      <c r="Y213" s="1592"/>
      <c r="Z213" s="1592"/>
      <c r="AA213" s="1592"/>
      <c r="AB213" s="1592"/>
      <c r="AC213" s="4"/>
      <c r="AD213" s="4"/>
      <c r="AF213" s="1593" t="s">
        <v>1889</v>
      </c>
      <c r="AG213" s="1593"/>
      <c r="AH213" s="1593"/>
      <c r="AI213" s="1593"/>
      <c r="AJ213" s="1593"/>
      <c r="AK213" s="1593"/>
      <c r="AL213" s="1593"/>
      <c r="AM213" s="4"/>
      <c r="AN213" s="572"/>
      <c r="AP213" s="21"/>
    </row>
    <row r="214" spans="1:52" customFormat="1" ht="12.75" customHeight="1">
      <c r="A214" s="4"/>
      <c r="B214" s="37"/>
      <c r="C214" s="94"/>
      <c r="D214" s="4"/>
      <c r="E214" s="1592"/>
      <c r="F214" s="1592"/>
      <c r="G214" s="1592"/>
      <c r="H214" s="1592"/>
      <c r="I214" s="1592"/>
      <c r="J214" s="1592"/>
      <c r="K214" s="1592"/>
      <c r="L214" s="1592"/>
      <c r="M214" s="1592"/>
      <c r="N214" s="1592"/>
      <c r="O214" s="1592"/>
      <c r="P214" s="1592"/>
      <c r="Q214" s="1592"/>
      <c r="R214" s="1592"/>
      <c r="S214" s="1592"/>
      <c r="T214" s="1592"/>
      <c r="U214" s="1592"/>
      <c r="V214" s="1592"/>
      <c r="W214" s="1592"/>
      <c r="X214" s="1592"/>
      <c r="Y214" s="1592"/>
      <c r="Z214" s="1592"/>
      <c r="AA214" s="1592"/>
      <c r="AB214" s="1592"/>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592"/>
      <c r="F215" s="1592"/>
      <c r="G215" s="1592"/>
      <c r="H215" s="1592"/>
      <c r="I215" s="1592"/>
      <c r="J215" s="1592"/>
      <c r="K215" s="1592"/>
      <c r="L215" s="1592"/>
      <c r="M215" s="1592"/>
      <c r="N215" s="1592"/>
      <c r="O215" s="1592"/>
      <c r="P215" s="1592"/>
      <c r="Q215" s="1592"/>
      <c r="R215" s="1592"/>
      <c r="S215" s="1592"/>
      <c r="T215" s="1592"/>
      <c r="U215" s="1592"/>
      <c r="V215" s="1592"/>
      <c r="W215" s="1592"/>
      <c r="X215" s="1592"/>
      <c r="Y215" s="1592"/>
      <c r="Z215" s="1592"/>
      <c r="AA215" s="1592"/>
      <c r="AB215" s="1592"/>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1876</v>
      </c>
      <c r="E216" s="95"/>
      <c r="F216" s="95"/>
      <c r="G216" s="95"/>
      <c r="H216" s="1584" t="s">
        <v>18</v>
      </c>
      <c r="I216" s="1584"/>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5"/>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5"/>
      <c r="AD218" s="77"/>
      <c r="AE218" s="77"/>
      <c r="AF218" s="77"/>
      <c r="AG218" s="77"/>
      <c r="AH218" s="77"/>
      <c r="AI218" s="53" t="s">
        <v>1926</v>
      </c>
      <c r="AJ218" s="1018">
        <f>VLOOKUP($H$216,$AO$210:$AP$212,2,FALSE)</f>
        <v>3</v>
      </c>
      <c r="AK218" s="1021"/>
      <c r="AL218" s="401"/>
      <c r="AM218" s="4"/>
      <c r="AN218" s="175"/>
      <c r="AP218" s="1018"/>
      <c r="AQ218" s="1021"/>
    </row>
    <row r="219" spans="1:52" customFormat="1">
      <c r="A219" s="4"/>
      <c r="B219" s="806"/>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1927</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06"/>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47" t="s">
        <v>1928</v>
      </c>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4"/>
      <c r="AD222" s="4"/>
      <c r="AF222" s="1593" t="s">
        <v>1826</v>
      </c>
      <c r="AG222" s="1593"/>
      <c r="AH222" s="1593"/>
      <c r="AI222" s="1593"/>
      <c r="AJ222" s="1593"/>
      <c r="AK222" s="1593"/>
      <c r="AL222" s="1593"/>
      <c r="AM222" s="4"/>
      <c r="AN222" s="175"/>
      <c r="AO222" s="34"/>
      <c r="AP222" s="21"/>
      <c r="AT222" s="21"/>
      <c r="AU222" s="21"/>
      <c r="AV222" s="21"/>
      <c r="AW222" s="21"/>
      <c r="AX222" s="21"/>
      <c r="AY222" s="21"/>
      <c r="AZ222" s="21"/>
    </row>
    <row r="223" spans="1:52" customFormat="1">
      <c r="A223" s="4"/>
      <c r="B223" s="37"/>
      <c r="C223" s="94"/>
      <c r="D223" s="25"/>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06"/>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47" t="s">
        <v>1929</v>
      </c>
      <c r="F225" s="1547"/>
      <c r="G225" s="1547"/>
      <c r="H225" s="1547"/>
      <c r="I225" s="1547"/>
      <c r="J225" s="1547"/>
      <c r="K225" s="1547"/>
      <c r="L225" s="1547"/>
      <c r="M225" s="1547"/>
      <c r="N225" s="1547"/>
      <c r="O225" s="1547"/>
      <c r="P225" s="1547"/>
      <c r="Q225" s="1547"/>
      <c r="R225" s="1547"/>
      <c r="S225" s="1547"/>
      <c r="T225" s="1547"/>
      <c r="U225" s="1547"/>
      <c r="V225" s="1547"/>
      <c r="W225" s="1547"/>
      <c r="X225" s="1547"/>
      <c r="Y225" s="1547"/>
      <c r="Z225" s="1547"/>
      <c r="AA225" s="1547"/>
      <c r="AB225" s="1547"/>
      <c r="AC225" s="4"/>
      <c r="AD225" s="4"/>
      <c r="AF225" s="1593" t="s">
        <v>1889</v>
      </c>
      <c r="AG225" s="1593"/>
      <c r="AH225" s="1593"/>
      <c r="AI225" s="1593"/>
      <c r="AJ225" s="1593"/>
      <c r="AK225" s="1593"/>
      <c r="AL225" s="1593"/>
      <c r="AM225" s="4"/>
      <c r="AN225" s="175"/>
      <c r="AO225" s="4" t="s">
        <v>325</v>
      </c>
      <c r="AP225" s="384">
        <v>0</v>
      </c>
      <c r="AT225" s="21"/>
      <c r="AU225" s="21"/>
      <c r="AV225" s="21"/>
      <c r="AW225" s="21"/>
      <c r="AX225" s="21"/>
      <c r="AY225" s="21"/>
      <c r="AZ225" s="21"/>
    </row>
    <row r="226" spans="1:82" customFormat="1">
      <c r="A226" s="4"/>
      <c r="B226" s="37"/>
      <c r="C226" s="94"/>
      <c r="D226" s="4"/>
      <c r="E226" s="1547"/>
      <c r="F226" s="1547"/>
      <c r="G226" s="1547"/>
      <c r="H226" s="1547"/>
      <c r="I226" s="1547"/>
      <c r="J226" s="1547"/>
      <c r="K226" s="1547"/>
      <c r="L226" s="1547"/>
      <c r="M226" s="1547"/>
      <c r="N226" s="1547"/>
      <c r="O226" s="1547"/>
      <c r="P226" s="1547"/>
      <c r="Q226" s="1547"/>
      <c r="R226" s="1547"/>
      <c r="S226" s="1547"/>
      <c r="T226" s="1547"/>
      <c r="U226" s="1547"/>
      <c r="V226" s="1547"/>
      <c r="W226" s="1547"/>
      <c r="X226" s="1547"/>
      <c r="Y226" s="1547"/>
      <c r="Z226" s="1547"/>
      <c r="AA226" s="1547"/>
      <c r="AB226" s="1547"/>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1876</v>
      </c>
      <c r="E228" s="95"/>
      <c r="F228" s="95"/>
      <c r="G228" s="95"/>
      <c r="H228" s="1584" t="s">
        <v>325</v>
      </c>
      <c r="I228" s="1584"/>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5"/>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5"/>
      <c r="AD230" s="77"/>
      <c r="AE230" s="77"/>
      <c r="AF230" s="77"/>
      <c r="AG230" s="77"/>
      <c r="AH230" s="77"/>
      <c r="AI230" s="53" t="s">
        <v>1930</v>
      </c>
      <c r="AJ230" s="1018">
        <f>VLOOKUP($H$228,$AO$225:$AP$227,2,FALSE)</f>
        <v>0</v>
      </c>
      <c r="AK230" s="1021"/>
      <c r="AL230" s="401"/>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6"/>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47" t="s">
        <v>1932</v>
      </c>
      <c r="F234" s="1547"/>
      <c r="G234" s="1547"/>
      <c r="H234" s="1547"/>
      <c r="I234" s="1547"/>
      <c r="J234" s="1547"/>
      <c r="K234" s="1547"/>
      <c r="L234" s="1547"/>
      <c r="M234" s="1547"/>
      <c r="N234" s="1547"/>
      <c r="O234" s="1547"/>
      <c r="P234" s="1547"/>
      <c r="Q234" s="1547"/>
      <c r="R234" s="1547"/>
      <c r="S234" s="1547"/>
      <c r="T234" s="1547"/>
      <c r="U234" s="1547"/>
      <c r="V234" s="1547"/>
      <c r="W234" s="1547"/>
      <c r="X234" s="1547"/>
      <c r="Y234" s="1547"/>
      <c r="Z234" s="1547"/>
      <c r="AA234" s="1547"/>
      <c r="AB234" s="1547"/>
      <c r="AC234" s="4"/>
      <c r="AD234" s="4"/>
      <c r="AF234" s="1593" t="s">
        <v>1826</v>
      </c>
      <c r="AG234" s="1593"/>
      <c r="AH234" s="1593"/>
      <c r="AI234" s="1593"/>
      <c r="AJ234" s="1593"/>
      <c r="AK234" s="1593"/>
      <c r="AL234" s="1593"/>
      <c r="AM234" s="4"/>
      <c r="AN234" s="175"/>
      <c r="AT234" s="21"/>
      <c r="AU234" s="21"/>
      <c r="AV234" s="21"/>
      <c r="AW234" s="21"/>
      <c r="AX234" s="21"/>
      <c r="AY234" s="21"/>
      <c r="AZ234" s="21"/>
    </row>
    <row r="235" spans="1:82" customFormat="1">
      <c r="A235" s="4"/>
      <c r="B235" s="37"/>
      <c r="C235" s="94"/>
      <c r="D235" s="25"/>
      <c r="E235" s="1547"/>
      <c r="F235" s="1547"/>
      <c r="G235" s="1547"/>
      <c r="H235" s="1547"/>
      <c r="I235" s="1547"/>
      <c r="J235" s="1547"/>
      <c r="K235" s="1547"/>
      <c r="L235" s="1547"/>
      <c r="M235" s="1547"/>
      <c r="N235" s="1547"/>
      <c r="O235" s="1547"/>
      <c r="P235" s="1547"/>
      <c r="Q235" s="1547"/>
      <c r="R235" s="1547"/>
      <c r="S235" s="1547"/>
      <c r="T235" s="1547"/>
      <c r="U235" s="1547"/>
      <c r="V235" s="1547"/>
      <c r="W235" s="1547"/>
      <c r="X235" s="1547"/>
      <c r="Y235" s="1547"/>
      <c r="Z235" s="1547"/>
      <c r="AA235" s="1547"/>
      <c r="AB235" s="1547"/>
      <c r="AC235" s="4"/>
      <c r="AD235" s="4"/>
      <c r="AL235" s="4"/>
      <c r="AM235" s="4"/>
      <c r="AN235" s="175"/>
    </row>
    <row r="236" spans="1:82" customFormat="1" ht="12.75" customHeight="1">
      <c r="A236" s="4"/>
      <c r="B236" s="37"/>
      <c r="C236" s="94"/>
      <c r="D236" s="25"/>
      <c r="E236" s="1547"/>
      <c r="F236" s="1547"/>
      <c r="G236" s="1547"/>
      <c r="H236" s="1547"/>
      <c r="I236" s="1547"/>
      <c r="J236" s="1547"/>
      <c r="K236" s="1547"/>
      <c r="L236" s="1547"/>
      <c r="M236" s="1547"/>
      <c r="N236" s="1547"/>
      <c r="O236" s="1547"/>
      <c r="P236" s="1547"/>
      <c r="Q236" s="1547"/>
      <c r="R236" s="1547"/>
      <c r="S236" s="1547"/>
      <c r="T236" s="1547"/>
      <c r="U236" s="1547"/>
      <c r="V236" s="1547"/>
      <c r="W236" s="1547"/>
      <c r="X236" s="1547"/>
      <c r="Y236" s="1547"/>
      <c r="Z236" s="1547"/>
      <c r="AA236" s="1547"/>
      <c r="AB236" s="1547"/>
      <c r="AC236" s="4"/>
      <c r="AD236" s="4"/>
      <c r="AE236" s="4"/>
      <c r="AF236" s="37"/>
      <c r="AG236" s="4"/>
      <c r="AH236" s="4"/>
      <c r="AI236" s="4"/>
      <c r="AJ236" s="4"/>
      <c r="AK236" s="4"/>
      <c r="AL236" s="4"/>
      <c r="AM236" s="4"/>
      <c r="AN236" s="569"/>
      <c r="AO236" s="21"/>
    </row>
    <row r="237" spans="1:82" customFormat="1">
      <c r="A237" s="99"/>
      <c r="B237" s="401"/>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47" t="s">
        <v>1933</v>
      </c>
      <c r="F238" s="1547"/>
      <c r="G238" s="1547"/>
      <c r="H238" s="1547"/>
      <c r="I238" s="1547"/>
      <c r="J238" s="1547"/>
      <c r="K238" s="1547"/>
      <c r="L238" s="1547"/>
      <c r="M238" s="1547"/>
      <c r="N238" s="1547"/>
      <c r="O238" s="1547"/>
      <c r="P238" s="1547"/>
      <c r="Q238" s="1547"/>
      <c r="R238" s="1547"/>
      <c r="S238" s="1547"/>
      <c r="T238" s="1547"/>
      <c r="U238" s="1547"/>
      <c r="V238" s="1547"/>
      <c r="W238" s="1547"/>
      <c r="X238" s="1547"/>
      <c r="Y238" s="1547"/>
      <c r="Z238" s="1547"/>
      <c r="AA238" s="1547"/>
      <c r="AB238" s="283"/>
      <c r="AC238" s="4"/>
      <c r="AD238" s="4"/>
      <c r="AF238" s="1593" t="s">
        <v>1889</v>
      </c>
      <c r="AG238" s="1593"/>
      <c r="AH238" s="1593"/>
      <c r="AI238" s="1593"/>
      <c r="AJ238" s="1593"/>
      <c r="AK238" s="1593"/>
      <c r="AL238" s="1593"/>
      <c r="AM238" s="4"/>
      <c r="AN238" s="175"/>
      <c r="AO238" s="34"/>
      <c r="AP238" s="21"/>
    </row>
    <row r="239" spans="1:82" customFormat="1">
      <c r="A239" s="4"/>
      <c r="B239" s="37"/>
      <c r="C239" s="38"/>
      <c r="D239" s="4"/>
      <c r="E239" s="1547"/>
      <c r="F239" s="1547"/>
      <c r="G239" s="1547"/>
      <c r="H239" s="1547"/>
      <c r="I239" s="1547"/>
      <c r="J239" s="1547"/>
      <c r="K239" s="1547"/>
      <c r="L239" s="1547"/>
      <c r="M239" s="1547"/>
      <c r="N239" s="1547"/>
      <c r="O239" s="1547"/>
      <c r="P239" s="1547"/>
      <c r="Q239" s="1547"/>
      <c r="R239" s="1547"/>
      <c r="S239" s="1547"/>
      <c r="T239" s="1547"/>
      <c r="U239" s="1547"/>
      <c r="V239" s="1547"/>
      <c r="W239" s="1547"/>
      <c r="X239" s="1547"/>
      <c r="Y239" s="1547"/>
      <c r="Z239" s="1547"/>
      <c r="AA239" s="1547"/>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47"/>
      <c r="F240" s="1547"/>
      <c r="G240" s="1547"/>
      <c r="H240" s="1547"/>
      <c r="I240" s="1547"/>
      <c r="J240" s="1547"/>
      <c r="K240" s="1547"/>
      <c r="L240" s="1547"/>
      <c r="M240" s="1547"/>
      <c r="N240" s="1547"/>
      <c r="O240" s="1547"/>
      <c r="P240" s="1547"/>
      <c r="Q240" s="1547"/>
      <c r="R240" s="1547"/>
      <c r="S240" s="1547"/>
      <c r="T240" s="1547"/>
      <c r="U240" s="1547"/>
      <c r="V240" s="1547"/>
      <c r="W240" s="1547"/>
      <c r="X240" s="1547"/>
      <c r="Y240" s="1547"/>
      <c r="Z240" s="1547"/>
      <c r="AA240" s="1547"/>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1876</v>
      </c>
      <c r="E242" s="95"/>
      <c r="F242" s="95"/>
      <c r="G242" s="95"/>
      <c r="H242" s="1584" t="s">
        <v>18</v>
      </c>
      <c r="I242" s="1584"/>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69"/>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5"/>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1934</v>
      </c>
      <c r="AJ244" s="1018">
        <f>VLOOKUP($H$242,$AO$225:$AP$227,2,FALSE)</f>
        <v>3</v>
      </c>
      <c r="AK244" s="1021"/>
      <c r="AL244" s="401"/>
      <c r="AM244" s="4"/>
      <c r="AN244" s="569"/>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69"/>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1935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69"/>
      <c r="AO246" s="4" t="s">
        <v>325</v>
      </c>
      <c r="AP246" s="384">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69"/>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47" t="s">
        <v>1936</v>
      </c>
      <c r="F248" s="1547"/>
      <c r="G248" s="1547"/>
      <c r="H248" s="1547"/>
      <c r="I248" s="1547"/>
      <c r="J248" s="1547"/>
      <c r="K248" s="1547"/>
      <c r="L248" s="1547"/>
      <c r="M248" s="1547"/>
      <c r="N248" s="1547"/>
      <c r="O248" s="1547"/>
      <c r="P248" s="1547"/>
      <c r="Q248" s="1547"/>
      <c r="R248" s="1547"/>
      <c r="S248" s="1547"/>
      <c r="T248" s="1547"/>
      <c r="U248" s="1547"/>
      <c r="V248" s="1547"/>
      <c r="W248" s="1547"/>
      <c r="X248" s="1547"/>
      <c r="Y248" s="1547"/>
      <c r="Z248" s="1547"/>
      <c r="AA248" s="1547"/>
      <c r="AB248" s="1547"/>
      <c r="AC248" s="4"/>
      <c r="AD248" s="4"/>
      <c r="AF248" s="1593" t="s">
        <v>1889</v>
      </c>
      <c r="AG248" s="1593"/>
      <c r="AH248" s="1593"/>
      <c r="AI248" s="1593"/>
      <c r="AJ248" s="1593"/>
      <c r="AK248" s="1593"/>
      <c r="AL248" s="1593"/>
      <c r="AM248" s="4"/>
      <c r="AN248" s="569"/>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47"/>
      <c r="F249" s="1547"/>
      <c r="G249" s="1547"/>
      <c r="H249" s="1547"/>
      <c r="I249" s="1547"/>
      <c r="J249" s="1547"/>
      <c r="K249" s="1547"/>
      <c r="L249" s="1547"/>
      <c r="M249" s="1547"/>
      <c r="N249" s="1547"/>
      <c r="O249" s="1547"/>
      <c r="P249" s="1547"/>
      <c r="Q249" s="1547"/>
      <c r="R249" s="1547"/>
      <c r="S249" s="1547"/>
      <c r="T249" s="1547"/>
      <c r="U249" s="1547"/>
      <c r="V249" s="1547"/>
      <c r="W249" s="1547"/>
      <c r="X249" s="1547"/>
      <c r="Y249" s="1547"/>
      <c r="Z249" s="1547"/>
      <c r="AA249" s="1547"/>
      <c r="AB249" s="1547"/>
      <c r="AC249" s="4"/>
      <c r="AD249" s="4"/>
      <c r="AL249" s="4"/>
      <c r="AM249" s="4"/>
      <c r="AN249" s="569"/>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69"/>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47" t="s">
        <v>1937</v>
      </c>
      <c r="F251" s="1547"/>
      <c r="G251" s="1547"/>
      <c r="H251" s="1547"/>
      <c r="I251" s="1547"/>
      <c r="J251" s="1547"/>
      <c r="K251" s="1547"/>
      <c r="L251" s="1547"/>
      <c r="M251" s="1547"/>
      <c r="N251" s="1547"/>
      <c r="O251" s="1547"/>
      <c r="P251" s="1547"/>
      <c r="Q251" s="1547"/>
      <c r="R251" s="1547"/>
      <c r="S251" s="1547"/>
      <c r="T251" s="1547"/>
      <c r="U251" s="1547"/>
      <c r="V251" s="1547"/>
      <c r="W251" s="1547"/>
      <c r="X251" s="1547"/>
      <c r="Y251" s="1547"/>
      <c r="Z251" s="1547"/>
      <c r="AA251" s="1547"/>
      <c r="AB251" s="1547"/>
      <c r="AC251" s="4"/>
      <c r="AD251" s="4"/>
      <c r="AF251" s="1593" t="s">
        <v>1908</v>
      </c>
      <c r="AG251" s="1593"/>
      <c r="AH251" s="1593"/>
      <c r="AI251" s="1593"/>
      <c r="AJ251" s="1593"/>
      <c r="AK251" s="1593"/>
      <c r="AL251" s="1593"/>
      <c r="AM251" s="4"/>
      <c r="AN251" s="569"/>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7"/>
      <c r="F252" s="1547"/>
      <c r="G252" s="1547"/>
      <c r="H252" s="1547"/>
      <c r="I252" s="1547"/>
      <c r="J252" s="1547"/>
      <c r="K252" s="1547"/>
      <c r="L252" s="1547"/>
      <c r="M252" s="1547"/>
      <c r="N252" s="1547"/>
      <c r="O252" s="1547"/>
      <c r="P252" s="1547"/>
      <c r="Q252" s="1547"/>
      <c r="R252" s="1547"/>
      <c r="S252" s="1547"/>
      <c r="T252" s="1547"/>
      <c r="U252" s="1547"/>
      <c r="V252" s="1547"/>
      <c r="W252" s="1547"/>
      <c r="X252" s="1547"/>
      <c r="Y252" s="1547"/>
      <c r="Z252" s="1547"/>
      <c r="AA252" s="1547"/>
      <c r="AB252" s="1547"/>
      <c r="AC252" s="4"/>
      <c r="AD252" s="4"/>
      <c r="AE252" s="88"/>
      <c r="AM252" s="4"/>
      <c r="AN252" s="569"/>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69"/>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1876</v>
      </c>
      <c r="E254" s="95"/>
      <c r="F254" s="95"/>
      <c r="G254" s="95"/>
      <c r="H254" s="1584" t="s">
        <v>18</v>
      </c>
      <c r="I254" s="1584"/>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69"/>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69"/>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07"/>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07"/>
      <c r="AD256" s="104"/>
      <c r="AE256" s="104"/>
      <c r="AF256" s="104"/>
      <c r="AG256" s="104"/>
      <c r="AH256" s="77"/>
      <c r="AI256" s="53" t="s">
        <v>1938</v>
      </c>
      <c r="AJ256" s="1018">
        <f>VLOOKUP($H$254,$AO$246:$AP$248,2,FALSE)</f>
        <v>2</v>
      </c>
      <c r="AK256" s="1021"/>
      <c r="AL256" s="401"/>
      <c r="AM256" s="4"/>
      <c r="AN256" s="569"/>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1"/>
      <c r="AK257" s="401"/>
      <c r="AL257" s="401"/>
      <c r="AM257" s="4"/>
      <c r="AN257" s="569"/>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1939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1"/>
      <c r="AK258" s="401"/>
      <c r="AL258" s="401"/>
      <c r="AM258" s="4"/>
      <c r="AN258" s="569"/>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1"/>
      <c r="AK259" s="401"/>
      <c r="AL259" s="401"/>
      <c r="AM259" s="4"/>
      <c r="AN259" s="175"/>
    </row>
    <row r="260" spans="1:82" customFormat="1" ht="13.65" customHeight="1">
      <c r="A260" s="4"/>
      <c r="B260" s="266"/>
      <c r="C260" s="116"/>
      <c r="D260" s="25" t="s">
        <v>18</v>
      </c>
      <c r="E260" s="1547" t="s">
        <v>1940</v>
      </c>
      <c r="F260" s="1547"/>
      <c r="G260" s="1547"/>
      <c r="H260" s="1547"/>
      <c r="I260" s="1547"/>
      <c r="J260" s="1547"/>
      <c r="K260" s="1547"/>
      <c r="L260" s="1547"/>
      <c r="M260" s="1547"/>
      <c r="N260" s="1547"/>
      <c r="O260" s="1547"/>
      <c r="P260" s="1547"/>
      <c r="Q260" s="1547"/>
      <c r="R260" s="1547"/>
      <c r="S260" s="1547"/>
      <c r="T260" s="1547"/>
      <c r="U260" s="1547"/>
      <c r="V260" s="1547"/>
      <c r="W260" s="1547"/>
      <c r="X260" s="1547"/>
      <c r="Y260" s="1547"/>
      <c r="Z260" s="1547"/>
      <c r="AA260" s="1547"/>
      <c r="AB260" s="1547"/>
      <c r="AC260" s="1547"/>
      <c r="AD260" s="1547"/>
      <c r="AF260" s="1593" t="s">
        <v>1889</v>
      </c>
      <c r="AG260" s="1593"/>
      <c r="AH260" s="1593"/>
      <c r="AI260" s="1593"/>
      <c r="AJ260" s="1593"/>
      <c r="AK260" s="1593"/>
      <c r="AL260" s="1593"/>
      <c r="AM260" s="84"/>
      <c r="AN260" s="175"/>
      <c r="AO260" s="4" t="s">
        <v>325</v>
      </c>
      <c r="AP260" s="384">
        <v>0</v>
      </c>
    </row>
    <row r="261" spans="1:82" customFormat="1">
      <c r="A261" s="4"/>
      <c r="B261" s="266"/>
      <c r="C261" s="116"/>
      <c r="D261" s="25"/>
      <c r="E261" s="1547"/>
      <c r="F261" s="1547"/>
      <c r="G261" s="1547"/>
      <c r="H261" s="1547"/>
      <c r="I261" s="1547"/>
      <c r="J261" s="1547"/>
      <c r="K261" s="1547"/>
      <c r="L261" s="1547"/>
      <c r="M261" s="1547"/>
      <c r="N261" s="1547"/>
      <c r="O261" s="1547"/>
      <c r="P261" s="1547"/>
      <c r="Q261" s="1547"/>
      <c r="R261" s="1547"/>
      <c r="S261" s="1547"/>
      <c r="T261" s="1547"/>
      <c r="U261" s="1547"/>
      <c r="V261" s="1547"/>
      <c r="W261" s="1547"/>
      <c r="X261" s="1547"/>
      <c r="Y261" s="1547"/>
      <c r="Z261" s="1547"/>
      <c r="AA261" s="1547"/>
      <c r="AB261" s="1547"/>
      <c r="AC261" s="1547"/>
      <c r="AD261" s="1547"/>
      <c r="AL261" s="88"/>
      <c r="AM261" s="84"/>
      <c r="AN261" s="569"/>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75" customHeight="1">
      <c r="A262" s="4"/>
      <c r="B262" s="266"/>
      <c r="C262" s="116"/>
      <c r="D262" s="25"/>
      <c r="E262" s="1547"/>
      <c r="F262" s="1547"/>
      <c r="G262" s="1547"/>
      <c r="H262" s="1547"/>
      <c r="I262" s="1547"/>
      <c r="J262" s="1547"/>
      <c r="K262" s="1547"/>
      <c r="L262" s="1547"/>
      <c r="M262" s="1547"/>
      <c r="N262" s="1547"/>
      <c r="O262" s="1547"/>
      <c r="P262" s="1547"/>
      <c r="Q262" s="1547"/>
      <c r="R262" s="1547"/>
      <c r="S262" s="1547"/>
      <c r="T262" s="1547"/>
      <c r="U262" s="1547"/>
      <c r="V262" s="1547"/>
      <c r="W262" s="1547"/>
      <c r="X262" s="1547"/>
      <c r="Y262" s="1547"/>
      <c r="Z262" s="1547"/>
      <c r="AA262" s="1547"/>
      <c r="AB262" s="1547"/>
      <c r="AC262" s="1547"/>
      <c r="AD262" s="1547"/>
      <c r="AE262" s="88"/>
      <c r="AF262" s="88"/>
      <c r="AG262" s="88"/>
      <c r="AH262" s="88"/>
      <c r="AI262" s="88"/>
      <c r="AJ262" s="88"/>
      <c r="AK262" s="88"/>
      <c r="AL262" s="88"/>
      <c r="AM262" s="84"/>
      <c r="AN262" s="569"/>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583" t="s">
        <v>1941</v>
      </c>
      <c r="F264" s="1583"/>
      <c r="G264" s="1583"/>
      <c r="H264" s="1583"/>
      <c r="I264" s="1583"/>
      <c r="J264" s="1583"/>
      <c r="K264" s="1583"/>
      <c r="L264" s="1583"/>
      <c r="M264" s="1583"/>
      <c r="N264" s="1583"/>
      <c r="O264" s="1583"/>
      <c r="P264" s="1583"/>
      <c r="Q264" s="1583"/>
      <c r="R264" s="1583"/>
      <c r="S264" s="1583"/>
      <c r="T264" s="1583"/>
      <c r="U264" s="1583"/>
      <c r="V264" s="1583"/>
      <c r="W264" s="1583"/>
      <c r="X264" s="1583"/>
      <c r="Y264" s="1583"/>
      <c r="Z264" s="1583"/>
      <c r="AA264" s="1583"/>
      <c r="AB264" s="1583"/>
      <c r="AC264" s="1583"/>
      <c r="AD264" s="1583"/>
      <c r="AF264" s="1593" t="s">
        <v>1826</v>
      </c>
      <c r="AG264" s="1593"/>
      <c r="AH264" s="1593"/>
      <c r="AI264" s="1593"/>
      <c r="AJ264" s="1593"/>
      <c r="AK264" s="1593"/>
      <c r="AL264" s="1593"/>
      <c r="AM264" s="84"/>
      <c r="AN264" s="243"/>
    </row>
    <row r="265" spans="1:82" s="4" customFormat="1" ht="12.75" customHeight="1">
      <c r="B265" s="266"/>
      <c r="C265" s="116"/>
      <c r="D265" s="25"/>
      <c r="E265" s="1583"/>
      <c r="F265" s="1583"/>
      <c r="G265" s="1583"/>
      <c r="H265" s="1583"/>
      <c r="I265" s="1583"/>
      <c r="J265" s="1583"/>
      <c r="K265" s="1583"/>
      <c r="L265" s="1583"/>
      <c r="M265" s="1583"/>
      <c r="N265" s="1583"/>
      <c r="O265" s="1583"/>
      <c r="P265" s="1583"/>
      <c r="Q265" s="1583"/>
      <c r="R265" s="1583"/>
      <c r="S265" s="1583"/>
      <c r="T265" s="1583"/>
      <c r="U265" s="1583"/>
      <c r="V265" s="1583"/>
      <c r="W265" s="1583"/>
      <c r="X265" s="1583"/>
      <c r="Y265" s="1583"/>
      <c r="Z265" s="1583"/>
      <c r="AA265" s="1583"/>
      <c r="AB265" s="1583"/>
      <c r="AC265" s="1583"/>
      <c r="AD265" s="1583"/>
      <c r="AE265" s="88"/>
      <c r="AF265" s="88"/>
      <c r="AG265" s="88"/>
      <c r="AH265" s="88"/>
      <c r="AI265" s="88"/>
      <c r="AJ265" s="88"/>
      <c r="AK265" s="88"/>
      <c r="AL265" s="88"/>
      <c r="AM265" s="84"/>
      <c r="AN265" s="243"/>
    </row>
    <row r="266" spans="1:82" s="4" customFormat="1" ht="12.75" customHeight="1">
      <c r="B266" s="266"/>
      <c r="C266" s="116"/>
      <c r="D266" s="25"/>
      <c r="E266" s="1583"/>
      <c r="F266" s="1583"/>
      <c r="G266" s="1583"/>
      <c r="H266" s="1583"/>
      <c r="I266" s="1583"/>
      <c r="J266" s="1583"/>
      <c r="K266" s="1583"/>
      <c r="L266" s="1583"/>
      <c r="M266" s="1583"/>
      <c r="N266" s="1583"/>
      <c r="O266" s="1583"/>
      <c r="P266" s="1583"/>
      <c r="Q266" s="1583"/>
      <c r="R266" s="1583"/>
      <c r="S266" s="1583"/>
      <c r="T266" s="1583"/>
      <c r="U266" s="1583"/>
      <c r="V266" s="1583"/>
      <c r="W266" s="1583"/>
      <c r="X266" s="1583"/>
      <c r="Y266" s="1583"/>
      <c r="Z266" s="1583"/>
      <c r="AA266" s="1583"/>
      <c r="AB266" s="1583"/>
      <c r="AC266" s="1583"/>
      <c r="AD266" s="1583"/>
      <c r="AE266" s="88"/>
      <c r="AF266" s="88"/>
      <c r="AG266" s="88"/>
      <c r="AH266" s="88"/>
      <c r="AI266" s="88"/>
      <c r="AJ266" s="88"/>
      <c r="AK266" s="88"/>
      <c r="AL266" s="88"/>
      <c r="AM266" s="84"/>
      <c r="AN266" s="243"/>
    </row>
    <row r="267" spans="1:82" s="4" customFormat="1" ht="12.75" customHeight="1">
      <c r="B267" s="266"/>
      <c r="C267" s="116"/>
      <c r="D267" s="25"/>
      <c r="E267" s="1583"/>
      <c r="F267" s="1583"/>
      <c r="G267" s="1583"/>
      <c r="H267" s="1583"/>
      <c r="I267" s="1583"/>
      <c r="J267" s="1583"/>
      <c r="K267" s="1583"/>
      <c r="L267" s="1583"/>
      <c r="M267" s="1583"/>
      <c r="N267" s="1583"/>
      <c r="O267" s="1583"/>
      <c r="P267" s="1583"/>
      <c r="Q267" s="1583"/>
      <c r="R267" s="1583"/>
      <c r="S267" s="1583"/>
      <c r="T267" s="1583"/>
      <c r="U267" s="1583"/>
      <c r="V267" s="1583"/>
      <c r="W267" s="1583"/>
      <c r="X267" s="1583"/>
      <c r="Y267" s="1583"/>
      <c r="Z267" s="1583"/>
      <c r="AA267" s="1583"/>
      <c r="AB267" s="1583"/>
      <c r="AC267" s="1583"/>
      <c r="AD267" s="1583"/>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1876</v>
      </c>
      <c r="E269" s="95"/>
      <c r="F269" s="95"/>
      <c r="G269" s="95"/>
      <c r="H269" s="1584" t="s">
        <v>325</v>
      </c>
      <c r="I269" s="1584"/>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1"/>
      <c r="AK269" s="401"/>
      <c r="AL269" s="401"/>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1"/>
      <c r="AK270" s="401"/>
      <c r="AL270" s="401"/>
      <c r="AN270" s="243"/>
    </row>
    <row r="271" spans="1:82" s="4" customFormat="1" ht="12.75" customHeight="1">
      <c r="A271" s="76"/>
      <c r="B271" s="907"/>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07"/>
      <c r="AD271" s="104"/>
      <c r="AE271" s="104"/>
      <c r="AF271" s="104"/>
      <c r="AG271" s="104"/>
      <c r="AH271" s="77"/>
      <c r="AI271" s="53" t="s">
        <v>1942</v>
      </c>
      <c r="AJ271" s="1018">
        <f>VLOOKUP($H$269,$AO$260:$AP$262,2,FALSE)</f>
        <v>0</v>
      </c>
      <c r="AK271" s="1021"/>
      <c r="AL271" s="401"/>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1"/>
      <c r="AK272" s="401"/>
      <c r="AL272" s="401"/>
      <c r="AM272" s="4"/>
      <c r="AN272" s="175"/>
      <c r="AS272" s="348"/>
      <c r="AT272" s="348"/>
      <c r="AU272" s="348"/>
      <c r="AV272" s="348"/>
      <c r="AW272" s="348"/>
      <c r="AX272" s="348"/>
      <c r="AY272" s="348"/>
      <c r="AZ272" s="348"/>
      <c r="BA272" s="348"/>
      <c r="BB272" s="348"/>
      <c r="BC272" s="348"/>
      <c r="BD272" s="545"/>
      <c r="BE272" s="545"/>
      <c r="BF272" s="545"/>
      <c r="BG272" s="545"/>
      <c r="BH272" s="545"/>
      <c r="BI272" s="348"/>
      <c r="BJ272" s="348"/>
      <c r="BK272" s="348"/>
      <c r="BL272" s="348"/>
      <c r="BM272" s="348"/>
      <c r="BN272" s="348"/>
      <c r="BO272" s="348"/>
      <c r="BP272" s="348"/>
      <c r="BQ272" s="348"/>
      <c r="BR272" s="348"/>
      <c r="BS272" s="348"/>
      <c r="BT272" s="348"/>
      <c r="BU272" s="348"/>
      <c r="BV272" s="348"/>
      <c r="BW272" s="348"/>
      <c r="BX272" s="348"/>
      <c r="BY272" s="348"/>
      <c r="BZ272" s="348"/>
      <c r="CA272" s="348"/>
      <c r="CB272" s="348"/>
      <c r="CC272" s="348"/>
      <c r="CD272" s="348"/>
    </row>
    <row r="273" spans="1:82" customFormat="1">
      <c r="A273" s="4"/>
      <c r="B273" s="266"/>
      <c r="C273" s="3" t="s">
        <v>1943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1"/>
      <c r="AK273" s="401"/>
      <c r="AL273" s="401"/>
      <c r="AM273" s="4"/>
      <c r="AN273" s="175"/>
      <c r="AT273" s="348"/>
      <c r="AU273" s="348"/>
      <c r="AV273" s="348"/>
      <c r="AW273" s="348"/>
      <c r="AX273" s="348"/>
      <c r="AY273" s="348"/>
      <c r="AZ273" s="348"/>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1"/>
      <c r="AM274" s="4"/>
      <c r="AN274" s="175"/>
      <c r="AO274" s="4" t="s">
        <v>325</v>
      </c>
      <c r="AP274" s="106">
        <v>0</v>
      </c>
      <c r="AS274" s="348"/>
      <c r="AT274" s="348"/>
      <c r="AU274" s="348"/>
      <c r="AV274" s="348"/>
      <c r="AW274" s="348"/>
      <c r="AX274" s="348"/>
      <c r="AY274" s="348"/>
      <c r="AZ274" s="348"/>
      <c r="BA274" s="348"/>
      <c r="BB274" s="348"/>
      <c r="BC274" s="348"/>
      <c r="BD274" s="545"/>
      <c r="BE274" s="545"/>
      <c r="BF274" s="545"/>
      <c r="BG274" s="545"/>
      <c r="BH274" s="545"/>
      <c r="BI274" s="348"/>
      <c r="BJ274" s="348"/>
      <c r="BK274" s="348"/>
      <c r="BL274" s="348"/>
      <c r="BM274" s="348"/>
      <c r="BN274" s="348"/>
      <c r="BO274" s="348"/>
      <c r="BP274" s="348"/>
      <c r="BQ274" s="348"/>
      <c r="BR274" s="348"/>
      <c r="BS274" s="348"/>
      <c r="BT274" s="348"/>
      <c r="BU274" s="348"/>
      <c r="BV274" s="348"/>
      <c r="BW274" s="348"/>
      <c r="BX274" s="348"/>
      <c r="BY274" s="348"/>
      <c r="BZ274" s="348"/>
      <c r="CA274" s="348"/>
      <c r="CB274" s="348"/>
      <c r="CC274" s="348"/>
      <c r="CD274" s="348"/>
    </row>
    <row r="275" spans="1:82" customFormat="1" ht="13.65" customHeight="1">
      <c r="A275" s="4"/>
      <c r="B275" s="266"/>
      <c r="C275" s="116"/>
      <c r="D275" s="25" t="s">
        <v>18</v>
      </c>
      <c r="E275" s="1547" t="s">
        <v>1944</v>
      </c>
      <c r="F275" s="1547"/>
      <c r="G275" s="1547"/>
      <c r="H275" s="1547"/>
      <c r="I275" s="1547"/>
      <c r="J275" s="1547"/>
      <c r="K275" s="1547"/>
      <c r="L275" s="1547"/>
      <c r="M275" s="1547"/>
      <c r="N275" s="1547"/>
      <c r="O275" s="1547"/>
      <c r="P275" s="1547"/>
      <c r="Q275" s="1547"/>
      <c r="R275" s="1547"/>
      <c r="S275" s="1547"/>
      <c r="T275" s="1547"/>
      <c r="U275" s="1547"/>
      <c r="V275" s="1547"/>
      <c r="W275" s="1547"/>
      <c r="X275" s="1547"/>
      <c r="Y275" s="1547"/>
      <c r="Z275" s="1547"/>
      <c r="AA275" s="1547"/>
      <c r="AB275" s="1547"/>
      <c r="AC275" s="1547"/>
      <c r="AD275" s="1547"/>
      <c r="AF275" s="1593" t="s">
        <v>1945</v>
      </c>
      <c r="AG275" s="1593"/>
      <c r="AH275" s="1593"/>
      <c r="AI275" s="1593"/>
      <c r="AJ275" s="1593"/>
      <c r="AK275" s="1593"/>
      <c r="AL275" s="1593"/>
      <c r="AM275" s="84"/>
      <c r="AN275" s="175"/>
      <c r="AO275" s="25" t="s">
        <v>708</v>
      </c>
      <c r="AP275" s="4">
        <v>8</v>
      </c>
      <c r="AT275" s="348"/>
      <c r="AU275" s="348"/>
      <c r="AV275" s="348"/>
      <c r="AW275" s="348"/>
      <c r="AX275" s="348"/>
      <c r="AY275" s="348"/>
      <c r="AZ275" s="348"/>
    </row>
    <row r="276" spans="1:82" customFormat="1">
      <c r="A276" s="4"/>
      <c r="B276" s="266"/>
      <c r="C276" s="116"/>
      <c r="D276" s="25"/>
      <c r="E276" s="1547"/>
      <c r="F276" s="1547"/>
      <c r="G276" s="1547"/>
      <c r="H276" s="1547"/>
      <c r="I276" s="1547"/>
      <c r="J276" s="1547"/>
      <c r="K276" s="1547"/>
      <c r="L276" s="1547"/>
      <c r="M276" s="1547"/>
      <c r="N276" s="1547"/>
      <c r="O276" s="1547"/>
      <c r="P276" s="1547"/>
      <c r="Q276" s="1547"/>
      <c r="R276" s="1547"/>
      <c r="S276" s="1547"/>
      <c r="T276" s="1547"/>
      <c r="U276" s="1547"/>
      <c r="V276" s="1547"/>
      <c r="W276" s="1547"/>
      <c r="X276" s="1547"/>
      <c r="Y276" s="1547"/>
      <c r="Z276" s="1547"/>
      <c r="AA276" s="1547"/>
      <c r="AB276" s="1547"/>
      <c r="AC276" s="1547"/>
      <c r="AD276" s="1547"/>
      <c r="AE276" s="88"/>
      <c r="AF276" s="88"/>
      <c r="AG276" s="88"/>
      <c r="AH276" s="88"/>
      <c r="AI276" s="88"/>
      <c r="AJ276" s="88"/>
      <c r="AK276" s="88"/>
      <c r="AL276" s="88"/>
      <c r="AM276" s="84"/>
      <c r="AN276" s="175"/>
      <c r="AO276" s="25"/>
      <c r="AP276" s="4"/>
      <c r="AT276" s="348"/>
      <c r="AU276" s="348"/>
      <c r="AV276" s="348"/>
      <c r="AW276" s="348"/>
      <c r="AX276" s="348"/>
      <c r="AY276" s="348"/>
      <c r="AZ276" s="348"/>
    </row>
    <row r="277" spans="1:82" customFormat="1" ht="18.75" customHeight="1">
      <c r="A277" s="4"/>
      <c r="B277" s="266"/>
      <c r="C277" s="116"/>
      <c r="D277" s="25"/>
      <c r="E277" s="1547"/>
      <c r="F277" s="1547"/>
      <c r="G277" s="1547"/>
      <c r="H277" s="1547"/>
      <c r="I277" s="1547"/>
      <c r="J277" s="1547"/>
      <c r="K277" s="1547"/>
      <c r="L277" s="1547"/>
      <c r="M277" s="1547"/>
      <c r="N277" s="1547"/>
      <c r="O277" s="1547"/>
      <c r="P277" s="1547"/>
      <c r="Q277" s="1547"/>
      <c r="R277" s="1547"/>
      <c r="S277" s="1547"/>
      <c r="T277" s="1547"/>
      <c r="U277" s="1547"/>
      <c r="V277" s="1547"/>
      <c r="W277" s="1547"/>
      <c r="X277" s="1547"/>
      <c r="Y277" s="1547"/>
      <c r="Z277" s="1547"/>
      <c r="AA277" s="1547"/>
      <c r="AB277" s="1547"/>
      <c r="AC277" s="1547"/>
      <c r="AD277" s="1547"/>
      <c r="AE277" s="88"/>
      <c r="AF277" s="88"/>
      <c r="AG277" s="88"/>
      <c r="AH277" s="88"/>
      <c r="AI277" s="88"/>
      <c r="AJ277" s="88"/>
      <c r="AK277" s="88"/>
      <c r="AL277" s="88"/>
      <c r="AM277" s="84"/>
      <c r="AN277" s="175"/>
      <c r="AO277" s="170"/>
      <c r="AT277" s="348"/>
      <c r="AU277" s="348"/>
      <c r="AV277" s="348"/>
      <c r="AW277" s="348"/>
      <c r="AX277" s="348"/>
      <c r="AY277" s="348"/>
      <c r="AZ277" s="348"/>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48"/>
      <c r="AU278" s="348"/>
      <c r="AV278" s="348"/>
      <c r="AW278" s="348"/>
      <c r="AX278" s="348"/>
      <c r="AY278" s="348"/>
      <c r="AZ278" s="348"/>
    </row>
    <row r="279" spans="1:82" customFormat="1">
      <c r="A279" s="4"/>
      <c r="B279" s="266"/>
      <c r="C279" s="116"/>
      <c r="D279" s="4" t="s">
        <v>1876</v>
      </c>
      <c r="E279" s="95"/>
      <c r="F279" s="95"/>
      <c r="G279" s="95"/>
      <c r="H279" s="1584" t="s">
        <v>325</v>
      </c>
      <c r="I279" s="1584"/>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1"/>
      <c r="AK279" s="401"/>
      <c r="AL279" s="401"/>
      <c r="AM279" s="4"/>
      <c r="AN279" s="175"/>
      <c r="AS279" s="348"/>
      <c r="AT279" s="348"/>
      <c r="AU279" s="348"/>
      <c r="AV279" s="348"/>
      <c r="AW279" s="348"/>
      <c r="AX279" s="348"/>
      <c r="AY279" s="348"/>
      <c r="AZ279" s="348"/>
      <c r="BA279" s="348"/>
      <c r="BB279" s="348"/>
      <c r="BC279" s="348"/>
      <c r="BD279" s="545"/>
      <c r="BE279" s="545"/>
      <c r="BF279" s="545"/>
      <c r="BG279" s="545"/>
      <c r="BH279" s="545"/>
      <c r="BI279" s="348"/>
      <c r="BJ279" s="348"/>
      <c r="BK279" s="348"/>
      <c r="BL279" s="348"/>
      <c r="BM279" s="348"/>
      <c r="BN279" s="348"/>
      <c r="BO279" s="348"/>
      <c r="BP279" s="348"/>
      <c r="BQ279" s="348"/>
      <c r="BR279" s="348"/>
      <c r="BS279" s="348"/>
      <c r="BT279" s="348"/>
      <c r="BU279" s="348"/>
      <c r="BV279" s="348"/>
      <c r="BW279" s="348"/>
      <c r="BX279" s="348"/>
      <c r="BY279" s="348"/>
      <c r="BZ279" s="348"/>
      <c r="CA279" s="348"/>
      <c r="CB279" s="348"/>
      <c r="CC279" s="348"/>
      <c r="CD279" s="348"/>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48"/>
      <c r="AU280" s="348"/>
      <c r="AV280" s="348"/>
      <c r="AW280" s="348"/>
      <c r="AX280" s="348"/>
      <c r="AY280" s="348"/>
      <c r="AZ280" s="348"/>
    </row>
    <row r="281" spans="1:82" customFormat="1">
      <c r="A281" s="76"/>
      <c r="B281" s="907"/>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07"/>
      <c r="AD281" s="104"/>
      <c r="AE281" s="104"/>
      <c r="AF281" s="104"/>
      <c r="AG281" s="104"/>
      <c r="AH281" s="77"/>
      <c r="AI281" s="53" t="s">
        <v>1946</v>
      </c>
      <c r="AJ281" s="1018">
        <f>VLOOKUP($H$279,$AO$274:$AP$275,2,FALSE)</f>
        <v>0</v>
      </c>
      <c r="AK281" s="1021"/>
      <c r="AL281" s="401"/>
      <c r="AM281" s="4"/>
      <c r="AN281" s="175"/>
      <c r="AS281" s="348"/>
      <c r="AT281" s="348"/>
      <c r="AU281" s="348"/>
      <c r="AV281" s="348"/>
      <c r="AW281" s="348"/>
      <c r="AX281" s="348"/>
      <c r="AY281" s="348"/>
      <c r="AZ281" s="348"/>
      <c r="BA281" s="348"/>
      <c r="BB281" s="348"/>
      <c r="BC281" s="348"/>
      <c r="BD281" s="545"/>
      <c r="BE281" s="545"/>
      <c r="BF281" s="545"/>
      <c r="BG281" s="545"/>
      <c r="BH281" s="545"/>
      <c r="BI281" s="348"/>
      <c r="BJ281" s="348"/>
      <c r="BK281" s="348"/>
      <c r="BL281" s="348"/>
      <c r="BM281" s="348"/>
      <c r="BN281" s="348"/>
      <c r="BO281" s="348"/>
      <c r="BP281" s="348"/>
      <c r="BQ281" s="348"/>
      <c r="BR281" s="348"/>
      <c r="BS281" s="348"/>
      <c r="BT281" s="348"/>
      <c r="BU281" s="348"/>
      <c r="BV281" s="348"/>
      <c r="BW281" s="348"/>
      <c r="BX281" s="348"/>
      <c r="BY281" s="348"/>
      <c r="BZ281" s="348"/>
      <c r="CA281" s="348"/>
      <c r="CB281" s="348"/>
      <c r="CC281" s="348"/>
      <c r="CD281" s="348"/>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07"/>
      <c r="AD283" s="104"/>
      <c r="AE283" s="77"/>
      <c r="AF283" s="77"/>
      <c r="AG283" s="77"/>
      <c r="AH283" s="77"/>
      <c r="AI283" s="53"/>
      <c r="AJ283" s="53" t="s">
        <v>1947</v>
      </c>
      <c r="AK283" s="1018">
        <f>$AJ$124+$AJ$139+$AJ$151+$AJ$184+$AJ$206+$AJ$218+$AJ$230+$AJ$244+$AJ$256+$AJ$271+AJ281</f>
        <v>23</v>
      </c>
      <c r="AL283" s="1019"/>
      <c r="AM283" s="102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1"/>
      <c r="AK284" s="401"/>
      <c r="AL284" s="401"/>
      <c r="AN284" s="243"/>
    </row>
    <row r="285" spans="1:82" s="4" customFormat="1" ht="12.75" customHeight="1" thickTop="1">
      <c r="A285" s="244"/>
      <c r="B285" s="245" t="s">
        <v>1948</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08"/>
      <c r="AD285" s="246"/>
      <c r="AE285" s="244"/>
      <c r="AF285" s="244"/>
      <c r="AG285" s="244"/>
      <c r="AH285" s="244"/>
      <c r="AI285" s="247"/>
      <c r="AJ285" s="909"/>
      <c r="AK285" s="909"/>
      <c r="AL285" s="909"/>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1"/>
      <c r="AK286" s="401"/>
      <c r="AL286" s="401"/>
      <c r="AN286" s="243"/>
    </row>
    <row r="287" spans="1:82" s="4" customFormat="1" ht="12.75" customHeight="1">
      <c r="B287" s="37" t="s">
        <v>1949</v>
      </c>
      <c r="C287" s="37"/>
      <c r="D287" s="37"/>
      <c r="E287" s="37"/>
      <c r="F287" s="37"/>
      <c r="G287"/>
      <c r="H287" s="1005" t="s">
        <v>1950</v>
      </c>
      <c r="I287" s="1005"/>
      <c r="J287" s="1005"/>
      <c r="K287" s="1005"/>
      <c r="L287" s="1005"/>
      <c r="M287" s="1005"/>
      <c r="N287" s="1005"/>
      <c r="O287" s="1005"/>
      <c r="P287" s="1005"/>
      <c r="Q287" s="1005"/>
      <c r="R287" s="1005"/>
      <c r="S287"/>
      <c r="T287" s="37" t="s">
        <v>1949</v>
      </c>
      <c r="U287"/>
      <c r="V287" s="37"/>
      <c r="W287" s="37"/>
      <c r="X287" s="37"/>
      <c r="Y287" s="37"/>
      <c r="Z287"/>
      <c r="AA287" s="1005" t="s">
        <v>1951</v>
      </c>
      <c r="AB287" s="1005"/>
      <c r="AC287" s="1005"/>
      <c r="AD287" s="1005"/>
      <c r="AE287" s="1005"/>
      <c r="AF287" s="1005"/>
      <c r="AG287" s="1005"/>
      <c r="AH287" s="1005"/>
      <c r="AI287" s="1005"/>
      <c r="AJ287" s="1005"/>
      <c r="AK287" s="1005"/>
      <c r="AL287" s="401"/>
      <c r="AN287" s="243"/>
      <c r="AP287" t="s">
        <v>1952</v>
      </c>
    </row>
    <row r="288" spans="1:82" s="4" customFormat="1" ht="12.75" customHeight="1">
      <c r="B288" s="37" t="s">
        <v>1025</v>
      </c>
      <c r="C288" s="37"/>
      <c r="D288" s="37"/>
      <c r="E288" s="37"/>
      <c r="F288" s="37"/>
      <c r="G288"/>
      <c r="H288" s="1004" t="s">
        <v>1953</v>
      </c>
      <c r="I288" s="1004"/>
      <c r="J288" s="1004"/>
      <c r="K288" s="1004"/>
      <c r="L288" s="1004"/>
      <c r="M288" s="1004"/>
      <c r="N288" s="1004"/>
      <c r="O288" s="1004"/>
      <c r="P288" s="1004"/>
      <c r="Q288" s="1004"/>
      <c r="R288" s="1004"/>
      <c r="S288"/>
      <c r="T288" s="37" t="s">
        <v>1025</v>
      </c>
      <c r="U288"/>
      <c r="V288" s="37"/>
      <c r="W288" s="37"/>
      <c r="X288" s="37"/>
      <c r="Y288" s="37"/>
      <c r="Z288"/>
      <c r="AA288" s="1004" t="s">
        <v>1954</v>
      </c>
      <c r="AB288" s="1004"/>
      <c r="AC288" s="1004"/>
      <c r="AD288" s="1004"/>
      <c r="AE288" s="1004"/>
      <c r="AF288" s="1004"/>
      <c r="AG288" s="1004"/>
      <c r="AH288" s="1004"/>
      <c r="AI288" s="1004"/>
      <c r="AJ288" s="1004"/>
      <c r="AK288" s="1004"/>
      <c r="AL288" s="401"/>
      <c r="AN288" s="243"/>
      <c r="AP288" t="s">
        <v>1955</v>
      </c>
    </row>
    <row r="289" spans="1:42" s="4" customFormat="1" ht="12.75" customHeight="1">
      <c r="B289" s="37" t="s">
        <v>1956</v>
      </c>
      <c r="C289" s="37"/>
      <c r="D289" s="37"/>
      <c r="E289" s="37"/>
      <c r="F289" s="37"/>
      <c r="G289"/>
      <c r="H289" s="1004" t="s">
        <v>1957</v>
      </c>
      <c r="I289" s="1004"/>
      <c r="J289" s="1004"/>
      <c r="K289" s="1004"/>
      <c r="L289" s="1004"/>
      <c r="M289" s="1004"/>
      <c r="N289" s="1004"/>
      <c r="O289" s="1004"/>
      <c r="P289" s="1004"/>
      <c r="Q289" s="1004"/>
      <c r="R289" s="1004"/>
      <c r="S289"/>
      <c r="T289" s="37" t="s">
        <v>1956</v>
      </c>
      <c r="U289"/>
      <c r="V289" s="37"/>
      <c r="W289" s="37"/>
      <c r="X289" s="37"/>
      <c r="Y289" s="37"/>
      <c r="Z289"/>
      <c r="AA289" s="1004" t="s">
        <v>1957</v>
      </c>
      <c r="AB289" s="1004"/>
      <c r="AC289" s="1004"/>
      <c r="AD289" s="1004"/>
      <c r="AE289" s="1004"/>
      <c r="AF289" s="1004"/>
      <c r="AG289" s="1004"/>
      <c r="AH289" s="1004"/>
      <c r="AI289" s="1004"/>
      <c r="AJ289" s="1004"/>
      <c r="AK289" s="1004"/>
      <c r="AL289" s="401"/>
      <c r="AN289" s="243"/>
      <c r="AO289" s="179"/>
      <c r="AP289" t="s">
        <v>1958</v>
      </c>
    </row>
    <row r="290" spans="1:42" s="4" customFormat="1" ht="12.75" customHeight="1">
      <c r="B290" s="37" t="s">
        <v>987</v>
      </c>
      <c r="C290" s="37"/>
      <c r="D290" s="37"/>
      <c r="E290" s="37"/>
      <c r="F290" s="37"/>
      <c r="G290"/>
      <c r="H290" s="1004" t="s">
        <v>1959</v>
      </c>
      <c r="I290" s="1004"/>
      <c r="J290" s="1004"/>
      <c r="K290" s="1004"/>
      <c r="L290" s="1004"/>
      <c r="M290" s="1004"/>
      <c r="N290" s="1004"/>
      <c r="O290" s="1004"/>
      <c r="P290" s="1004"/>
      <c r="Q290" s="1004"/>
      <c r="R290" s="1004"/>
      <c r="S290"/>
      <c r="T290" s="37" t="s">
        <v>987</v>
      </c>
      <c r="U290"/>
      <c r="V290" s="37"/>
      <c r="W290" s="37"/>
      <c r="X290" s="37"/>
      <c r="Y290" s="37"/>
      <c r="Z290"/>
      <c r="AA290" s="1004" t="s">
        <v>1960</v>
      </c>
      <c r="AB290" s="1004"/>
      <c r="AC290" s="1004"/>
      <c r="AD290" s="1004"/>
      <c r="AE290" s="1004"/>
      <c r="AF290" s="1004"/>
      <c r="AG290" s="1004"/>
      <c r="AH290" s="1004"/>
      <c r="AI290" s="1004"/>
      <c r="AJ290" s="1004"/>
      <c r="AK290" s="1004"/>
      <c r="AL290" s="401"/>
      <c r="AN290" s="243"/>
      <c r="AO290" s="179"/>
      <c r="AP290" t="s">
        <v>1961</v>
      </c>
    </row>
    <row r="291" spans="1:42" s="4" customFormat="1" ht="12.75" customHeight="1">
      <c r="B291" s="37" t="s">
        <v>989</v>
      </c>
      <c r="C291" s="37"/>
      <c r="D291" s="37"/>
      <c r="E291" s="37"/>
      <c r="F291" s="37"/>
      <c r="G291" s="37"/>
      <c r="H291" s="1007" t="s">
        <v>1962</v>
      </c>
      <c r="I291" s="1007"/>
      <c r="J291" s="1007"/>
      <c r="K291" s="1007"/>
      <c r="L291" s="1007"/>
      <c r="M291" s="1007"/>
      <c r="N291" s="37" t="s">
        <v>991</v>
      </c>
      <c r="O291" s="37"/>
      <c r="P291" s="1002"/>
      <c r="Q291" s="1002"/>
      <c r="R291" s="1002"/>
      <c r="S291" s="37"/>
      <c r="T291" s="37" t="s">
        <v>989</v>
      </c>
      <c r="U291"/>
      <c r="V291" s="37"/>
      <c r="W291" s="37"/>
      <c r="X291" s="37"/>
      <c r="Y291" s="37"/>
      <c r="Z291"/>
      <c r="AA291" s="1007" t="s">
        <v>1963</v>
      </c>
      <c r="AB291" s="1007"/>
      <c r="AC291" s="1007"/>
      <c r="AD291" s="1007"/>
      <c r="AE291" s="1007"/>
      <c r="AF291" s="1007"/>
      <c r="AG291" s="37" t="s">
        <v>991</v>
      </c>
      <c r="AH291" s="37"/>
      <c r="AI291" s="1002"/>
      <c r="AJ291" s="1002"/>
      <c r="AK291" s="1002"/>
      <c r="AL291" s="401"/>
      <c r="AN291" s="243"/>
      <c r="AO291" s="179"/>
      <c r="AP291" t="s">
        <v>1964</v>
      </c>
    </row>
    <row r="292" spans="1:42" s="4" customFormat="1" ht="12.75" customHeight="1">
      <c r="B292" s="37" t="s">
        <v>1965</v>
      </c>
      <c r="C292" s="37"/>
      <c r="D292" s="37"/>
      <c r="E292" s="37"/>
      <c r="F292" s="37"/>
      <c r="G292" s="37"/>
      <c r="H292" s="1004" t="s">
        <v>1966</v>
      </c>
      <c r="I292" s="1004"/>
      <c r="J292" s="1004"/>
      <c r="K292" s="1004"/>
      <c r="L292" s="1004"/>
      <c r="M292" s="1004"/>
      <c r="N292" s="1004"/>
      <c r="O292" s="1004"/>
      <c r="P292" s="1004"/>
      <c r="Q292" s="1004"/>
      <c r="R292" s="1004"/>
      <c r="S292" s="37"/>
      <c r="T292" s="37" t="s">
        <v>1965</v>
      </c>
      <c r="U292"/>
      <c r="V292" s="37"/>
      <c r="W292" s="37"/>
      <c r="X292" s="37"/>
      <c r="Y292" s="37"/>
      <c r="Z292"/>
      <c r="AA292" s="1004" t="s">
        <v>1952</v>
      </c>
      <c r="AB292" s="1004"/>
      <c r="AC292" s="1004"/>
      <c r="AD292" s="1004"/>
      <c r="AE292" s="1004"/>
      <c r="AF292" s="1004"/>
      <c r="AG292" s="1004"/>
      <c r="AH292" s="1004"/>
      <c r="AI292" s="1004"/>
      <c r="AJ292" s="1004"/>
      <c r="AK292" s="1004"/>
      <c r="AL292" s="401"/>
      <c r="AN292" s="243"/>
      <c r="AO292" s="179"/>
      <c r="AP292" t="s">
        <v>1967</v>
      </c>
    </row>
    <row r="293" spans="1:42" s="4" customFormat="1" ht="12.75" customHeight="1">
      <c r="B293" s="37" t="s">
        <v>1968</v>
      </c>
      <c r="C293" s="37"/>
      <c r="D293" s="37"/>
      <c r="E293" s="37"/>
      <c r="F293" s="37"/>
      <c r="G293" s="37"/>
      <c r="H293" s="1004" t="s">
        <v>1969</v>
      </c>
      <c r="I293" s="1004"/>
      <c r="J293" s="1004"/>
      <c r="K293" s="1004"/>
      <c r="L293" s="1004"/>
      <c r="M293" s="1004"/>
      <c r="N293" s="1004"/>
      <c r="O293" s="1004"/>
      <c r="P293" s="1004"/>
      <c r="Q293" s="1004"/>
      <c r="R293" s="1004"/>
      <c r="S293" s="37"/>
      <c r="T293" s="37" t="s">
        <v>1968</v>
      </c>
      <c r="U293"/>
      <c r="V293" s="37"/>
      <c r="W293" s="37"/>
      <c r="X293" s="37"/>
      <c r="Y293" s="37"/>
      <c r="Z293"/>
      <c r="AA293" s="1004" t="s">
        <v>1970</v>
      </c>
      <c r="AB293" s="1004"/>
      <c r="AC293" s="1004"/>
      <c r="AD293" s="1004"/>
      <c r="AE293" s="1004"/>
      <c r="AF293" s="1004"/>
      <c r="AG293" s="1004"/>
      <c r="AH293" s="1004"/>
      <c r="AI293" s="1004"/>
      <c r="AJ293" s="1004"/>
      <c r="AK293" s="1004"/>
      <c r="AL293" s="401"/>
      <c r="AN293" s="243"/>
      <c r="AP293" t="s">
        <v>1971</v>
      </c>
    </row>
    <row r="294" spans="1:42" s="4" customFormat="1" ht="12.75" customHeight="1">
      <c r="B294" s="37" t="s">
        <v>1972</v>
      </c>
      <c r="C294" s="37"/>
      <c r="D294" s="37"/>
      <c r="E294" s="37"/>
      <c r="F294" s="37"/>
      <c r="G294" s="37"/>
      <c r="H294" s="1752" t="s">
        <v>1973</v>
      </c>
      <c r="I294" s="1752"/>
      <c r="J294" s="1752"/>
      <c r="K294" s="1752"/>
      <c r="L294" s="1752"/>
      <c r="M294" s="1752"/>
      <c r="N294" s="1752"/>
      <c r="O294" s="1752"/>
      <c r="P294" s="1752"/>
      <c r="Q294" s="1752"/>
      <c r="R294" s="1752"/>
      <c r="S294" s="37"/>
      <c r="T294" s="37" t="s">
        <v>1972</v>
      </c>
      <c r="U294" s="37"/>
      <c r="V294" s="37"/>
      <c r="W294" s="37"/>
      <c r="X294" s="37"/>
      <c r="Y294" s="37"/>
      <c r="Z294" s="12"/>
      <c r="AA294" s="1752" t="s">
        <v>1974</v>
      </c>
      <c r="AB294" s="1752"/>
      <c r="AC294" s="1752"/>
      <c r="AD294" s="1752"/>
      <c r="AE294" s="1752"/>
      <c r="AF294" s="1752"/>
      <c r="AG294" s="1752"/>
      <c r="AH294" s="1752"/>
      <c r="AI294" s="1752"/>
      <c r="AJ294" s="1752"/>
      <c r="AK294" s="1752"/>
      <c r="AL294" s="401"/>
      <c r="AN294" s="243"/>
      <c r="AP294" t="s">
        <v>1975</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1"/>
      <c r="AN295" s="243"/>
      <c r="AP295" t="s">
        <v>1966</v>
      </c>
    </row>
    <row r="296" spans="1:42" s="4" customFormat="1" ht="12.75" customHeight="1">
      <c r="B296" s="37" t="s">
        <v>1949</v>
      </c>
      <c r="C296" s="37"/>
      <c r="D296" s="37"/>
      <c r="E296" s="37"/>
      <c r="F296" s="37"/>
      <c r="G296"/>
      <c r="H296" s="1005" t="s">
        <v>1976</v>
      </c>
      <c r="I296" s="1005"/>
      <c r="J296" s="1005"/>
      <c r="K296" s="1005"/>
      <c r="L296" s="1005"/>
      <c r="M296" s="1005"/>
      <c r="N296" s="1005"/>
      <c r="O296" s="1005"/>
      <c r="P296" s="1005"/>
      <c r="Q296" s="1005"/>
      <c r="R296" s="1005"/>
      <c r="S296"/>
      <c r="T296" s="37" t="s">
        <v>1949</v>
      </c>
      <c r="U296"/>
      <c r="V296" s="37"/>
      <c r="W296" s="37"/>
      <c r="X296" s="37"/>
      <c r="Y296" s="37"/>
      <c r="Z296"/>
      <c r="AA296" s="1005" t="s">
        <v>1977</v>
      </c>
      <c r="AB296" s="1005"/>
      <c r="AC296" s="1005"/>
      <c r="AD296" s="1005"/>
      <c r="AE296" s="1005"/>
      <c r="AF296" s="1005"/>
      <c r="AG296" s="1005"/>
      <c r="AH296" s="1005"/>
      <c r="AI296" s="1005"/>
      <c r="AJ296" s="1005"/>
      <c r="AK296" s="1005"/>
      <c r="AL296" s="401"/>
      <c r="AN296" s="243"/>
      <c r="AP296" t="s">
        <v>1978</v>
      </c>
    </row>
    <row r="297" spans="1:42" s="20" customFormat="1" ht="12.75" customHeight="1">
      <c r="A297" s="4"/>
      <c r="B297" s="37" t="s">
        <v>1025</v>
      </c>
      <c r="C297" s="37"/>
      <c r="D297" s="37"/>
      <c r="E297" s="37"/>
      <c r="F297" s="37"/>
      <c r="G297"/>
      <c r="H297" s="1004" t="s">
        <v>1979</v>
      </c>
      <c r="I297" s="1004"/>
      <c r="J297" s="1004"/>
      <c r="K297" s="1004"/>
      <c r="L297" s="1004"/>
      <c r="M297" s="1004"/>
      <c r="N297" s="1004"/>
      <c r="O297" s="1004"/>
      <c r="P297" s="1004"/>
      <c r="Q297" s="1004"/>
      <c r="R297" s="1004"/>
      <c r="S297"/>
      <c r="T297" s="37" t="s">
        <v>1025</v>
      </c>
      <c r="U297"/>
      <c r="V297" s="37"/>
      <c r="W297" s="37"/>
      <c r="X297" s="37"/>
      <c r="Y297" s="37"/>
      <c r="Z297"/>
      <c r="AA297" s="1004" t="s">
        <v>1954</v>
      </c>
      <c r="AB297" s="1004"/>
      <c r="AC297" s="1004"/>
      <c r="AD297" s="1004"/>
      <c r="AE297" s="1004"/>
      <c r="AF297" s="1004"/>
      <c r="AG297" s="1004"/>
      <c r="AH297" s="1004"/>
      <c r="AI297" s="1004"/>
      <c r="AJ297" s="1004"/>
      <c r="AK297" s="1004"/>
      <c r="AL297" s="401"/>
      <c r="AM297" s="4"/>
      <c r="AN297" s="243"/>
      <c r="AO297" s="4"/>
      <c r="AP297" s="41" t="s">
        <v>1980</v>
      </c>
    </row>
    <row r="298" spans="1:42" s="20" customFormat="1" ht="12.75" customHeight="1">
      <c r="A298" s="4"/>
      <c r="B298" s="37" t="s">
        <v>1956</v>
      </c>
      <c r="C298" s="37"/>
      <c r="D298" s="37"/>
      <c r="E298" s="37"/>
      <c r="F298" s="37"/>
      <c r="G298"/>
      <c r="H298" s="1004" t="s">
        <v>1957</v>
      </c>
      <c r="I298" s="1004"/>
      <c r="J298" s="1004"/>
      <c r="K298" s="1004"/>
      <c r="L298" s="1004"/>
      <c r="M298" s="1004"/>
      <c r="N298" s="1004"/>
      <c r="O298" s="1004"/>
      <c r="P298" s="1004"/>
      <c r="Q298" s="1004"/>
      <c r="R298" s="1004"/>
      <c r="S298"/>
      <c r="T298" s="37" t="s">
        <v>1956</v>
      </c>
      <c r="U298"/>
      <c r="V298" s="37"/>
      <c r="W298" s="37"/>
      <c r="X298" s="37"/>
      <c r="Y298" s="37"/>
      <c r="Z298"/>
      <c r="AA298" s="1004" t="s">
        <v>1957</v>
      </c>
      <c r="AB298" s="1004"/>
      <c r="AC298" s="1004"/>
      <c r="AD298" s="1004"/>
      <c r="AE298" s="1004"/>
      <c r="AF298" s="1004"/>
      <c r="AG298" s="1004"/>
      <c r="AH298" s="1004"/>
      <c r="AI298" s="1004"/>
      <c r="AJ298" s="1004"/>
      <c r="AK298" s="1004"/>
      <c r="AL298" s="401"/>
      <c r="AM298" s="4"/>
      <c r="AN298" s="243"/>
      <c r="AO298" s="4"/>
    </row>
    <row r="299" spans="1:42" s="4" customFormat="1" ht="12.75" customHeight="1">
      <c r="B299" s="37" t="s">
        <v>987</v>
      </c>
      <c r="C299" s="37"/>
      <c r="D299" s="37"/>
      <c r="E299" s="37"/>
      <c r="F299" s="37"/>
      <c r="G299"/>
      <c r="H299" s="1004" t="s">
        <v>1981</v>
      </c>
      <c r="I299" s="1004"/>
      <c r="J299" s="1004"/>
      <c r="K299" s="1004"/>
      <c r="L299" s="1004"/>
      <c r="M299" s="1004"/>
      <c r="N299" s="1004"/>
      <c r="O299" s="1004"/>
      <c r="P299" s="1004"/>
      <c r="Q299" s="1004"/>
      <c r="R299" s="1004"/>
      <c r="S299"/>
      <c r="T299" s="37" t="s">
        <v>987</v>
      </c>
      <c r="U299"/>
      <c r="V299" s="37"/>
      <c r="W299" s="37"/>
      <c r="X299" s="37"/>
      <c r="Y299" s="37"/>
      <c r="Z299"/>
      <c r="AA299" s="1004" t="s">
        <v>1982</v>
      </c>
      <c r="AB299" s="1004"/>
      <c r="AC299" s="1004"/>
      <c r="AD299" s="1004"/>
      <c r="AE299" s="1004"/>
      <c r="AF299" s="1004"/>
      <c r="AG299" s="1004"/>
      <c r="AH299" s="1004"/>
      <c r="AI299" s="1004"/>
      <c r="AJ299" s="1004"/>
      <c r="AK299" s="1004"/>
      <c r="AL299" s="401"/>
      <c r="AN299" s="243"/>
    </row>
    <row r="300" spans="1:42" s="4" customFormat="1" ht="12.75" customHeight="1">
      <c r="B300" s="37" t="s">
        <v>989</v>
      </c>
      <c r="C300" s="37"/>
      <c r="D300" s="37"/>
      <c r="E300" s="37"/>
      <c r="F300" s="37"/>
      <c r="G300" s="37"/>
      <c r="H300" s="1007" t="s">
        <v>1983</v>
      </c>
      <c r="I300" s="1007"/>
      <c r="J300" s="1007"/>
      <c r="K300" s="1007"/>
      <c r="L300" s="1007"/>
      <c r="M300" s="1007"/>
      <c r="N300" s="37" t="s">
        <v>991</v>
      </c>
      <c r="O300" s="37"/>
      <c r="P300" s="1002"/>
      <c r="Q300" s="1002"/>
      <c r="R300" s="1002"/>
      <c r="S300" s="37"/>
      <c r="T300" s="37" t="s">
        <v>989</v>
      </c>
      <c r="U300"/>
      <c r="V300" s="37"/>
      <c r="W300" s="37"/>
      <c r="X300" s="37"/>
      <c r="Y300" s="37"/>
      <c r="Z300"/>
      <c r="AA300" s="1007" t="s">
        <v>1984</v>
      </c>
      <c r="AB300" s="1007"/>
      <c r="AC300" s="1007"/>
      <c r="AD300" s="1007"/>
      <c r="AE300" s="1007"/>
      <c r="AF300" s="1007"/>
      <c r="AG300" s="37" t="s">
        <v>991</v>
      </c>
      <c r="AH300" s="37"/>
      <c r="AI300" s="1002"/>
      <c r="AJ300" s="1002"/>
      <c r="AK300" s="1002"/>
      <c r="AL300" s="401"/>
      <c r="AN300" s="243"/>
    </row>
    <row r="301" spans="1:42" s="4" customFormat="1" ht="12.75" customHeight="1">
      <c r="B301" s="37" t="s">
        <v>1965</v>
      </c>
      <c r="C301" s="37"/>
      <c r="D301" s="37"/>
      <c r="E301" s="37"/>
      <c r="F301" s="37"/>
      <c r="G301" s="37"/>
      <c r="H301" s="1004" t="s">
        <v>1961</v>
      </c>
      <c r="I301" s="1004"/>
      <c r="J301" s="1004"/>
      <c r="K301" s="1004"/>
      <c r="L301" s="1004"/>
      <c r="M301" s="1004"/>
      <c r="N301" s="1004"/>
      <c r="O301" s="1004"/>
      <c r="P301" s="1004"/>
      <c r="Q301" s="1004"/>
      <c r="R301" s="1004"/>
      <c r="S301" s="37"/>
      <c r="T301" s="37" t="s">
        <v>1965</v>
      </c>
      <c r="U301"/>
      <c r="V301" s="37"/>
      <c r="W301" s="37"/>
      <c r="X301" s="37"/>
      <c r="Y301" s="37"/>
      <c r="Z301"/>
      <c r="AA301" s="1004" t="s">
        <v>1971</v>
      </c>
      <c r="AB301" s="1004"/>
      <c r="AC301" s="1004"/>
      <c r="AD301" s="1004"/>
      <c r="AE301" s="1004"/>
      <c r="AF301" s="1004"/>
      <c r="AG301" s="1004"/>
      <c r="AH301" s="1004"/>
      <c r="AI301" s="1004"/>
      <c r="AJ301" s="1004"/>
      <c r="AK301" s="1004"/>
      <c r="AL301" s="401"/>
      <c r="AN301" s="243"/>
    </row>
    <row r="302" spans="1:42" s="4" customFormat="1" ht="12.75" customHeight="1">
      <c r="B302" s="37" t="s">
        <v>1968</v>
      </c>
      <c r="C302" s="37"/>
      <c r="D302" s="37"/>
      <c r="E302" s="37"/>
      <c r="F302" s="37"/>
      <c r="G302" s="37"/>
      <c r="H302" s="1004" t="s">
        <v>1985</v>
      </c>
      <c r="I302" s="1004"/>
      <c r="J302" s="1004"/>
      <c r="K302" s="1004"/>
      <c r="L302" s="1004"/>
      <c r="M302" s="1004"/>
      <c r="N302" s="1004"/>
      <c r="O302" s="1004"/>
      <c r="P302" s="1004"/>
      <c r="Q302" s="1004"/>
      <c r="R302" s="1004"/>
      <c r="S302" s="37"/>
      <c r="T302" s="37" t="s">
        <v>1968</v>
      </c>
      <c r="U302"/>
      <c r="V302" s="37"/>
      <c r="W302" s="37"/>
      <c r="X302" s="37"/>
      <c r="Y302" s="37"/>
      <c r="Z302"/>
      <c r="AA302" s="1004" t="s">
        <v>1986</v>
      </c>
      <c r="AB302" s="1004"/>
      <c r="AC302" s="1004"/>
      <c r="AD302" s="1004"/>
      <c r="AE302" s="1004"/>
      <c r="AF302" s="1004"/>
      <c r="AG302" s="1004"/>
      <c r="AH302" s="1004"/>
      <c r="AI302" s="1004"/>
      <c r="AJ302" s="1004"/>
      <c r="AK302" s="1004"/>
      <c r="AL302" s="401"/>
      <c r="AN302" s="243"/>
    </row>
    <row r="303" spans="1:42" s="4" customFormat="1" ht="12.75" customHeight="1">
      <c r="B303" s="37" t="s">
        <v>1972</v>
      </c>
      <c r="C303" s="37"/>
      <c r="D303" s="37"/>
      <c r="E303" s="37"/>
      <c r="F303" s="37"/>
      <c r="G303" s="37"/>
      <c r="H303" s="1752" t="s">
        <v>1987</v>
      </c>
      <c r="I303" s="1752"/>
      <c r="J303" s="1752"/>
      <c r="K303" s="1752"/>
      <c r="L303" s="1752"/>
      <c r="M303" s="1752"/>
      <c r="N303" s="1752"/>
      <c r="O303" s="1752"/>
      <c r="P303" s="1752"/>
      <c r="Q303" s="1752"/>
      <c r="R303" s="1752"/>
      <c r="S303" s="37"/>
      <c r="T303" s="37" t="s">
        <v>1972</v>
      </c>
      <c r="U303" s="37"/>
      <c r="V303" s="37"/>
      <c r="W303" s="37"/>
      <c r="X303" s="37"/>
      <c r="Y303" s="37"/>
      <c r="Z303" s="12"/>
      <c r="AA303" s="1752" t="s">
        <v>1987</v>
      </c>
      <c r="AB303" s="1752"/>
      <c r="AC303" s="1752"/>
      <c r="AD303" s="1752"/>
      <c r="AE303" s="1752"/>
      <c r="AF303" s="1752"/>
      <c r="AG303" s="1752"/>
      <c r="AH303" s="1752"/>
      <c r="AI303" s="1752"/>
      <c r="AJ303" s="1752"/>
      <c r="AK303" s="1752"/>
      <c r="AL303" s="401"/>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1"/>
      <c r="AN304" s="243"/>
    </row>
    <row r="305" spans="2:40" s="4" customFormat="1" ht="12.75" customHeight="1">
      <c r="B305" s="37" t="s">
        <v>1949</v>
      </c>
      <c r="C305" s="37"/>
      <c r="D305" s="37"/>
      <c r="E305" s="37"/>
      <c r="F305" s="37"/>
      <c r="G305"/>
      <c r="H305" s="1005" t="s">
        <v>1988</v>
      </c>
      <c r="I305" s="1005"/>
      <c r="J305" s="1005"/>
      <c r="K305" s="1005"/>
      <c r="L305" s="1005"/>
      <c r="M305" s="1005"/>
      <c r="N305" s="1005"/>
      <c r="O305" s="1005"/>
      <c r="P305" s="1005"/>
      <c r="Q305" s="1005"/>
      <c r="R305" s="1005"/>
      <c r="S305"/>
      <c r="T305" s="37" t="s">
        <v>1949</v>
      </c>
      <c r="U305"/>
      <c r="V305" s="37"/>
      <c r="W305" s="37"/>
      <c r="X305" s="37"/>
      <c r="Y305" s="37"/>
      <c r="Z305"/>
      <c r="AA305" s="1005"/>
      <c r="AB305" s="1005"/>
      <c r="AC305" s="1005"/>
      <c r="AD305" s="1005"/>
      <c r="AE305" s="1005"/>
      <c r="AF305" s="1005"/>
      <c r="AG305" s="1005"/>
      <c r="AH305" s="1005"/>
      <c r="AI305" s="1005"/>
      <c r="AJ305" s="1005"/>
      <c r="AK305" s="1005"/>
      <c r="AL305" s="401"/>
      <c r="AN305" s="243"/>
    </row>
    <row r="306" spans="2:40" s="4" customFormat="1" ht="12.75" customHeight="1">
      <c r="B306" s="37" t="s">
        <v>1025</v>
      </c>
      <c r="C306" s="37"/>
      <c r="D306" s="37"/>
      <c r="E306" s="37"/>
      <c r="F306" s="37"/>
      <c r="G306"/>
      <c r="H306" s="1004" t="s">
        <v>1954</v>
      </c>
      <c r="I306" s="1004"/>
      <c r="J306" s="1004"/>
      <c r="K306" s="1004"/>
      <c r="L306" s="1004"/>
      <c r="M306" s="1004"/>
      <c r="N306" s="1004"/>
      <c r="O306" s="1004"/>
      <c r="P306" s="1004"/>
      <c r="Q306" s="1004"/>
      <c r="R306" s="1004"/>
      <c r="S306"/>
      <c r="T306" s="37" t="s">
        <v>1025</v>
      </c>
      <c r="U306"/>
      <c r="V306" s="37"/>
      <c r="W306" s="37"/>
      <c r="X306" s="37"/>
      <c r="Y306" s="37"/>
      <c r="Z306"/>
      <c r="AA306" s="1004"/>
      <c r="AB306" s="1004"/>
      <c r="AC306" s="1004"/>
      <c r="AD306" s="1004"/>
      <c r="AE306" s="1004"/>
      <c r="AF306" s="1004"/>
      <c r="AG306" s="1004"/>
      <c r="AH306" s="1004"/>
      <c r="AI306" s="1004"/>
      <c r="AJ306" s="1004"/>
      <c r="AK306" s="1004"/>
      <c r="AL306" s="401"/>
      <c r="AN306" s="243"/>
    </row>
    <row r="307" spans="2:40" s="4" customFormat="1" ht="12.75" customHeight="1">
      <c r="B307" s="37" t="s">
        <v>1956</v>
      </c>
      <c r="C307" s="37"/>
      <c r="D307" s="37"/>
      <c r="E307" s="37"/>
      <c r="F307" s="37"/>
      <c r="G307"/>
      <c r="H307" s="1004" t="s">
        <v>1957</v>
      </c>
      <c r="I307" s="1004"/>
      <c r="J307" s="1004"/>
      <c r="K307" s="1004"/>
      <c r="L307" s="1004"/>
      <c r="M307" s="1004"/>
      <c r="N307" s="1004"/>
      <c r="O307" s="1004"/>
      <c r="P307" s="1004"/>
      <c r="Q307" s="1004"/>
      <c r="R307" s="1004"/>
      <c r="S307"/>
      <c r="T307" s="37" t="s">
        <v>1956</v>
      </c>
      <c r="U307"/>
      <c r="V307" s="37"/>
      <c r="W307" s="37"/>
      <c r="X307" s="37"/>
      <c r="Y307" s="37"/>
      <c r="Z307"/>
      <c r="AA307" s="1004"/>
      <c r="AB307" s="1004"/>
      <c r="AC307" s="1004"/>
      <c r="AD307" s="1004"/>
      <c r="AE307" s="1004"/>
      <c r="AF307" s="1004"/>
      <c r="AG307" s="1004"/>
      <c r="AH307" s="1004"/>
      <c r="AI307" s="1004"/>
      <c r="AJ307" s="1004"/>
      <c r="AK307" s="1004"/>
      <c r="AL307" s="401"/>
      <c r="AN307" s="243"/>
    </row>
    <row r="308" spans="2:40" s="4" customFormat="1" ht="12.75" customHeight="1">
      <c r="B308" s="37" t="s">
        <v>987</v>
      </c>
      <c r="C308" s="37"/>
      <c r="D308" s="37"/>
      <c r="E308" s="37"/>
      <c r="F308" s="37"/>
      <c r="G308"/>
      <c r="H308" s="1004" t="s">
        <v>1989</v>
      </c>
      <c r="I308" s="1004"/>
      <c r="J308" s="1004"/>
      <c r="K308" s="1004"/>
      <c r="L308" s="1004"/>
      <c r="M308" s="1004"/>
      <c r="N308" s="1004"/>
      <c r="O308" s="1004"/>
      <c r="P308" s="1004"/>
      <c r="Q308" s="1004"/>
      <c r="R308" s="1004"/>
      <c r="S308"/>
      <c r="T308" s="37" t="s">
        <v>987</v>
      </c>
      <c r="U308"/>
      <c r="V308" s="37"/>
      <c r="W308" s="37"/>
      <c r="X308" s="37"/>
      <c r="Y308" s="37"/>
      <c r="Z308"/>
      <c r="AA308" s="1004"/>
      <c r="AB308" s="1004"/>
      <c r="AC308" s="1004"/>
      <c r="AD308" s="1004"/>
      <c r="AE308" s="1004"/>
      <c r="AF308" s="1004"/>
      <c r="AG308" s="1004"/>
      <c r="AH308" s="1004"/>
      <c r="AI308" s="1004"/>
      <c r="AJ308" s="1004"/>
      <c r="AK308" s="1004"/>
      <c r="AL308" s="401"/>
      <c r="AN308" s="243"/>
    </row>
    <row r="309" spans="2:40" s="4" customFormat="1" ht="12.75" customHeight="1">
      <c r="B309" s="37" t="s">
        <v>989</v>
      </c>
      <c r="C309" s="37"/>
      <c r="D309" s="37"/>
      <c r="E309" s="37"/>
      <c r="F309" s="37"/>
      <c r="G309" s="37"/>
      <c r="H309" s="1007" t="s">
        <v>1990</v>
      </c>
      <c r="I309" s="1007"/>
      <c r="J309" s="1007"/>
      <c r="K309" s="1007"/>
      <c r="L309" s="1007"/>
      <c r="M309" s="1007"/>
      <c r="N309" s="37" t="s">
        <v>991</v>
      </c>
      <c r="O309" s="37"/>
      <c r="P309" s="1002"/>
      <c r="Q309" s="1002"/>
      <c r="R309" s="1002"/>
      <c r="S309" s="37"/>
      <c r="T309" s="37" t="s">
        <v>989</v>
      </c>
      <c r="U309"/>
      <c r="V309" s="37"/>
      <c r="W309" s="37"/>
      <c r="X309" s="37"/>
      <c r="Y309" s="37"/>
      <c r="Z309"/>
      <c r="AA309" s="1007"/>
      <c r="AB309" s="1007"/>
      <c r="AC309" s="1007"/>
      <c r="AD309" s="1007"/>
      <c r="AE309" s="1007"/>
      <c r="AF309" s="1007"/>
      <c r="AG309" s="37" t="s">
        <v>991</v>
      </c>
      <c r="AH309" s="37"/>
      <c r="AI309" s="1002"/>
      <c r="AJ309" s="1002"/>
      <c r="AK309" s="1002"/>
      <c r="AL309" s="401"/>
      <c r="AN309" s="243"/>
    </row>
    <row r="310" spans="2:40" s="4" customFormat="1" ht="12.75" customHeight="1">
      <c r="B310" s="37" t="s">
        <v>1965</v>
      </c>
      <c r="C310" s="37"/>
      <c r="D310" s="37"/>
      <c r="E310" s="37"/>
      <c r="F310" s="37"/>
      <c r="G310" s="37"/>
      <c r="H310" s="1004" t="s">
        <v>1955</v>
      </c>
      <c r="I310" s="1004"/>
      <c r="J310" s="1004"/>
      <c r="K310" s="1004"/>
      <c r="L310" s="1004"/>
      <c r="M310" s="1004"/>
      <c r="N310" s="1004"/>
      <c r="O310" s="1004"/>
      <c r="P310" s="1004"/>
      <c r="Q310" s="1004"/>
      <c r="R310" s="1004"/>
      <c r="S310" s="37"/>
      <c r="T310" s="37" t="s">
        <v>1965</v>
      </c>
      <c r="U310"/>
      <c r="V310" s="37"/>
      <c r="W310" s="37"/>
      <c r="X310" s="37"/>
      <c r="Y310" s="37"/>
      <c r="Z310"/>
      <c r="AA310" s="1004"/>
      <c r="AB310" s="1004"/>
      <c r="AC310" s="1004"/>
      <c r="AD310" s="1004"/>
      <c r="AE310" s="1004"/>
      <c r="AF310" s="1004"/>
      <c r="AG310" s="1004"/>
      <c r="AH310" s="1004"/>
      <c r="AI310" s="1004"/>
      <c r="AJ310" s="1004"/>
      <c r="AK310" s="1004"/>
      <c r="AL310" s="401"/>
      <c r="AN310" s="243"/>
    </row>
    <row r="311" spans="2:40" s="4" customFormat="1" ht="12.75" customHeight="1">
      <c r="B311" s="37" t="s">
        <v>1968</v>
      </c>
      <c r="C311" s="37"/>
      <c r="D311" s="37"/>
      <c r="E311" s="37"/>
      <c r="F311" s="37"/>
      <c r="G311" s="37"/>
      <c r="H311" s="1004"/>
      <c r="I311" s="1004"/>
      <c r="J311" s="1004"/>
      <c r="K311" s="1004"/>
      <c r="L311" s="1004"/>
      <c r="M311" s="1004"/>
      <c r="N311" s="1004"/>
      <c r="O311" s="1004"/>
      <c r="P311" s="1004"/>
      <c r="Q311" s="1004"/>
      <c r="R311" s="1004"/>
      <c r="S311" s="37"/>
      <c r="T311" s="37" t="s">
        <v>1968</v>
      </c>
      <c r="U311"/>
      <c r="V311" s="37"/>
      <c r="W311" s="37"/>
      <c r="X311" s="37"/>
      <c r="Y311" s="37"/>
      <c r="Z311"/>
      <c r="AA311" s="1004"/>
      <c r="AB311" s="1004"/>
      <c r="AC311" s="1004"/>
      <c r="AD311" s="1004"/>
      <c r="AE311" s="1004"/>
      <c r="AF311" s="1004"/>
      <c r="AG311" s="1004"/>
      <c r="AH311" s="1004"/>
      <c r="AI311" s="1004"/>
      <c r="AJ311" s="1004"/>
      <c r="AK311" s="1004"/>
      <c r="AL311" s="401"/>
      <c r="AN311" s="243"/>
    </row>
    <row r="312" spans="2:40" s="4" customFormat="1" ht="12.75" customHeight="1">
      <c r="B312" s="37" t="s">
        <v>1972</v>
      </c>
      <c r="C312" s="37"/>
      <c r="D312" s="37"/>
      <c r="E312" s="37"/>
      <c r="F312" s="37"/>
      <c r="G312" s="37"/>
      <c r="H312" s="1752" t="s">
        <v>1991</v>
      </c>
      <c r="I312" s="1752"/>
      <c r="J312" s="1752"/>
      <c r="K312" s="1752"/>
      <c r="L312" s="1752"/>
      <c r="M312" s="1752"/>
      <c r="N312" s="1752"/>
      <c r="O312" s="1752"/>
      <c r="P312" s="1752"/>
      <c r="Q312" s="1752"/>
      <c r="R312" s="1752"/>
      <c r="S312" s="37"/>
      <c r="T312" s="37" t="s">
        <v>1972</v>
      </c>
      <c r="U312" s="37"/>
      <c r="V312" s="37"/>
      <c r="W312" s="37"/>
      <c r="X312" s="37"/>
      <c r="Y312" s="37"/>
      <c r="Z312" s="12"/>
      <c r="AA312" s="1752"/>
      <c r="AB312" s="1752"/>
      <c r="AC312" s="1752"/>
      <c r="AD312" s="1752"/>
      <c r="AE312" s="1752"/>
      <c r="AF312" s="1752"/>
      <c r="AG312" s="1752"/>
      <c r="AH312" s="1752"/>
      <c r="AI312" s="1752"/>
      <c r="AJ312" s="1752"/>
      <c r="AK312" s="1752"/>
      <c r="AL312" s="401"/>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1"/>
      <c r="AN313" s="243"/>
    </row>
    <row r="314" spans="2:40" s="4" customFormat="1" ht="12.75" customHeight="1">
      <c r="B314" s="37" t="s">
        <v>1949</v>
      </c>
      <c r="C314" s="37"/>
      <c r="D314" s="37"/>
      <c r="E314" s="37"/>
      <c r="F314" s="37"/>
      <c r="G314"/>
      <c r="H314" s="1005" t="s">
        <v>1992</v>
      </c>
      <c r="I314" s="1005"/>
      <c r="J314" s="1005"/>
      <c r="K314" s="1005"/>
      <c r="L314" s="1005"/>
      <c r="M314" s="1005"/>
      <c r="N314" s="1005"/>
      <c r="O314" s="1005"/>
      <c r="P314" s="1005"/>
      <c r="Q314" s="1005"/>
      <c r="R314" s="1005"/>
      <c r="S314"/>
      <c r="T314" s="37" t="s">
        <v>1949</v>
      </c>
      <c r="U314"/>
      <c r="V314" s="37"/>
      <c r="W314" s="37"/>
      <c r="X314" s="37"/>
      <c r="Y314" s="37"/>
      <c r="Z314"/>
      <c r="AA314" s="1005"/>
      <c r="AB314" s="1005"/>
      <c r="AC314" s="1005"/>
      <c r="AD314" s="1005"/>
      <c r="AE314" s="1005"/>
      <c r="AF314" s="1005"/>
      <c r="AG314" s="1005"/>
      <c r="AH314" s="1005"/>
      <c r="AI314" s="1005"/>
      <c r="AJ314" s="1005"/>
      <c r="AK314" s="1005"/>
      <c r="AL314" s="401"/>
      <c r="AN314" s="243"/>
    </row>
    <row r="315" spans="2:40" s="4" customFormat="1" ht="12.75" customHeight="1">
      <c r="B315" s="37" t="s">
        <v>1025</v>
      </c>
      <c r="C315" s="37"/>
      <c r="D315" s="37"/>
      <c r="E315" s="37"/>
      <c r="F315" s="37"/>
      <c r="G315"/>
      <c r="H315" s="1004" t="s">
        <v>1993</v>
      </c>
      <c r="I315" s="1004"/>
      <c r="J315" s="1004"/>
      <c r="K315" s="1004"/>
      <c r="L315" s="1004"/>
      <c r="M315" s="1004"/>
      <c r="N315" s="1004"/>
      <c r="O315" s="1004"/>
      <c r="P315" s="1004"/>
      <c r="Q315" s="1004"/>
      <c r="R315" s="1004"/>
      <c r="S315"/>
      <c r="T315" s="37" t="s">
        <v>1025</v>
      </c>
      <c r="U315"/>
      <c r="V315" s="37"/>
      <c r="W315" s="37"/>
      <c r="X315" s="37"/>
      <c r="Y315" s="37"/>
      <c r="Z315"/>
      <c r="AA315" s="1004"/>
      <c r="AB315" s="1004"/>
      <c r="AC315" s="1004"/>
      <c r="AD315" s="1004"/>
      <c r="AE315" s="1004"/>
      <c r="AF315" s="1004"/>
      <c r="AG315" s="1004"/>
      <c r="AH315" s="1004"/>
      <c r="AI315" s="1004"/>
      <c r="AJ315" s="1004"/>
      <c r="AK315" s="1004"/>
      <c r="AL315" s="401"/>
      <c r="AN315" s="243"/>
    </row>
    <row r="316" spans="2:40" s="4" customFormat="1" ht="12.75" customHeight="1">
      <c r="B316" s="37" t="s">
        <v>1956</v>
      </c>
      <c r="C316" s="37"/>
      <c r="D316" s="37"/>
      <c r="E316" s="37"/>
      <c r="F316" s="37"/>
      <c r="G316"/>
      <c r="H316" s="1004" t="s">
        <v>1957</v>
      </c>
      <c r="I316" s="1004"/>
      <c r="J316" s="1004"/>
      <c r="K316" s="1004"/>
      <c r="L316" s="1004"/>
      <c r="M316" s="1004"/>
      <c r="N316" s="1004"/>
      <c r="O316" s="1004"/>
      <c r="P316" s="1004"/>
      <c r="Q316" s="1004"/>
      <c r="R316" s="1004"/>
      <c r="S316"/>
      <c r="T316" s="37" t="s">
        <v>1956</v>
      </c>
      <c r="U316"/>
      <c r="V316" s="37"/>
      <c r="W316" s="37"/>
      <c r="X316" s="37"/>
      <c r="Y316" s="37"/>
      <c r="Z316"/>
      <c r="AA316" s="1004"/>
      <c r="AB316" s="1004"/>
      <c r="AC316" s="1004"/>
      <c r="AD316" s="1004"/>
      <c r="AE316" s="1004"/>
      <c r="AF316" s="1004"/>
      <c r="AG316" s="1004"/>
      <c r="AH316" s="1004"/>
      <c r="AI316" s="1004"/>
      <c r="AJ316" s="1004"/>
      <c r="AK316" s="1004"/>
      <c r="AL316" s="401"/>
      <c r="AN316" s="243"/>
    </row>
    <row r="317" spans="2:40" s="4" customFormat="1" ht="12.75" customHeight="1">
      <c r="B317" s="37" t="s">
        <v>987</v>
      </c>
      <c r="C317" s="37"/>
      <c r="D317" s="37"/>
      <c r="E317" s="37"/>
      <c r="F317" s="37"/>
      <c r="G317"/>
      <c r="H317" s="1004" t="s">
        <v>1994</v>
      </c>
      <c r="I317" s="1004"/>
      <c r="J317" s="1004"/>
      <c r="K317" s="1004"/>
      <c r="L317" s="1004"/>
      <c r="M317" s="1004"/>
      <c r="N317" s="1004"/>
      <c r="O317" s="1004"/>
      <c r="P317" s="1004"/>
      <c r="Q317" s="1004"/>
      <c r="R317" s="1004"/>
      <c r="S317"/>
      <c r="T317" s="37" t="s">
        <v>987</v>
      </c>
      <c r="U317"/>
      <c r="V317" s="37"/>
      <c r="W317" s="37"/>
      <c r="X317" s="37"/>
      <c r="Y317" s="37"/>
      <c r="Z317"/>
      <c r="AA317" s="1004"/>
      <c r="AB317" s="1004"/>
      <c r="AC317" s="1004"/>
      <c r="AD317" s="1004"/>
      <c r="AE317" s="1004"/>
      <c r="AF317" s="1004"/>
      <c r="AG317" s="1004"/>
      <c r="AH317" s="1004"/>
      <c r="AI317" s="1004"/>
      <c r="AJ317" s="1004"/>
      <c r="AK317" s="1004"/>
      <c r="AL317" s="401"/>
      <c r="AN317" s="243"/>
    </row>
    <row r="318" spans="2:40" s="4" customFormat="1" ht="12.75" customHeight="1">
      <c r="B318" s="37" t="s">
        <v>989</v>
      </c>
      <c r="C318" s="37"/>
      <c r="D318" s="37"/>
      <c r="E318" s="37"/>
      <c r="F318" s="37"/>
      <c r="G318" s="37"/>
      <c r="H318" s="1007" t="s">
        <v>1995</v>
      </c>
      <c r="I318" s="1007"/>
      <c r="J318" s="1007"/>
      <c r="K318" s="1007"/>
      <c r="L318" s="1007"/>
      <c r="M318" s="1007"/>
      <c r="N318" s="37" t="s">
        <v>991</v>
      </c>
      <c r="O318" s="37"/>
      <c r="P318" s="1002"/>
      <c r="Q318" s="1002"/>
      <c r="R318" s="1002"/>
      <c r="S318" s="37"/>
      <c r="T318" s="37" t="s">
        <v>989</v>
      </c>
      <c r="U318"/>
      <c r="V318" s="37"/>
      <c r="W318" s="37"/>
      <c r="X318" s="37"/>
      <c r="Y318" s="37"/>
      <c r="Z318"/>
      <c r="AA318" s="1007"/>
      <c r="AB318" s="1007"/>
      <c r="AC318" s="1007"/>
      <c r="AD318" s="1007"/>
      <c r="AE318" s="1007"/>
      <c r="AF318" s="1007"/>
      <c r="AG318" s="37" t="s">
        <v>991</v>
      </c>
      <c r="AH318" s="37"/>
      <c r="AI318" s="1002"/>
      <c r="AJ318" s="1002"/>
      <c r="AK318" s="1002"/>
      <c r="AL318" s="401"/>
      <c r="AN318" s="243"/>
    </row>
    <row r="319" spans="2:40" s="4" customFormat="1" ht="12.75" customHeight="1">
      <c r="B319" s="37" t="s">
        <v>1965</v>
      </c>
      <c r="C319" s="37"/>
      <c r="D319" s="37"/>
      <c r="E319" s="37"/>
      <c r="F319" s="37"/>
      <c r="G319" s="37"/>
      <c r="H319" s="1004" t="s">
        <v>1978</v>
      </c>
      <c r="I319" s="1004"/>
      <c r="J319" s="1004"/>
      <c r="K319" s="1004"/>
      <c r="L319" s="1004"/>
      <c r="M319" s="1004"/>
      <c r="N319" s="1004"/>
      <c r="O319" s="1004"/>
      <c r="P319" s="1004"/>
      <c r="Q319" s="1004"/>
      <c r="R319" s="1004"/>
      <c r="S319" s="37"/>
      <c r="T319" s="37" t="s">
        <v>1965</v>
      </c>
      <c r="U319"/>
      <c r="V319" s="37"/>
      <c r="W319" s="37"/>
      <c r="X319" s="37"/>
      <c r="Y319" s="37"/>
      <c r="Z319"/>
      <c r="AA319" s="1004"/>
      <c r="AB319" s="1004"/>
      <c r="AC319" s="1004"/>
      <c r="AD319" s="1004"/>
      <c r="AE319" s="1004"/>
      <c r="AF319" s="1004"/>
      <c r="AG319" s="1004"/>
      <c r="AH319" s="1004"/>
      <c r="AI319" s="1004"/>
      <c r="AJ319" s="1004"/>
      <c r="AK319" s="1004"/>
      <c r="AL319" s="401"/>
      <c r="AN319" s="243"/>
    </row>
    <row r="320" spans="2:40" s="4" customFormat="1" ht="12.75" customHeight="1">
      <c r="B320" s="37" t="s">
        <v>1968</v>
      </c>
      <c r="C320" s="37"/>
      <c r="D320" s="37"/>
      <c r="E320" s="37"/>
      <c r="F320" s="37"/>
      <c r="G320" s="37"/>
      <c r="H320" s="1004" t="s">
        <v>1996</v>
      </c>
      <c r="I320" s="1004"/>
      <c r="J320" s="1004"/>
      <c r="K320" s="1004"/>
      <c r="L320" s="1004"/>
      <c r="M320" s="1004"/>
      <c r="N320" s="1004"/>
      <c r="O320" s="1004"/>
      <c r="P320" s="1004"/>
      <c r="Q320" s="1004"/>
      <c r="R320" s="1004"/>
      <c r="S320" s="37"/>
      <c r="T320" s="37" t="s">
        <v>1968</v>
      </c>
      <c r="U320"/>
      <c r="V320" s="37"/>
      <c r="W320" s="37"/>
      <c r="X320" s="37"/>
      <c r="Y320" s="37"/>
      <c r="Z320"/>
      <c r="AA320" s="1004"/>
      <c r="AB320" s="1004"/>
      <c r="AC320" s="1004"/>
      <c r="AD320" s="1004"/>
      <c r="AE320" s="1004"/>
      <c r="AF320" s="1004"/>
      <c r="AG320" s="1004"/>
      <c r="AH320" s="1004"/>
      <c r="AI320" s="1004"/>
      <c r="AJ320" s="1004"/>
      <c r="AK320" s="1004"/>
      <c r="AL320" s="401"/>
      <c r="AN320" s="243"/>
    </row>
    <row r="321" spans="1:76" s="4" customFormat="1" ht="12.75" customHeight="1">
      <c r="B321" s="37" t="s">
        <v>1972</v>
      </c>
      <c r="C321" s="37"/>
      <c r="D321" s="37"/>
      <c r="E321" s="37"/>
      <c r="F321" s="37"/>
      <c r="G321" s="37"/>
      <c r="H321" s="1752" t="s">
        <v>1987</v>
      </c>
      <c r="I321" s="1752"/>
      <c r="J321" s="1752"/>
      <c r="K321" s="1752"/>
      <c r="L321" s="1752"/>
      <c r="M321" s="1752"/>
      <c r="N321" s="1752"/>
      <c r="O321" s="1752"/>
      <c r="P321" s="1752"/>
      <c r="Q321" s="1752"/>
      <c r="R321" s="1752"/>
      <c r="S321" s="37"/>
      <c r="T321" s="37" t="s">
        <v>1972</v>
      </c>
      <c r="U321" s="37"/>
      <c r="V321" s="37"/>
      <c r="W321" s="37"/>
      <c r="X321" s="37"/>
      <c r="Y321" s="37"/>
      <c r="Z321" s="12"/>
      <c r="AA321" s="1752"/>
      <c r="AB321" s="1752"/>
      <c r="AC321" s="1752"/>
      <c r="AD321" s="1752"/>
      <c r="AE321" s="1752"/>
      <c r="AF321" s="1752"/>
      <c r="AG321" s="1752"/>
      <c r="AH321" s="1752"/>
      <c r="AI321" s="1752"/>
      <c r="AJ321" s="1752"/>
      <c r="AK321" s="1752"/>
      <c r="AL321" s="401"/>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1949</v>
      </c>
      <c r="C323" s="37"/>
      <c r="D323" s="37"/>
      <c r="E323" s="37"/>
      <c r="F323" s="37"/>
      <c r="G323"/>
      <c r="H323" s="1005" t="s">
        <v>1997</v>
      </c>
      <c r="I323" s="1005"/>
      <c r="J323" s="1005"/>
      <c r="K323" s="1005"/>
      <c r="L323" s="1005"/>
      <c r="M323" s="1005"/>
      <c r="N323" s="1005"/>
      <c r="O323" s="1005"/>
      <c r="P323" s="1005"/>
      <c r="Q323" s="1005"/>
      <c r="R323" s="1005"/>
      <c r="S323"/>
      <c r="T323" s="37" t="s">
        <v>1949</v>
      </c>
      <c r="U323"/>
      <c r="V323" s="37"/>
      <c r="W323" s="37"/>
      <c r="X323" s="37"/>
      <c r="Y323" s="37"/>
      <c r="Z323"/>
      <c r="AA323" s="1005"/>
      <c r="AB323" s="1005"/>
      <c r="AC323" s="1005"/>
      <c r="AD323" s="1005"/>
      <c r="AE323" s="1005"/>
      <c r="AF323" s="1005"/>
      <c r="AG323" s="1005"/>
      <c r="AH323" s="1005"/>
      <c r="AI323" s="1005"/>
      <c r="AJ323" s="1005"/>
      <c r="AK323" s="1005"/>
      <c r="AL323" s="37"/>
      <c r="AN323" s="243"/>
    </row>
    <row r="324" spans="1:76" s="4" customFormat="1" ht="12.75" customHeight="1">
      <c r="B324" s="37" t="s">
        <v>1025</v>
      </c>
      <c r="C324" s="37"/>
      <c r="D324" s="37"/>
      <c r="E324" s="37"/>
      <c r="F324" s="37"/>
      <c r="G324"/>
      <c r="H324" s="1004" t="s">
        <v>1998</v>
      </c>
      <c r="I324" s="1004"/>
      <c r="J324" s="1004"/>
      <c r="K324" s="1004"/>
      <c r="L324" s="1004"/>
      <c r="M324" s="1004"/>
      <c r="N324" s="1004"/>
      <c r="O324" s="1004"/>
      <c r="P324" s="1004"/>
      <c r="Q324" s="1004"/>
      <c r="R324" s="1004"/>
      <c r="S324"/>
      <c r="T324" s="37" t="s">
        <v>1025</v>
      </c>
      <c r="U324"/>
      <c r="V324" s="37"/>
      <c r="W324" s="37"/>
      <c r="X324" s="37"/>
      <c r="Y324" s="37"/>
      <c r="Z324"/>
      <c r="AA324" s="1004"/>
      <c r="AB324" s="1004"/>
      <c r="AC324" s="1004"/>
      <c r="AD324" s="1004"/>
      <c r="AE324" s="1004"/>
      <c r="AF324" s="1004"/>
      <c r="AG324" s="1004"/>
      <c r="AH324" s="1004"/>
      <c r="AI324" s="1004"/>
      <c r="AJ324" s="1004"/>
      <c r="AK324" s="1004"/>
      <c r="AL324" s="37"/>
      <c r="AN324" s="243"/>
    </row>
    <row r="325" spans="1:76" s="4" customFormat="1" ht="18" customHeight="1">
      <c r="B325" s="37" t="s">
        <v>1956</v>
      </c>
      <c r="C325" s="37"/>
      <c r="D325" s="37"/>
      <c r="E325" s="37"/>
      <c r="F325" s="37"/>
      <c r="G325"/>
      <c r="H325" s="1004" t="s">
        <v>1957</v>
      </c>
      <c r="I325" s="1004"/>
      <c r="J325" s="1004"/>
      <c r="K325" s="1004"/>
      <c r="L325" s="1004"/>
      <c r="M325" s="1004"/>
      <c r="N325" s="1004"/>
      <c r="O325" s="1004"/>
      <c r="P325" s="1004"/>
      <c r="Q325" s="1004"/>
      <c r="R325" s="1004"/>
      <c r="S325"/>
      <c r="T325" s="37" t="s">
        <v>1956</v>
      </c>
      <c r="U325"/>
      <c r="V325" s="37"/>
      <c r="W325" s="37"/>
      <c r="X325" s="37"/>
      <c r="Y325" s="37"/>
      <c r="Z325"/>
      <c r="AA325" s="1004"/>
      <c r="AB325" s="1004"/>
      <c r="AC325" s="1004"/>
      <c r="AD325" s="1004"/>
      <c r="AE325" s="1004"/>
      <c r="AF325" s="1004"/>
      <c r="AG325" s="1004"/>
      <c r="AH325" s="1004"/>
      <c r="AI325" s="1004"/>
      <c r="AJ325" s="1004"/>
      <c r="AK325" s="1004"/>
      <c r="AL325" s="37"/>
      <c r="AN325" s="243"/>
    </row>
    <row r="326" spans="1:76" s="4" customFormat="1" ht="12.75" customHeight="1">
      <c r="B326" s="37" t="s">
        <v>987</v>
      </c>
      <c r="C326" s="37"/>
      <c r="D326" s="37"/>
      <c r="E326" s="37"/>
      <c r="F326" s="37"/>
      <c r="G326"/>
      <c r="H326" s="1004" t="s">
        <v>1999</v>
      </c>
      <c r="I326" s="1004"/>
      <c r="J326" s="1004"/>
      <c r="K326" s="1004"/>
      <c r="L326" s="1004"/>
      <c r="M326" s="1004"/>
      <c r="N326" s="1004"/>
      <c r="O326" s="1004"/>
      <c r="P326" s="1004"/>
      <c r="Q326" s="1004"/>
      <c r="R326" s="1004"/>
      <c r="S326"/>
      <c r="T326" s="37" t="s">
        <v>987</v>
      </c>
      <c r="U326"/>
      <c r="V326" s="37"/>
      <c r="W326" s="37"/>
      <c r="X326" s="37"/>
      <c r="Y326" s="37"/>
      <c r="Z326"/>
      <c r="AA326" s="1004"/>
      <c r="AB326" s="1004"/>
      <c r="AC326" s="1004"/>
      <c r="AD326" s="1004"/>
      <c r="AE326" s="1004"/>
      <c r="AF326" s="1004"/>
      <c r="AG326" s="1004"/>
      <c r="AH326" s="1004"/>
      <c r="AI326" s="1004"/>
      <c r="AJ326" s="1004"/>
      <c r="AK326" s="1004"/>
      <c r="AL326" s="37"/>
      <c r="AN326" s="243"/>
    </row>
    <row r="327" spans="1:76" s="4" customFormat="1" ht="12.75" customHeight="1">
      <c r="B327" s="37" t="s">
        <v>989</v>
      </c>
      <c r="C327" s="37"/>
      <c r="D327" s="37"/>
      <c r="E327" s="37"/>
      <c r="F327" s="37"/>
      <c r="G327" s="37"/>
      <c r="H327" s="1007" t="s">
        <v>2000</v>
      </c>
      <c r="I327" s="1007"/>
      <c r="J327" s="1007"/>
      <c r="K327" s="1007"/>
      <c r="L327" s="1007"/>
      <c r="M327" s="1007"/>
      <c r="N327" s="37" t="s">
        <v>991</v>
      </c>
      <c r="O327" s="37"/>
      <c r="P327" s="1002"/>
      <c r="Q327" s="1002"/>
      <c r="R327" s="1002"/>
      <c r="S327" s="37"/>
      <c r="T327" s="37" t="s">
        <v>989</v>
      </c>
      <c r="U327"/>
      <c r="V327" s="37"/>
      <c r="W327" s="37"/>
      <c r="X327" s="37"/>
      <c r="Y327" s="37"/>
      <c r="Z327"/>
      <c r="AA327" s="1007"/>
      <c r="AB327" s="1007"/>
      <c r="AC327" s="1007"/>
      <c r="AD327" s="1007"/>
      <c r="AE327" s="1007"/>
      <c r="AF327" s="1007"/>
      <c r="AG327" s="37" t="s">
        <v>991</v>
      </c>
      <c r="AH327" s="37"/>
      <c r="AI327" s="1002"/>
      <c r="AJ327" s="1002"/>
      <c r="AK327" s="1002"/>
      <c r="AL327" s="37"/>
      <c r="AN327" s="243"/>
    </row>
    <row r="328" spans="1:76" s="4" customFormat="1" ht="12.75" customHeight="1">
      <c r="B328" s="37" t="s">
        <v>1965</v>
      </c>
      <c r="C328" s="37"/>
      <c r="D328" s="37"/>
      <c r="E328" s="37"/>
      <c r="F328" s="37"/>
      <c r="G328" s="37"/>
      <c r="H328" s="1004" t="s">
        <v>1958</v>
      </c>
      <c r="I328" s="1004"/>
      <c r="J328" s="1004"/>
      <c r="K328" s="1004"/>
      <c r="L328" s="1004"/>
      <c r="M328" s="1004"/>
      <c r="N328" s="1004"/>
      <c r="O328" s="1004"/>
      <c r="P328" s="1004"/>
      <c r="Q328" s="1004"/>
      <c r="R328" s="1004"/>
      <c r="S328" s="37"/>
      <c r="T328" s="37" t="s">
        <v>1965</v>
      </c>
      <c r="U328"/>
      <c r="V328" s="37"/>
      <c r="W328" s="37"/>
      <c r="X328" s="37"/>
      <c r="Y328" s="37"/>
      <c r="Z328"/>
      <c r="AA328" s="1004"/>
      <c r="AB328" s="1004"/>
      <c r="AC328" s="1004"/>
      <c r="AD328" s="1004"/>
      <c r="AE328" s="1004"/>
      <c r="AF328" s="1004"/>
      <c r="AG328" s="1004"/>
      <c r="AH328" s="1004"/>
      <c r="AI328" s="1004"/>
      <c r="AJ328" s="1004"/>
      <c r="AK328" s="1004"/>
      <c r="AL328" s="37"/>
      <c r="AN328" s="243"/>
    </row>
    <row r="329" spans="1:76" s="4" customFormat="1" ht="12.75" customHeight="1">
      <c r="B329" s="37" t="s">
        <v>1968</v>
      </c>
      <c r="C329" s="37"/>
      <c r="D329" s="37"/>
      <c r="E329" s="37"/>
      <c r="F329" s="37"/>
      <c r="G329" s="37"/>
      <c r="H329" s="1004" t="s">
        <v>2001</v>
      </c>
      <c r="I329" s="1004"/>
      <c r="J329" s="1004"/>
      <c r="K329" s="1004"/>
      <c r="L329" s="1004"/>
      <c r="M329" s="1004"/>
      <c r="N329" s="1004"/>
      <c r="O329" s="1004"/>
      <c r="P329" s="1004"/>
      <c r="Q329" s="1004"/>
      <c r="R329" s="1004"/>
      <c r="S329" s="37"/>
      <c r="T329" s="37" t="s">
        <v>1968</v>
      </c>
      <c r="U329"/>
      <c r="V329" s="37"/>
      <c r="W329" s="37"/>
      <c r="X329" s="37"/>
      <c r="Y329" s="37"/>
      <c r="Z329"/>
      <c r="AA329" s="1004"/>
      <c r="AB329" s="1004"/>
      <c r="AC329" s="1004"/>
      <c r="AD329" s="1004"/>
      <c r="AE329" s="1004"/>
      <c r="AF329" s="1004"/>
      <c r="AG329" s="1004"/>
      <c r="AH329" s="1004"/>
      <c r="AI329" s="1004"/>
      <c r="AJ329" s="1004"/>
      <c r="AK329" s="1004"/>
      <c r="AL329" s="37"/>
      <c r="AN329" s="243"/>
    </row>
    <row r="330" spans="1:76" s="4" customFormat="1" ht="12.75" customHeight="1">
      <c r="B330" s="37" t="s">
        <v>1972</v>
      </c>
      <c r="C330" s="37"/>
      <c r="D330" s="37"/>
      <c r="E330" s="37"/>
      <c r="F330" s="37"/>
      <c r="G330" s="37"/>
      <c r="H330" s="1752" t="s">
        <v>1991</v>
      </c>
      <c r="I330" s="1752"/>
      <c r="J330" s="1752"/>
      <c r="K330" s="1752"/>
      <c r="L330" s="1752"/>
      <c r="M330" s="1752"/>
      <c r="N330" s="1752"/>
      <c r="O330" s="1752"/>
      <c r="P330" s="1752"/>
      <c r="Q330" s="1752"/>
      <c r="R330" s="1752"/>
      <c r="S330" s="37"/>
      <c r="T330" s="37" t="s">
        <v>1972</v>
      </c>
      <c r="U330" s="37"/>
      <c r="V330" s="37"/>
      <c r="W330" s="37"/>
      <c r="X330" s="37"/>
      <c r="Y330" s="37"/>
      <c r="Z330" s="12"/>
      <c r="AA330" s="1752"/>
      <c r="AB330" s="1752"/>
      <c r="AC330" s="1752"/>
      <c r="AD330" s="1752"/>
      <c r="AE330" s="1752"/>
      <c r="AF330" s="1752"/>
      <c r="AG330" s="1752"/>
      <c r="AH330" s="1752"/>
      <c r="AI330" s="1752"/>
      <c r="AJ330" s="1752"/>
      <c r="AK330" s="1752"/>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5"/>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2002</v>
      </c>
      <c r="C333" s="37"/>
      <c r="AC333" s="3"/>
      <c r="AE333" s="1585" t="s">
        <v>1810</v>
      </c>
      <c r="AF333" s="1585"/>
      <c r="AG333" s="1585"/>
      <c r="AH333" s="1585"/>
      <c r="AI333" s="1585"/>
      <c r="AJ333" s="1585"/>
      <c r="AK333" s="1585"/>
      <c r="AL333" s="3"/>
      <c r="AM333" s="714"/>
      <c r="AN333" s="3"/>
    </row>
    <row r="334" spans="1:76" s="4" customFormat="1" ht="12.75" customHeight="1">
      <c r="A334" s="3"/>
      <c r="B334" s="37"/>
      <c r="C334" s="1751" t="s">
        <v>2003</v>
      </c>
      <c r="D334" s="1751"/>
      <c r="E334" s="1751"/>
      <c r="F334" s="1751"/>
      <c r="G334" s="1751"/>
      <c r="H334" s="1751"/>
      <c r="I334" s="1751"/>
      <c r="J334" s="1751"/>
      <c r="K334" s="1751"/>
      <c r="L334" s="1751"/>
      <c r="M334" s="1751"/>
      <c r="N334" s="1751"/>
      <c r="O334" s="1751"/>
      <c r="P334" s="1751"/>
      <c r="Q334" s="1751"/>
      <c r="R334" s="1751"/>
      <c r="S334" s="1751"/>
      <c r="T334" s="1751"/>
      <c r="U334" s="1751"/>
      <c r="V334" s="1751"/>
      <c r="W334" s="1751"/>
      <c r="X334" s="1751"/>
      <c r="Y334" s="1751"/>
      <c r="Z334" s="1751"/>
      <c r="AA334" s="1751"/>
      <c r="AB334" s="1751"/>
      <c r="AC334" s="1751"/>
      <c r="AD334" s="1751"/>
      <c r="AE334" s="1751"/>
      <c r="AF334" s="1751"/>
      <c r="AG334" s="1751"/>
      <c r="AH334" s="1751"/>
      <c r="AI334" s="1751"/>
      <c r="AJ334" s="1751"/>
      <c r="AM334" s="715"/>
      <c r="AS334" s="678"/>
      <c r="AT334" s="678"/>
      <c r="AU334" s="678"/>
      <c r="AV334" s="678"/>
      <c r="AW334" s="678"/>
      <c r="AX334" s="678"/>
      <c r="AY334" s="678"/>
      <c r="AZ334" s="678"/>
      <c r="BA334" s="678"/>
      <c r="BB334" s="678"/>
      <c r="BC334" s="678"/>
      <c r="BD334" s="678"/>
      <c r="BE334" s="678"/>
      <c r="BF334" s="678"/>
      <c r="BG334" s="678"/>
      <c r="BH334" s="678"/>
      <c r="BI334" s="678"/>
      <c r="BJ334" s="678"/>
      <c r="BK334" s="678"/>
      <c r="BL334" s="678"/>
      <c r="BM334" s="678"/>
      <c r="BN334" s="678"/>
      <c r="BO334" s="678"/>
      <c r="BP334" s="678"/>
      <c r="BQ334" s="678"/>
      <c r="BR334" s="678"/>
      <c r="BS334" s="678"/>
      <c r="BT334" s="678"/>
      <c r="BU334" s="678"/>
      <c r="BV334" s="678"/>
      <c r="BW334" s="678"/>
      <c r="BX334" s="678"/>
    </row>
    <row r="335" spans="1:76" s="4" customFormat="1" ht="12.75" customHeight="1">
      <c r="A335"/>
      <c r="C335" s="1751"/>
      <c r="D335" s="1751"/>
      <c r="E335" s="1751"/>
      <c r="F335" s="1751"/>
      <c r="G335" s="1751"/>
      <c r="H335" s="1751"/>
      <c r="I335" s="1751"/>
      <c r="J335" s="1751"/>
      <c r="K335" s="1751"/>
      <c r="L335" s="1751"/>
      <c r="M335" s="1751"/>
      <c r="N335" s="1751"/>
      <c r="O335" s="1751"/>
      <c r="P335" s="1751"/>
      <c r="Q335" s="1751"/>
      <c r="R335" s="1751"/>
      <c r="S335" s="1751"/>
      <c r="T335" s="1751"/>
      <c r="U335" s="1751"/>
      <c r="V335" s="1751"/>
      <c r="W335" s="1751"/>
      <c r="X335" s="1751"/>
      <c r="Y335" s="1751"/>
      <c r="Z335" s="1751"/>
      <c r="AA335" s="1751"/>
      <c r="AB335" s="1751"/>
      <c r="AC335" s="1751"/>
      <c r="AD335" s="1751"/>
      <c r="AE335" s="1751"/>
      <c r="AF335" s="1751"/>
      <c r="AG335" s="1751"/>
      <c r="AH335" s="1751"/>
      <c r="AI335" s="1751"/>
      <c r="AJ335" s="1751"/>
      <c r="AK335" s="3"/>
      <c r="AL335" s="3"/>
      <c r="AM335" s="26"/>
      <c r="AN335" s="243"/>
      <c r="AR335" s="678"/>
      <c r="AS335" s="678"/>
      <c r="AT335" s="678"/>
      <c r="AU335" s="678"/>
      <c r="AV335" s="678"/>
      <c r="AW335" s="678"/>
      <c r="AX335" s="678"/>
      <c r="AY335" s="678"/>
      <c r="AZ335" s="678"/>
      <c r="BA335" s="678"/>
      <c r="BB335" s="678"/>
      <c r="BC335" s="678"/>
      <c r="BD335" s="678"/>
      <c r="BE335" s="678"/>
      <c r="BF335" s="678"/>
      <c r="BG335" s="678"/>
      <c r="BH335" s="678"/>
      <c r="BI335" s="678"/>
      <c r="BJ335" s="678"/>
      <c r="BK335" s="678"/>
      <c r="BL335" s="678"/>
      <c r="BM335" s="678"/>
      <c r="BN335" s="678"/>
      <c r="BO335" s="678"/>
      <c r="BP335" s="678"/>
      <c r="BQ335" s="678"/>
      <c r="BR335" s="678"/>
      <c r="BS335" s="678"/>
      <c r="BT335" s="678"/>
      <c r="BU335" s="678"/>
      <c r="BV335" s="678"/>
      <c r="BW335" s="678"/>
      <c r="BX335" s="678"/>
    </row>
    <row r="336" spans="1:76" s="4" customFormat="1" ht="12.75" customHeight="1">
      <c r="A336" s="26"/>
      <c r="B336" s="25"/>
      <c r="C336" s="1751"/>
      <c r="D336" s="1751"/>
      <c r="E336" s="1751"/>
      <c r="F336" s="1751"/>
      <c r="G336" s="1751"/>
      <c r="H336" s="1751"/>
      <c r="I336" s="1751"/>
      <c r="J336" s="1751"/>
      <c r="K336" s="1751"/>
      <c r="L336" s="1751"/>
      <c r="M336" s="1751"/>
      <c r="N336" s="1751"/>
      <c r="O336" s="1751"/>
      <c r="P336" s="1751"/>
      <c r="Q336" s="1751"/>
      <c r="R336" s="1751"/>
      <c r="S336" s="1751"/>
      <c r="T336" s="1751"/>
      <c r="U336" s="1751"/>
      <c r="V336" s="1751"/>
      <c r="W336" s="1751"/>
      <c r="X336" s="1751"/>
      <c r="Y336" s="1751"/>
      <c r="Z336" s="1751"/>
      <c r="AA336" s="1751"/>
      <c r="AB336" s="1751"/>
      <c r="AC336" s="1751"/>
      <c r="AD336" s="1751"/>
      <c r="AE336" s="1751"/>
      <c r="AF336" s="1751"/>
      <c r="AG336" s="1751"/>
      <c r="AH336" s="1751"/>
      <c r="AI336" s="1751"/>
      <c r="AJ336" s="1751"/>
      <c r="AK336" s="26"/>
      <c r="AL336" s="26"/>
      <c r="AM336" s="26"/>
      <c r="AN336" s="243"/>
      <c r="AO336" s="163"/>
      <c r="AR336" s="678"/>
      <c r="AS336" s="678"/>
      <c r="AT336" s="678"/>
      <c r="AU336" s="678"/>
      <c r="AV336" s="678"/>
      <c r="AW336" s="678"/>
      <c r="AX336" s="678"/>
      <c r="AY336" s="678"/>
      <c r="AZ336" s="678"/>
      <c r="BA336" s="678"/>
      <c r="BB336" s="678"/>
      <c r="BC336" s="678"/>
      <c r="BD336" s="678"/>
      <c r="BE336" s="678"/>
      <c r="BF336" s="678"/>
      <c r="BG336" s="678"/>
      <c r="BH336" s="678"/>
      <c r="BI336" s="678"/>
      <c r="BJ336" s="678"/>
      <c r="BK336" s="678"/>
      <c r="BL336" s="678"/>
      <c r="BM336" s="678"/>
      <c r="BN336" s="678"/>
      <c r="BO336" s="678"/>
      <c r="BP336" s="678"/>
      <c r="BQ336" s="678"/>
      <c r="BR336" s="678"/>
      <c r="BS336" s="678"/>
      <c r="BT336" s="678"/>
      <c r="BU336" s="678"/>
      <c r="BV336" s="678"/>
      <c r="BW336" s="678"/>
      <c r="BX336" s="678"/>
    </row>
    <row r="337" spans="1:76" s="4" customFormat="1" ht="12.75" customHeight="1">
      <c r="A337" s="26"/>
      <c r="B337" s="25"/>
      <c r="C337" s="1751"/>
      <c r="D337" s="1751"/>
      <c r="E337" s="1751"/>
      <c r="F337" s="1751"/>
      <c r="G337" s="1751"/>
      <c r="H337" s="1751"/>
      <c r="I337" s="1751"/>
      <c r="J337" s="1751"/>
      <c r="K337" s="1751"/>
      <c r="L337" s="1751"/>
      <c r="M337" s="1751"/>
      <c r="N337" s="1751"/>
      <c r="O337" s="1751"/>
      <c r="P337" s="1751"/>
      <c r="Q337" s="1751"/>
      <c r="R337" s="1751"/>
      <c r="S337" s="1751"/>
      <c r="T337" s="1751"/>
      <c r="U337" s="1751"/>
      <c r="V337" s="1751"/>
      <c r="W337" s="1751"/>
      <c r="X337" s="1751"/>
      <c r="Y337" s="1751"/>
      <c r="Z337" s="1751"/>
      <c r="AA337" s="1751"/>
      <c r="AB337" s="1751"/>
      <c r="AC337" s="1751"/>
      <c r="AD337" s="1751"/>
      <c r="AE337" s="1751"/>
      <c r="AF337" s="1751"/>
      <c r="AG337" s="1751"/>
      <c r="AH337" s="1751"/>
      <c r="AI337" s="1751"/>
      <c r="AJ337" s="1751"/>
      <c r="AK337" s="26"/>
      <c r="AL337" s="26"/>
      <c r="AM337" s="26"/>
      <c r="AN337" s="243"/>
      <c r="AO337" s="163"/>
      <c r="AR337" s="678"/>
      <c r="AS337" s="678"/>
      <c r="AT337" s="678"/>
      <c r="AU337" s="678"/>
      <c r="AV337" s="678"/>
      <c r="AW337" s="678"/>
      <c r="AX337" s="678"/>
      <c r="AY337" s="678"/>
      <c r="AZ337" s="678"/>
      <c r="BA337" s="678"/>
      <c r="BB337" s="678"/>
      <c r="BC337" s="678"/>
      <c r="BD337" s="678"/>
      <c r="BE337" s="678"/>
      <c r="BF337" s="678"/>
      <c r="BG337" s="678"/>
      <c r="BH337" s="678"/>
      <c r="BI337" s="678"/>
      <c r="BJ337" s="678"/>
      <c r="BK337" s="678"/>
      <c r="BL337" s="678"/>
      <c r="BM337" s="678"/>
      <c r="BN337" s="678"/>
      <c r="BO337" s="678"/>
      <c r="BP337" s="678"/>
      <c r="BQ337" s="678"/>
      <c r="BR337" s="678"/>
      <c r="BS337" s="678"/>
      <c r="BT337" s="678"/>
      <c r="BU337" s="678"/>
      <c r="BV337" s="678"/>
      <c r="BW337" s="678"/>
      <c r="BX337" s="678"/>
    </row>
    <row r="338" spans="1:76" s="4" customFormat="1" ht="12.75" customHeight="1">
      <c r="A338" s="26"/>
      <c r="B338" s="25"/>
      <c r="C338" s="1751"/>
      <c r="D338" s="1751"/>
      <c r="E338" s="1751"/>
      <c r="F338" s="1751"/>
      <c r="G338" s="1751"/>
      <c r="H338" s="1751"/>
      <c r="I338" s="1751"/>
      <c r="J338" s="1751"/>
      <c r="K338" s="1751"/>
      <c r="L338" s="1751"/>
      <c r="M338" s="1751"/>
      <c r="N338" s="1751"/>
      <c r="O338" s="1751"/>
      <c r="P338" s="1751"/>
      <c r="Q338" s="1751"/>
      <c r="R338" s="1751"/>
      <c r="S338" s="1751"/>
      <c r="T338" s="1751"/>
      <c r="U338" s="1751"/>
      <c r="V338" s="1751"/>
      <c r="W338" s="1751"/>
      <c r="X338" s="1751"/>
      <c r="Y338" s="1751"/>
      <c r="Z338" s="1751"/>
      <c r="AA338" s="1751"/>
      <c r="AB338" s="1751"/>
      <c r="AC338" s="1751"/>
      <c r="AD338" s="1751"/>
      <c r="AE338" s="1751"/>
      <c r="AF338" s="1751"/>
      <c r="AG338" s="1751"/>
      <c r="AH338" s="1751"/>
      <c r="AI338" s="1751"/>
      <c r="AJ338" s="1751"/>
      <c r="AK338" s="26"/>
      <c r="AL338" s="26"/>
      <c r="AM338" s="26"/>
      <c r="AN338" s="243"/>
      <c r="AO338" s="163"/>
      <c r="AR338" s="678"/>
      <c r="AS338" s="678"/>
      <c r="AT338" s="678"/>
      <c r="AU338" s="678"/>
      <c r="AV338" s="678"/>
      <c r="AW338" s="678"/>
      <c r="AX338" s="678"/>
      <c r="AY338" s="678"/>
      <c r="AZ338" s="678"/>
      <c r="BA338" s="678"/>
      <c r="BB338" s="678"/>
      <c r="BC338" s="678"/>
      <c r="BD338" s="678"/>
      <c r="BE338" s="678"/>
      <c r="BF338" s="678"/>
      <c r="BG338" s="678"/>
      <c r="BH338" s="678"/>
      <c r="BI338" s="678"/>
      <c r="BJ338" s="678"/>
      <c r="BK338" s="678"/>
      <c r="BL338" s="678"/>
      <c r="BM338" s="678"/>
      <c r="BN338" s="678"/>
      <c r="BO338" s="678"/>
      <c r="BP338" s="678"/>
      <c r="BQ338" s="678"/>
      <c r="BR338" s="678"/>
      <c r="BS338" s="678"/>
      <c r="BT338" s="678"/>
      <c r="BU338" s="678"/>
      <c r="BV338" s="678"/>
      <c r="BW338" s="678"/>
      <c r="BX338" s="678"/>
    </row>
    <row r="339" spans="1:76" s="4" customFormat="1" ht="12.75" customHeight="1">
      <c r="A339" s="26"/>
      <c r="B339" s="25"/>
      <c r="C339" s="1751"/>
      <c r="D339" s="1751"/>
      <c r="E339" s="1751"/>
      <c r="F339" s="1751"/>
      <c r="G339" s="1751"/>
      <c r="H339" s="1751"/>
      <c r="I339" s="1751"/>
      <c r="J339" s="1751"/>
      <c r="K339" s="1751"/>
      <c r="L339" s="1751"/>
      <c r="M339" s="1751"/>
      <c r="N339" s="1751"/>
      <c r="O339" s="1751"/>
      <c r="P339" s="1751"/>
      <c r="Q339" s="1751"/>
      <c r="R339" s="1751"/>
      <c r="S339" s="1751"/>
      <c r="T339" s="1751"/>
      <c r="U339" s="1751"/>
      <c r="V339" s="1751"/>
      <c r="W339" s="1751"/>
      <c r="X339" s="1751"/>
      <c r="Y339" s="1751"/>
      <c r="Z339" s="1751"/>
      <c r="AA339" s="1751"/>
      <c r="AB339" s="1751"/>
      <c r="AC339" s="1751"/>
      <c r="AD339" s="1751"/>
      <c r="AE339" s="1751"/>
      <c r="AF339" s="1751"/>
      <c r="AG339" s="1751"/>
      <c r="AH339" s="1751"/>
      <c r="AI339" s="1751"/>
      <c r="AJ339" s="1751"/>
      <c r="AK339" s="26"/>
      <c r="AL339" s="26"/>
      <c r="AM339" s="26"/>
      <c r="AN339" s="243"/>
      <c r="AO339" s="163"/>
      <c r="AR339" s="678"/>
      <c r="AS339" s="678"/>
      <c r="AT339" s="678"/>
      <c r="AU339" s="678"/>
      <c r="AV339" s="678"/>
      <c r="AW339" s="678"/>
      <c r="AX339" s="678"/>
      <c r="AY339" s="678"/>
      <c r="AZ339" s="678"/>
      <c r="BA339" s="678"/>
      <c r="BB339" s="678"/>
      <c r="BC339" s="678"/>
      <c r="BD339" s="678"/>
      <c r="BE339" s="678"/>
      <c r="BF339" s="678"/>
      <c r="BG339" s="678"/>
      <c r="BH339" s="678"/>
      <c r="BI339" s="678"/>
      <c r="BJ339" s="678"/>
      <c r="BK339" s="678"/>
      <c r="BL339" s="678"/>
      <c r="BM339" s="678"/>
      <c r="BN339" s="678"/>
      <c r="BO339" s="678"/>
      <c r="BP339" s="678"/>
      <c r="BQ339" s="678"/>
      <c r="BR339" s="678"/>
      <c r="BS339" s="678"/>
      <c r="BT339" s="678"/>
      <c r="BU339" s="678"/>
      <c r="BV339" s="678"/>
      <c r="BW339" s="678"/>
      <c r="BX339" s="678"/>
    </row>
    <row r="340" spans="1:76" s="4" customFormat="1" ht="12.6" customHeight="1">
      <c r="A340" s="26"/>
      <c r="B340" s="25"/>
      <c r="C340" s="1751"/>
      <c r="D340" s="1751"/>
      <c r="E340" s="1751"/>
      <c r="F340" s="1751"/>
      <c r="G340" s="1751"/>
      <c r="H340" s="1751"/>
      <c r="I340" s="1751"/>
      <c r="J340" s="1751"/>
      <c r="K340" s="1751"/>
      <c r="L340" s="1751"/>
      <c r="M340" s="1751"/>
      <c r="N340" s="1751"/>
      <c r="O340" s="1751"/>
      <c r="P340" s="1751"/>
      <c r="Q340" s="1751"/>
      <c r="R340" s="1751"/>
      <c r="S340" s="1751"/>
      <c r="T340" s="1751"/>
      <c r="U340" s="1751"/>
      <c r="V340" s="1751"/>
      <c r="W340" s="1751"/>
      <c r="X340" s="1751"/>
      <c r="Y340" s="1751"/>
      <c r="Z340" s="1751"/>
      <c r="AA340" s="1751"/>
      <c r="AB340" s="1751"/>
      <c r="AC340" s="1751"/>
      <c r="AD340" s="1751"/>
      <c r="AE340" s="1751"/>
      <c r="AF340" s="1751"/>
      <c r="AG340" s="1751"/>
      <c r="AH340" s="1751"/>
      <c r="AI340" s="1751"/>
      <c r="AJ340" s="1751"/>
      <c r="AK340" s="26"/>
      <c r="AL340" s="26"/>
      <c r="AM340" s="26"/>
      <c r="AN340" s="243"/>
      <c r="AO340" s="163"/>
      <c r="AR340" s="678"/>
      <c r="AS340" s="678"/>
      <c r="AT340" s="678"/>
      <c r="AU340" s="678"/>
      <c r="AV340" s="678"/>
      <c r="AW340" s="678"/>
      <c r="AX340" s="678"/>
      <c r="AY340" s="678"/>
      <c r="AZ340" s="678"/>
      <c r="BA340" s="678"/>
      <c r="BB340" s="678"/>
      <c r="BC340" s="678"/>
      <c r="BD340" s="678"/>
      <c r="BE340" s="678"/>
      <c r="BF340" s="678"/>
      <c r="BG340" s="678"/>
      <c r="BH340" s="678"/>
      <c r="BI340" s="678"/>
      <c r="BJ340" s="678"/>
      <c r="BK340" s="678"/>
      <c r="BL340" s="678"/>
      <c r="BM340" s="678"/>
      <c r="BN340" s="678"/>
      <c r="BO340" s="678"/>
      <c r="BP340" s="678"/>
      <c r="BQ340" s="678"/>
      <c r="BR340" s="678"/>
      <c r="BS340" s="678"/>
      <c r="BT340" s="678"/>
      <c r="BU340" s="678"/>
      <c r="BV340" s="678"/>
      <c r="BW340" s="678"/>
      <c r="BX340" s="678"/>
    </row>
    <row r="341" spans="1:76" s="4" customFormat="1" ht="12.6" customHeight="1">
      <c r="A341" s="26"/>
      <c r="B341" s="25"/>
      <c r="C341" s="1751"/>
      <c r="D341" s="1751"/>
      <c r="E341" s="1751"/>
      <c r="F341" s="1751"/>
      <c r="G341" s="1751"/>
      <c r="H341" s="1751"/>
      <c r="I341" s="1751"/>
      <c r="J341" s="1751"/>
      <c r="K341" s="1751"/>
      <c r="L341" s="1751"/>
      <c r="M341" s="1751"/>
      <c r="N341" s="1751"/>
      <c r="O341" s="1751"/>
      <c r="P341" s="1751"/>
      <c r="Q341" s="1751"/>
      <c r="R341" s="1751"/>
      <c r="S341" s="1751"/>
      <c r="T341" s="1751"/>
      <c r="U341" s="1751"/>
      <c r="V341" s="1751"/>
      <c r="W341" s="1751"/>
      <c r="X341" s="1751"/>
      <c r="Y341" s="1751"/>
      <c r="Z341" s="1751"/>
      <c r="AA341" s="1751"/>
      <c r="AB341" s="1751"/>
      <c r="AC341" s="1751"/>
      <c r="AD341" s="1751"/>
      <c r="AE341" s="1751"/>
      <c r="AF341" s="1751"/>
      <c r="AG341" s="1751"/>
      <c r="AH341" s="1751"/>
      <c r="AI341" s="1751"/>
      <c r="AJ341" s="1751"/>
      <c r="AK341" s="26"/>
      <c r="AL341" s="26"/>
      <c r="AM341" s="26"/>
      <c r="AN341" s="243"/>
      <c r="AO341" s="163"/>
    </row>
    <row r="342" spans="1:76" s="4" customFormat="1" ht="12.75" customHeight="1">
      <c r="A342" s="26"/>
      <c r="B342" s="25"/>
      <c r="C342" s="1751" t="s">
        <v>2004</v>
      </c>
      <c r="D342" s="1751"/>
      <c r="E342" s="1751"/>
      <c r="F342" s="1751"/>
      <c r="G342" s="1751"/>
      <c r="H342" s="1751"/>
      <c r="I342" s="1751"/>
      <c r="J342" s="1751"/>
      <c r="K342" s="1751"/>
      <c r="L342" s="1751"/>
      <c r="M342" s="1751"/>
      <c r="N342" s="1751"/>
      <c r="O342" s="1751"/>
      <c r="P342" s="1751"/>
      <c r="Q342" s="1751"/>
      <c r="R342" s="1751"/>
      <c r="S342" s="1751"/>
      <c r="T342" s="1751"/>
      <c r="U342" s="1751"/>
      <c r="V342" s="1751"/>
      <c r="W342" s="1751"/>
      <c r="X342" s="1751"/>
      <c r="Y342" s="1751"/>
      <c r="Z342" s="1751"/>
      <c r="AA342" s="1751"/>
      <c r="AB342" s="1751"/>
      <c r="AC342" s="1751"/>
      <c r="AD342" s="1751"/>
      <c r="AE342" s="1751"/>
      <c r="AF342" s="1751"/>
      <c r="AG342" s="1751"/>
      <c r="AH342" s="1751"/>
      <c r="AI342" s="1751"/>
      <c r="AJ342" s="1751"/>
      <c r="AK342" s="26"/>
      <c r="AL342" s="26"/>
      <c r="AM342" s="26"/>
      <c r="AN342" s="243"/>
    </row>
    <row r="343" spans="1:76" s="4" customFormat="1" ht="12.75" customHeight="1">
      <c r="A343" s="26"/>
      <c r="B343" s="25"/>
      <c r="C343" s="1751"/>
      <c r="D343" s="1751"/>
      <c r="E343" s="1751"/>
      <c r="F343" s="1751"/>
      <c r="G343" s="1751"/>
      <c r="H343" s="1751"/>
      <c r="I343" s="1751"/>
      <c r="J343" s="1751"/>
      <c r="K343" s="1751"/>
      <c r="L343" s="1751"/>
      <c r="M343" s="1751"/>
      <c r="N343" s="1751"/>
      <c r="O343" s="1751"/>
      <c r="P343" s="1751"/>
      <c r="Q343" s="1751"/>
      <c r="R343" s="1751"/>
      <c r="S343" s="1751"/>
      <c r="T343" s="1751"/>
      <c r="U343" s="1751"/>
      <c r="V343" s="1751"/>
      <c r="W343" s="1751"/>
      <c r="X343" s="1751"/>
      <c r="Y343" s="1751"/>
      <c r="Z343" s="1751"/>
      <c r="AA343" s="1751"/>
      <c r="AB343" s="1751"/>
      <c r="AC343" s="1751"/>
      <c r="AD343" s="1751"/>
      <c r="AE343" s="1751"/>
      <c r="AF343" s="1751"/>
      <c r="AG343" s="1751"/>
      <c r="AH343" s="1751"/>
      <c r="AI343" s="1751"/>
      <c r="AJ343" s="1751"/>
      <c r="AK343" s="26"/>
      <c r="AL343" s="26"/>
      <c r="AM343" s="26"/>
      <c r="AN343" s="243"/>
    </row>
    <row r="344" spans="1:76" s="4" customFormat="1" ht="12.75" customHeight="1">
      <c r="A344" s="26"/>
      <c r="B344" s="25"/>
      <c r="C344" s="1751"/>
      <c r="D344" s="1751"/>
      <c r="E344" s="1751"/>
      <c r="F344" s="1751"/>
      <c r="G344" s="1751"/>
      <c r="H344" s="1751"/>
      <c r="I344" s="1751"/>
      <c r="J344" s="1751"/>
      <c r="K344" s="1751"/>
      <c r="L344" s="1751"/>
      <c r="M344" s="1751"/>
      <c r="N344" s="1751"/>
      <c r="O344" s="1751"/>
      <c r="P344" s="1751"/>
      <c r="Q344" s="1751"/>
      <c r="R344" s="1751"/>
      <c r="S344" s="1751"/>
      <c r="T344" s="1751"/>
      <c r="U344" s="1751"/>
      <c r="V344" s="1751"/>
      <c r="W344" s="1751"/>
      <c r="X344" s="1751"/>
      <c r="Y344" s="1751"/>
      <c r="Z344" s="1751"/>
      <c r="AA344" s="1751"/>
      <c r="AB344" s="1751"/>
      <c r="AC344" s="1751"/>
      <c r="AD344" s="1751"/>
      <c r="AE344" s="1751"/>
      <c r="AF344" s="1751"/>
      <c r="AG344" s="1751"/>
      <c r="AH344" s="1751"/>
      <c r="AI344" s="1751"/>
      <c r="AJ344" s="1751"/>
      <c r="AK344" s="26"/>
      <c r="AL344" s="26"/>
      <c r="AM344" s="26"/>
      <c r="AN344" s="243"/>
      <c r="AQ344"/>
    </row>
    <row r="345" spans="1:76" s="4" customFormat="1" ht="12.75" customHeight="1">
      <c r="A345" s="26"/>
      <c r="B345" s="25"/>
      <c r="C345" s="1751"/>
      <c r="D345" s="1751"/>
      <c r="E345" s="1751"/>
      <c r="F345" s="1751"/>
      <c r="G345" s="1751"/>
      <c r="H345" s="1751"/>
      <c r="I345" s="1751"/>
      <c r="J345" s="1751"/>
      <c r="K345" s="1751"/>
      <c r="L345" s="1751"/>
      <c r="M345" s="1751"/>
      <c r="N345" s="1751"/>
      <c r="O345" s="1751"/>
      <c r="P345" s="1751"/>
      <c r="Q345" s="1751"/>
      <c r="R345" s="1751"/>
      <c r="S345" s="1751"/>
      <c r="T345" s="1751"/>
      <c r="U345" s="1751"/>
      <c r="V345" s="1751"/>
      <c r="W345" s="1751"/>
      <c r="X345" s="1751"/>
      <c r="Y345" s="1751"/>
      <c r="Z345" s="1751"/>
      <c r="AA345" s="1751"/>
      <c r="AB345" s="1751"/>
      <c r="AC345" s="1751"/>
      <c r="AD345" s="1751"/>
      <c r="AE345" s="1751"/>
      <c r="AF345" s="1751"/>
      <c r="AG345" s="1751"/>
      <c r="AH345" s="1751"/>
      <c r="AI345" s="1751"/>
      <c r="AJ345" s="1751"/>
      <c r="AK345" s="26"/>
      <c r="AL345" s="26"/>
      <c r="AM345" s="26"/>
      <c r="AN345" s="243"/>
      <c r="AQ345"/>
    </row>
    <row r="346" spans="1:76" s="4" customFormat="1" ht="12.6" customHeight="1">
      <c r="A346" s="26"/>
      <c r="B346" s="25"/>
      <c r="C346" s="1751"/>
      <c r="D346" s="1751"/>
      <c r="E346" s="1751"/>
      <c r="F346" s="1751"/>
      <c r="G346" s="1751"/>
      <c r="H346" s="1751"/>
      <c r="I346" s="1751"/>
      <c r="J346" s="1751"/>
      <c r="K346" s="1751"/>
      <c r="L346" s="1751"/>
      <c r="M346" s="1751"/>
      <c r="N346" s="1751"/>
      <c r="O346" s="1751"/>
      <c r="P346" s="1751"/>
      <c r="Q346" s="1751"/>
      <c r="R346" s="1751"/>
      <c r="S346" s="1751"/>
      <c r="T346" s="1751"/>
      <c r="U346" s="1751"/>
      <c r="V346" s="1751"/>
      <c r="W346" s="1751"/>
      <c r="X346" s="1751"/>
      <c r="Y346" s="1751"/>
      <c r="Z346" s="1751"/>
      <c r="AA346" s="1751"/>
      <c r="AB346" s="1751"/>
      <c r="AC346" s="1751"/>
      <c r="AD346" s="1751"/>
      <c r="AE346" s="1751"/>
      <c r="AF346" s="1751"/>
      <c r="AG346" s="1751"/>
      <c r="AH346" s="1751"/>
      <c r="AI346" s="1751"/>
      <c r="AJ346" s="1751"/>
      <c r="AK346" s="26"/>
      <c r="AL346" s="26"/>
      <c r="AM346" s="26"/>
      <c r="AN346" s="243"/>
      <c r="AQ346"/>
      <c r="AR346"/>
    </row>
    <row r="347" spans="1:76" s="4" customFormat="1" ht="12.75" customHeight="1">
      <c r="A347" s="26"/>
      <c r="B347" s="25"/>
      <c r="C347" s="1751" t="s">
        <v>2005</v>
      </c>
      <c r="D347" s="1751"/>
      <c r="E347" s="1751"/>
      <c r="F347" s="1751"/>
      <c r="G347" s="1751"/>
      <c r="H347" s="1751"/>
      <c r="I347" s="1751"/>
      <c r="J347" s="1751"/>
      <c r="K347" s="1751"/>
      <c r="L347" s="1751"/>
      <c r="M347" s="1751"/>
      <c r="N347" s="1751"/>
      <c r="O347" s="1751"/>
      <c r="P347" s="1751"/>
      <c r="Q347" s="1751"/>
      <c r="R347" s="1751"/>
      <c r="S347" s="1751"/>
      <c r="T347" s="1751"/>
      <c r="U347" s="1751"/>
      <c r="V347" s="1751"/>
      <c r="W347" s="1751"/>
      <c r="X347" s="1751"/>
      <c r="Y347" s="1751"/>
      <c r="Z347" s="1751"/>
      <c r="AA347" s="1751"/>
      <c r="AB347" s="1751"/>
      <c r="AC347" s="1751"/>
      <c r="AD347" s="1751"/>
      <c r="AE347" s="1751"/>
      <c r="AF347" s="1751"/>
      <c r="AG347" s="1751"/>
      <c r="AH347" s="1751"/>
      <c r="AI347" s="1751"/>
      <c r="AJ347" s="1751"/>
      <c r="AK347" s="26"/>
      <c r="AL347" s="26"/>
      <c r="AM347" s="26"/>
      <c r="AN347" s="243"/>
      <c r="AQ347"/>
      <c r="AR347"/>
    </row>
    <row r="348" spans="1:76" s="4" customFormat="1" ht="12.75" customHeight="1">
      <c r="A348" s="26"/>
      <c r="B348" s="25"/>
      <c r="C348" s="1751"/>
      <c r="D348" s="1751"/>
      <c r="E348" s="1751"/>
      <c r="F348" s="1751"/>
      <c r="G348" s="1751"/>
      <c r="H348" s="1751"/>
      <c r="I348" s="1751"/>
      <c r="J348" s="1751"/>
      <c r="K348" s="1751"/>
      <c r="L348" s="1751"/>
      <c r="M348" s="1751"/>
      <c r="N348" s="1751"/>
      <c r="O348" s="1751"/>
      <c r="P348" s="1751"/>
      <c r="Q348" s="1751"/>
      <c r="R348" s="1751"/>
      <c r="S348" s="1751"/>
      <c r="T348" s="1751"/>
      <c r="U348" s="1751"/>
      <c r="V348" s="1751"/>
      <c r="W348" s="1751"/>
      <c r="X348" s="1751"/>
      <c r="Y348" s="1751"/>
      <c r="Z348" s="1751"/>
      <c r="AA348" s="1751"/>
      <c r="AB348" s="1751"/>
      <c r="AC348" s="1751"/>
      <c r="AD348" s="1751"/>
      <c r="AE348" s="1751"/>
      <c r="AF348" s="1751"/>
      <c r="AG348" s="1751"/>
      <c r="AH348" s="1751"/>
      <c r="AI348" s="1751"/>
      <c r="AJ348" s="1751"/>
      <c r="AK348" s="26"/>
      <c r="AL348" s="26"/>
      <c r="AM348" s="26"/>
      <c r="AN348" s="243"/>
      <c r="AR348"/>
    </row>
    <row r="349" spans="1:76" s="4" customFormat="1" ht="12.75" customHeight="1">
      <c r="A349" s="26"/>
      <c r="B349" s="25"/>
      <c r="C349" s="1751"/>
      <c r="D349" s="1751"/>
      <c r="E349" s="1751"/>
      <c r="F349" s="1751"/>
      <c r="G349" s="1751"/>
      <c r="H349" s="1751"/>
      <c r="I349" s="1751"/>
      <c r="J349" s="1751"/>
      <c r="K349" s="1751"/>
      <c r="L349" s="1751"/>
      <c r="M349" s="1751"/>
      <c r="N349" s="1751"/>
      <c r="O349" s="1751"/>
      <c r="P349" s="1751"/>
      <c r="Q349" s="1751"/>
      <c r="R349" s="1751"/>
      <c r="S349" s="1751"/>
      <c r="T349" s="1751"/>
      <c r="U349" s="1751"/>
      <c r="V349" s="1751"/>
      <c r="W349" s="1751"/>
      <c r="X349" s="1751"/>
      <c r="Y349" s="1751"/>
      <c r="Z349" s="1751"/>
      <c r="AA349" s="1751"/>
      <c r="AB349" s="1751"/>
      <c r="AC349" s="1751"/>
      <c r="AD349" s="1751"/>
      <c r="AE349" s="1751"/>
      <c r="AF349" s="1751"/>
      <c r="AG349" s="1751"/>
      <c r="AH349" s="1751"/>
      <c r="AI349" s="1751"/>
      <c r="AJ349" s="1751"/>
      <c r="AK349" s="26"/>
      <c r="AL349" s="26"/>
      <c r="AM349" s="26"/>
      <c r="AN349" s="243"/>
      <c r="AR349"/>
    </row>
    <row r="350" spans="1:76" s="4" customFormat="1" ht="12.75" customHeight="1">
      <c r="A350" s="26"/>
      <c r="B350" s="25"/>
      <c r="C350" s="1751" t="s">
        <v>2006</v>
      </c>
      <c r="D350" s="1751"/>
      <c r="E350" s="1751"/>
      <c r="F350" s="1751"/>
      <c r="G350" s="1751"/>
      <c r="H350" s="1751"/>
      <c r="I350" s="1751"/>
      <c r="J350" s="1751"/>
      <c r="K350" s="1751"/>
      <c r="L350" s="1751"/>
      <c r="M350" s="1751"/>
      <c r="N350" s="1751"/>
      <c r="O350" s="1751"/>
      <c r="P350" s="1751"/>
      <c r="Q350" s="1751"/>
      <c r="R350" s="1751"/>
      <c r="S350" s="1751"/>
      <c r="T350" s="1751"/>
      <c r="U350" s="1751"/>
      <c r="V350" s="1751"/>
      <c r="W350" s="1751"/>
      <c r="X350" s="1751"/>
      <c r="Y350" s="1751"/>
      <c r="Z350" s="1751"/>
      <c r="AA350" s="1751"/>
      <c r="AB350" s="1751"/>
      <c r="AC350" s="1751"/>
      <c r="AD350" s="1751"/>
      <c r="AE350" s="1751"/>
      <c r="AF350" s="1751"/>
      <c r="AG350" s="1751"/>
      <c r="AH350" s="1751"/>
      <c r="AI350" s="1751"/>
      <c r="AJ350" s="1751"/>
      <c r="AK350" s="26"/>
      <c r="AL350" s="26"/>
      <c r="AM350" s="26"/>
      <c r="AN350" s="243"/>
      <c r="AQ350"/>
      <c r="AR350"/>
    </row>
    <row r="351" spans="1:76" s="4" customFormat="1" ht="12.75" customHeight="1">
      <c r="A351" s="26"/>
      <c r="B351" s="25"/>
      <c r="C351" s="1751"/>
      <c r="D351" s="1751"/>
      <c r="E351" s="1751"/>
      <c r="F351" s="1751"/>
      <c r="G351" s="1751"/>
      <c r="H351" s="1751"/>
      <c r="I351" s="1751"/>
      <c r="J351" s="1751"/>
      <c r="K351" s="1751"/>
      <c r="L351" s="1751"/>
      <c r="M351" s="1751"/>
      <c r="N351" s="1751"/>
      <c r="O351" s="1751"/>
      <c r="P351" s="1751"/>
      <c r="Q351" s="1751"/>
      <c r="R351" s="1751"/>
      <c r="S351" s="1751"/>
      <c r="T351" s="1751"/>
      <c r="U351" s="1751"/>
      <c r="V351" s="1751"/>
      <c r="W351" s="1751"/>
      <c r="X351" s="1751"/>
      <c r="Y351" s="1751"/>
      <c r="Z351" s="1751"/>
      <c r="AA351" s="1751"/>
      <c r="AB351" s="1751"/>
      <c r="AC351" s="1751"/>
      <c r="AD351" s="1751"/>
      <c r="AE351" s="1751"/>
      <c r="AF351" s="1751"/>
      <c r="AG351" s="1751"/>
      <c r="AH351" s="1751"/>
      <c r="AI351" s="1751"/>
      <c r="AJ351" s="1751"/>
      <c r="AK351" s="26"/>
      <c r="AL351" s="26"/>
      <c r="AM351" s="26"/>
      <c r="AN351" s="243"/>
      <c r="AQ351"/>
      <c r="AR351"/>
    </row>
    <row r="352" spans="1:76" s="4" customFormat="1" ht="13.35" customHeight="1">
      <c r="A352" s="26"/>
      <c r="B352" s="25"/>
      <c r="C352" s="1751"/>
      <c r="D352" s="1751"/>
      <c r="E352" s="1751"/>
      <c r="F352" s="1751"/>
      <c r="G352" s="1751"/>
      <c r="H352" s="1751"/>
      <c r="I352" s="1751"/>
      <c r="J352" s="1751"/>
      <c r="K352" s="1751"/>
      <c r="L352" s="1751"/>
      <c r="M352" s="1751"/>
      <c r="N352" s="1751"/>
      <c r="O352" s="1751"/>
      <c r="P352" s="1751"/>
      <c r="Q352" s="1751"/>
      <c r="R352" s="1751"/>
      <c r="S352" s="1751"/>
      <c r="T352" s="1751"/>
      <c r="U352" s="1751"/>
      <c r="V352" s="1751"/>
      <c r="W352" s="1751"/>
      <c r="X352" s="1751"/>
      <c r="Y352" s="1751"/>
      <c r="Z352" s="1751"/>
      <c r="AA352" s="1751"/>
      <c r="AB352" s="1751"/>
      <c r="AC352" s="1751"/>
      <c r="AD352" s="1751"/>
      <c r="AE352" s="1751"/>
      <c r="AF352" s="1751"/>
      <c r="AG352" s="1751"/>
      <c r="AH352" s="1751"/>
      <c r="AI352" s="1751"/>
      <c r="AJ352" s="1751"/>
      <c r="AK352" s="26"/>
      <c r="AL352" s="26"/>
      <c r="AM352" s="26"/>
      <c r="AN352" s="243"/>
      <c r="AQ352"/>
      <c r="AR352"/>
    </row>
    <row r="353" spans="1:46" s="4" customFormat="1" ht="12.75" customHeight="1">
      <c r="A353" s="26"/>
      <c r="B353" s="25"/>
      <c r="C353" s="1751"/>
      <c r="D353" s="1751"/>
      <c r="E353" s="1751"/>
      <c r="F353" s="1751"/>
      <c r="G353" s="1751"/>
      <c r="H353" s="1751"/>
      <c r="I353" s="1751"/>
      <c r="J353" s="1751"/>
      <c r="K353" s="1751"/>
      <c r="L353" s="1751"/>
      <c r="M353" s="1751"/>
      <c r="N353" s="1751"/>
      <c r="O353" s="1751"/>
      <c r="P353" s="1751"/>
      <c r="Q353" s="1751"/>
      <c r="R353" s="1751"/>
      <c r="S353" s="1751"/>
      <c r="T353" s="1751"/>
      <c r="U353" s="1751"/>
      <c r="V353" s="1751"/>
      <c r="W353" s="1751"/>
      <c r="X353" s="1751"/>
      <c r="Y353" s="1751"/>
      <c r="Z353" s="1751"/>
      <c r="AA353" s="1751"/>
      <c r="AB353" s="1751"/>
      <c r="AC353" s="1751"/>
      <c r="AD353" s="1751"/>
      <c r="AE353" s="1751"/>
      <c r="AF353" s="1751"/>
      <c r="AG353" s="1751"/>
      <c r="AH353" s="1751"/>
      <c r="AI353" s="1751"/>
      <c r="AJ353" s="1751"/>
      <c r="AK353" s="26"/>
      <c r="AL353" s="26"/>
      <c r="AM353" s="26"/>
      <c r="AN353" s="243"/>
      <c r="AO353" s="148"/>
      <c r="AP353" s="148"/>
      <c r="AQ353"/>
    </row>
    <row r="354" spans="1:46" s="4" customFormat="1" ht="12" customHeight="1">
      <c r="A354" s="26"/>
      <c r="B354" s="25"/>
      <c r="C354" s="1751"/>
      <c r="D354" s="1751"/>
      <c r="E354" s="1751"/>
      <c r="F354" s="1751"/>
      <c r="G354" s="1751"/>
      <c r="H354" s="1751"/>
      <c r="I354" s="1751"/>
      <c r="J354" s="1751"/>
      <c r="K354" s="1751"/>
      <c r="L354" s="1751"/>
      <c r="M354" s="1751"/>
      <c r="N354" s="1751"/>
      <c r="O354" s="1751"/>
      <c r="P354" s="1751"/>
      <c r="Q354" s="1751"/>
      <c r="R354" s="1751"/>
      <c r="S354" s="1751"/>
      <c r="T354" s="1751"/>
      <c r="U354" s="1751"/>
      <c r="V354" s="1751"/>
      <c r="W354" s="1751"/>
      <c r="X354" s="1751"/>
      <c r="Y354" s="1751"/>
      <c r="Z354" s="1751"/>
      <c r="AA354" s="1751"/>
      <c r="AB354" s="1751"/>
      <c r="AC354" s="1751"/>
      <c r="AD354" s="1751"/>
      <c r="AE354" s="1751"/>
      <c r="AF354" s="1751"/>
      <c r="AG354" s="1751"/>
      <c r="AH354" s="1751"/>
      <c r="AI354" s="1751"/>
      <c r="AJ354" s="1751"/>
      <c r="AK354" s="26"/>
      <c r="AL354" s="26"/>
      <c r="AM354" s="26"/>
      <c r="AN354" s="243"/>
      <c r="AO354" s="587" t="s">
        <v>14</v>
      </c>
      <c r="AP354" s="63">
        <f>IF(C379="Yes",5,0)</f>
        <v>0</v>
      </c>
      <c r="AS354" s="3" t="s">
        <v>2007</v>
      </c>
    </row>
    <row r="355" spans="1:46" s="4" customFormat="1" ht="12.75" customHeight="1">
      <c r="A355" s="26"/>
      <c r="B355" s="25"/>
      <c r="C355" s="1751"/>
      <c r="D355" s="1751"/>
      <c r="E355" s="1751"/>
      <c r="F355" s="1751"/>
      <c r="G355" s="1751"/>
      <c r="H355" s="1751"/>
      <c r="I355" s="1751"/>
      <c r="J355" s="1751"/>
      <c r="K355" s="1751"/>
      <c r="L355" s="1751"/>
      <c r="M355" s="1751"/>
      <c r="N355" s="1751"/>
      <c r="O355" s="1751"/>
      <c r="P355" s="1751"/>
      <c r="Q355" s="1751"/>
      <c r="R355" s="1751"/>
      <c r="S355" s="1751"/>
      <c r="T355" s="1751"/>
      <c r="U355" s="1751"/>
      <c r="V355" s="1751"/>
      <c r="W355" s="1751"/>
      <c r="X355" s="1751"/>
      <c r="Y355" s="1751"/>
      <c r="Z355" s="1751"/>
      <c r="AA355" s="1751"/>
      <c r="AB355" s="1751"/>
      <c r="AC355" s="1751"/>
      <c r="AD355" s="1751"/>
      <c r="AE355" s="1751"/>
      <c r="AF355" s="1751"/>
      <c r="AG355" s="1751"/>
      <c r="AH355" s="1751"/>
      <c r="AI355" s="1751"/>
      <c r="AJ355" s="1751"/>
      <c r="AK355" s="26"/>
      <c r="AL355" s="26"/>
      <c r="AM355" s="26"/>
      <c r="AN355" s="243"/>
      <c r="AO355" s="587"/>
      <c r="AP355" s="63"/>
      <c r="AS355" s="1763">
        <f>IF(AQ368=0,AQ381,AQ368)</f>
        <v>10</v>
      </c>
      <c r="AT355" s="1763"/>
    </row>
    <row r="356" spans="1:46" s="4" customFormat="1" ht="12.75" customHeight="1">
      <c r="A356" s="26"/>
      <c r="B356" s="25"/>
      <c r="C356" s="1751"/>
      <c r="D356" s="1751"/>
      <c r="E356" s="1751"/>
      <c r="F356" s="1751"/>
      <c r="G356" s="1751"/>
      <c r="H356" s="1751"/>
      <c r="I356" s="1751"/>
      <c r="J356" s="1751"/>
      <c r="K356" s="1751"/>
      <c r="L356" s="1751"/>
      <c r="M356" s="1751"/>
      <c r="N356" s="1751"/>
      <c r="O356" s="1751"/>
      <c r="P356" s="1751"/>
      <c r="Q356" s="1751"/>
      <c r="R356" s="1751"/>
      <c r="S356" s="1751"/>
      <c r="T356" s="1751"/>
      <c r="U356" s="1751"/>
      <c r="V356" s="1751"/>
      <c r="W356" s="1751"/>
      <c r="X356" s="1751"/>
      <c r="Y356" s="1751"/>
      <c r="Z356" s="1751"/>
      <c r="AA356" s="1751"/>
      <c r="AB356" s="1751"/>
      <c r="AC356" s="1751"/>
      <c r="AD356" s="1751"/>
      <c r="AE356" s="1751"/>
      <c r="AF356" s="1751"/>
      <c r="AG356" s="1751"/>
      <c r="AH356" s="1751"/>
      <c r="AI356" s="1751"/>
      <c r="AJ356" s="1751"/>
      <c r="AK356" s="26"/>
      <c r="AL356" s="26"/>
      <c r="AM356" s="26"/>
      <c r="AN356" s="243"/>
      <c r="AO356" s="587" t="s">
        <v>27</v>
      </c>
      <c r="AP356" s="63">
        <f>IF(C389="Yes",5,0)</f>
        <v>0</v>
      </c>
      <c r="AS356" s="3" t="s">
        <v>2008</v>
      </c>
    </row>
    <row r="357" spans="1:46" s="4" customFormat="1" ht="12.75" customHeight="1">
      <c r="A357" s="26"/>
      <c r="B357" s="25"/>
      <c r="C357" s="1751"/>
      <c r="D357" s="1751"/>
      <c r="E357" s="1751"/>
      <c r="F357" s="1751"/>
      <c r="G357" s="1751"/>
      <c r="H357" s="1751"/>
      <c r="I357" s="1751"/>
      <c r="J357" s="1751"/>
      <c r="K357" s="1751"/>
      <c r="L357" s="1751"/>
      <c r="M357" s="1751"/>
      <c r="N357" s="1751"/>
      <c r="O357" s="1751"/>
      <c r="P357" s="1751"/>
      <c r="Q357" s="1751"/>
      <c r="R357" s="1751"/>
      <c r="S357" s="1751"/>
      <c r="T357" s="1751"/>
      <c r="U357" s="1751"/>
      <c r="V357" s="1751"/>
      <c r="W357" s="1751"/>
      <c r="X357" s="1751"/>
      <c r="Y357" s="1751"/>
      <c r="Z357" s="1751"/>
      <c r="AA357" s="1751"/>
      <c r="AB357" s="1751"/>
      <c r="AC357" s="1751"/>
      <c r="AD357" s="1751"/>
      <c r="AE357" s="1751"/>
      <c r="AF357" s="1751"/>
      <c r="AG357" s="1751"/>
      <c r="AH357" s="1751"/>
      <c r="AI357" s="1751"/>
      <c r="AJ357" s="1751"/>
      <c r="AK357" s="26"/>
      <c r="AL357" s="26"/>
      <c r="AM357" s="26"/>
      <c r="AN357" s="243"/>
      <c r="AO357" s="587"/>
      <c r="AP357" s="63"/>
      <c r="AS357" s="1763">
        <f>IF(AND(AQ368&gt;0,AQ381&gt;0),(AQ368+AQ381)/2,0)</f>
        <v>0</v>
      </c>
      <c r="AT357" s="1763"/>
    </row>
    <row r="358" spans="1:46" s="4" customFormat="1" ht="12.75" customHeight="1">
      <c r="A358" s="26"/>
      <c r="B358" s="25"/>
      <c r="C358" s="1751"/>
      <c r="D358" s="1751"/>
      <c r="E358" s="1751"/>
      <c r="F358" s="1751"/>
      <c r="G358" s="1751"/>
      <c r="H358" s="1751"/>
      <c r="I358" s="1751"/>
      <c r="J358" s="1751"/>
      <c r="K358" s="1751"/>
      <c r="L358" s="1751"/>
      <c r="M358" s="1751"/>
      <c r="N358" s="1751"/>
      <c r="O358" s="1751"/>
      <c r="P358" s="1751"/>
      <c r="Q358" s="1751"/>
      <c r="R358" s="1751"/>
      <c r="S358" s="1751"/>
      <c r="T358" s="1751"/>
      <c r="U358" s="1751"/>
      <c r="V358" s="1751"/>
      <c r="W358" s="1751"/>
      <c r="X358" s="1751"/>
      <c r="Y358" s="1751"/>
      <c r="Z358" s="1751"/>
      <c r="AA358" s="1751"/>
      <c r="AB358" s="1751"/>
      <c r="AC358" s="1751"/>
      <c r="AD358" s="1751"/>
      <c r="AE358" s="1751"/>
      <c r="AF358" s="1751"/>
      <c r="AG358" s="1751"/>
      <c r="AH358" s="1751"/>
      <c r="AI358" s="1751"/>
      <c r="AJ358" s="1751"/>
      <c r="AK358" s="26"/>
      <c r="AL358" s="26"/>
      <c r="AM358" s="26"/>
      <c r="AN358" s="243"/>
      <c r="AO358" s="587" t="s">
        <v>33</v>
      </c>
      <c r="AP358" s="63">
        <f>IF(C399="Yes",7,0)</f>
        <v>7</v>
      </c>
    </row>
    <row r="359" spans="1:46" s="4" customFormat="1" ht="12.75" customHeight="1">
      <c r="A359" s="26"/>
      <c r="B359" s="25"/>
      <c r="C359" s="1751" t="s">
        <v>2009</v>
      </c>
      <c r="D359" s="1751"/>
      <c r="E359" s="1751"/>
      <c r="F359" s="1751"/>
      <c r="G359" s="1751"/>
      <c r="H359" s="1751"/>
      <c r="I359" s="1751"/>
      <c r="J359" s="1751"/>
      <c r="K359" s="1751"/>
      <c r="L359" s="1751"/>
      <c r="M359" s="1751"/>
      <c r="N359" s="1751"/>
      <c r="O359" s="1751"/>
      <c r="P359" s="1751"/>
      <c r="Q359" s="1751"/>
      <c r="R359" s="1751"/>
      <c r="S359" s="1751"/>
      <c r="T359" s="1751"/>
      <c r="U359" s="1751"/>
      <c r="V359" s="1751"/>
      <c r="W359" s="1751"/>
      <c r="X359" s="1751"/>
      <c r="Y359" s="1751"/>
      <c r="Z359" s="1751"/>
      <c r="AA359" s="1751"/>
      <c r="AB359" s="1751"/>
      <c r="AC359" s="1751"/>
      <c r="AD359" s="1751"/>
      <c r="AE359" s="1751"/>
      <c r="AF359" s="1751"/>
      <c r="AG359" s="1751"/>
      <c r="AH359" s="1751"/>
      <c r="AI359" s="1751"/>
      <c r="AJ359" s="1751"/>
      <c r="AK359" s="26"/>
      <c r="AL359" s="26"/>
      <c r="AM359" s="26"/>
      <c r="AN359" s="243"/>
      <c r="AO359" s="243"/>
      <c r="AP359" s="63">
        <f>IF(C401="Yes",5,0)</f>
        <v>0</v>
      </c>
    </row>
    <row r="360" spans="1:46" s="4" customFormat="1" ht="12.75" customHeight="1">
      <c r="A360" s="26"/>
      <c r="B360" s="25"/>
      <c r="C360" s="1751"/>
      <c r="D360" s="1751"/>
      <c r="E360" s="1751"/>
      <c r="F360" s="1751"/>
      <c r="G360" s="1751"/>
      <c r="H360" s="1751"/>
      <c r="I360" s="1751"/>
      <c r="J360" s="1751"/>
      <c r="K360" s="1751"/>
      <c r="L360" s="1751"/>
      <c r="M360" s="1751"/>
      <c r="N360" s="1751"/>
      <c r="O360" s="1751"/>
      <c r="P360" s="1751"/>
      <c r="Q360" s="1751"/>
      <c r="R360" s="1751"/>
      <c r="S360" s="1751"/>
      <c r="T360" s="1751"/>
      <c r="U360" s="1751"/>
      <c r="V360" s="1751"/>
      <c r="W360" s="1751"/>
      <c r="X360" s="1751"/>
      <c r="Y360" s="1751"/>
      <c r="Z360" s="1751"/>
      <c r="AA360" s="1751"/>
      <c r="AB360" s="1751"/>
      <c r="AC360" s="1751"/>
      <c r="AD360" s="1751"/>
      <c r="AE360" s="1751"/>
      <c r="AF360" s="1751"/>
      <c r="AG360" s="1751"/>
      <c r="AH360" s="1751"/>
      <c r="AI360" s="1751"/>
      <c r="AJ360" s="1751"/>
      <c r="AK360" s="26"/>
      <c r="AL360" s="26"/>
      <c r="AM360" s="26"/>
      <c r="AN360" s="243"/>
      <c r="AO360" s="243"/>
      <c r="AP360" s="63"/>
    </row>
    <row r="361" spans="1:46" s="4" customFormat="1" ht="12.75" customHeight="1">
      <c r="A361" s="26"/>
      <c r="B361" s="25"/>
      <c r="C361" s="1751"/>
      <c r="D361" s="1751"/>
      <c r="E361" s="1751"/>
      <c r="F361" s="1751"/>
      <c r="G361" s="1751"/>
      <c r="H361" s="1751"/>
      <c r="I361" s="1751"/>
      <c r="J361" s="1751"/>
      <c r="K361" s="1751"/>
      <c r="L361" s="1751"/>
      <c r="M361" s="1751"/>
      <c r="N361" s="1751"/>
      <c r="O361" s="1751"/>
      <c r="P361" s="1751"/>
      <c r="Q361" s="1751"/>
      <c r="R361" s="1751"/>
      <c r="S361" s="1751"/>
      <c r="T361" s="1751"/>
      <c r="U361" s="1751"/>
      <c r="V361" s="1751"/>
      <c r="W361" s="1751"/>
      <c r="X361" s="1751"/>
      <c r="Y361" s="1751"/>
      <c r="Z361" s="1751"/>
      <c r="AA361" s="1751"/>
      <c r="AB361" s="1751"/>
      <c r="AC361" s="1751"/>
      <c r="AD361" s="1751"/>
      <c r="AE361" s="1751"/>
      <c r="AF361" s="1751"/>
      <c r="AG361" s="1751"/>
      <c r="AH361" s="1751"/>
      <c r="AI361" s="1751"/>
      <c r="AJ361" s="1751"/>
      <c r="AK361" s="26"/>
      <c r="AL361" s="26"/>
      <c r="AM361" s="26"/>
      <c r="AN361" s="243"/>
      <c r="AO361" s="587" t="s">
        <v>91</v>
      </c>
      <c r="AP361" s="63">
        <f>IF(C409="Yes",5,0)</f>
        <v>0</v>
      </c>
    </row>
    <row r="362" spans="1:46" s="4" customFormat="1" ht="12" customHeight="1">
      <c r="A362" s="26"/>
      <c r="B362" s="25"/>
      <c r="C362" s="1751"/>
      <c r="D362" s="1751"/>
      <c r="E362" s="1751"/>
      <c r="F362" s="1751"/>
      <c r="G362" s="1751"/>
      <c r="H362" s="1751"/>
      <c r="I362" s="1751"/>
      <c r="J362" s="1751"/>
      <c r="K362" s="1751"/>
      <c r="L362" s="1751"/>
      <c r="M362" s="1751"/>
      <c r="N362" s="1751"/>
      <c r="O362" s="1751"/>
      <c r="P362" s="1751"/>
      <c r="Q362" s="1751"/>
      <c r="R362" s="1751"/>
      <c r="S362" s="1751"/>
      <c r="T362" s="1751"/>
      <c r="U362" s="1751"/>
      <c r="V362" s="1751"/>
      <c r="W362" s="1751"/>
      <c r="X362" s="1751"/>
      <c r="Y362" s="1751"/>
      <c r="Z362" s="1751"/>
      <c r="AA362" s="1751"/>
      <c r="AB362" s="1751"/>
      <c r="AC362" s="1751"/>
      <c r="AD362" s="1751"/>
      <c r="AE362" s="1751"/>
      <c r="AF362" s="1751"/>
      <c r="AG362" s="1751"/>
      <c r="AH362" s="1751"/>
      <c r="AI362" s="1751"/>
      <c r="AJ362" s="1751"/>
      <c r="AK362" s="26"/>
      <c r="AL362" s="26"/>
      <c r="AM362" s="26"/>
      <c r="AN362" s="243"/>
      <c r="AO362" s="243"/>
      <c r="AP362" s="63">
        <f>IF(C411="Yes",3,0)</f>
        <v>3</v>
      </c>
    </row>
    <row r="363" spans="1:46" s="4" customFormat="1" ht="12.6" customHeight="1">
      <c r="A363" s="26"/>
      <c r="B363" s="25"/>
      <c r="C363" s="1751"/>
      <c r="D363" s="1751"/>
      <c r="E363" s="1751"/>
      <c r="F363" s="1751"/>
      <c r="G363" s="1751"/>
      <c r="H363" s="1751"/>
      <c r="I363" s="1751"/>
      <c r="J363" s="1751"/>
      <c r="K363" s="1751"/>
      <c r="L363" s="1751"/>
      <c r="M363" s="1751"/>
      <c r="N363" s="1751"/>
      <c r="O363" s="1751"/>
      <c r="P363" s="1751"/>
      <c r="Q363" s="1751"/>
      <c r="R363" s="1751"/>
      <c r="S363" s="1751"/>
      <c r="T363" s="1751"/>
      <c r="U363" s="1751"/>
      <c r="V363" s="1751"/>
      <c r="W363" s="1751"/>
      <c r="X363" s="1751"/>
      <c r="Y363" s="1751"/>
      <c r="Z363" s="1751"/>
      <c r="AA363" s="1751"/>
      <c r="AB363" s="1751"/>
      <c r="AC363" s="1751"/>
      <c r="AD363" s="1751"/>
      <c r="AE363" s="1751"/>
      <c r="AF363" s="1751"/>
      <c r="AG363" s="1751"/>
      <c r="AH363" s="1751"/>
      <c r="AI363" s="1751"/>
      <c r="AJ363" s="1751"/>
      <c r="AK363" s="26"/>
      <c r="AL363" s="26"/>
      <c r="AM363" s="26"/>
      <c r="AN363" s="243"/>
      <c r="AO363" s="243"/>
      <c r="AP363" s="63"/>
    </row>
    <row r="364" spans="1:46" s="4" customFormat="1" ht="12.75" customHeight="1">
      <c r="A364" s="26"/>
      <c r="B364" s="25"/>
      <c r="C364" s="1751"/>
      <c r="D364" s="1751"/>
      <c r="E364" s="1751"/>
      <c r="F364" s="1751"/>
      <c r="G364" s="1751"/>
      <c r="H364" s="1751"/>
      <c r="I364" s="1751"/>
      <c r="J364" s="1751"/>
      <c r="K364" s="1751"/>
      <c r="L364" s="1751"/>
      <c r="M364" s="1751"/>
      <c r="N364" s="1751"/>
      <c r="O364" s="1751"/>
      <c r="P364" s="1751"/>
      <c r="Q364" s="1751"/>
      <c r="R364" s="1751"/>
      <c r="S364" s="1751"/>
      <c r="T364" s="1751"/>
      <c r="U364" s="1751"/>
      <c r="V364" s="1751"/>
      <c r="W364" s="1751"/>
      <c r="X364" s="1751"/>
      <c r="Y364" s="1751"/>
      <c r="Z364" s="1751"/>
      <c r="AA364" s="1751"/>
      <c r="AB364" s="1751"/>
      <c r="AC364" s="1751"/>
      <c r="AD364" s="1751"/>
      <c r="AE364" s="1751"/>
      <c r="AF364" s="1751"/>
      <c r="AG364" s="1751"/>
      <c r="AH364" s="1751"/>
      <c r="AI364" s="1751"/>
      <c r="AJ364" s="1751"/>
      <c r="AK364" s="26"/>
      <c r="AL364" s="26"/>
      <c r="AM364" s="26"/>
      <c r="AN364" s="243"/>
      <c r="AO364" s="587" t="s">
        <v>95</v>
      </c>
      <c r="AP364" s="63">
        <f>IF(C414="Yes",5,0)</f>
        <v>0</v>
      </c>
    </row>
    <row r="365" spans="1:46" s="4" customFormat="1" ht="12.75" customHeight="1">
      <c r="A365" s="26"/>
      <c r="B365" s="25"/>
      <c r="C365" s="1751"/>
      <c r="D365" s="1751"/>
      <c r="E365" s="1751"/>
      <c r="F365" s="1751"/>
      <c r="G365" s="1751"/>
      <c r="H365" s="1751"/>
      <c r="I365" s="1751"/>
      <c r="J365" s="1751"/>
      <c r="K365" s="1751"/>
      <c r="L365" s="1751"/>
      <c r="M365" s="1751"/>
      <c r="N365" s="1751"/>
      <c r="O365" s="1751"/>
      <c r="P365" s="1751"/>
      <c r="Q365" s="1751"/>
      <c r="R365" s="1751"/>
      <c r="S365" s="1751"/>
      <c r="T365" s="1751"/>
      <c r="U365" s="1751"/>
      <c r="V365" s="1751"/>
      <c r="W365" s="1751"/>
      <c r="X365" s="1751"/>
      <c r="Y365" s="1751"/>
      <c r="Z365" s="1751"/>
      <c r="AA365" s="1751"/>
      <c r="AB365" s="1751"/>
      <c r="AC365" s="1751"/>
      <c r="AD365" s="1751"/>
      <c r="AE365" s="1751"/>
      <c r="AF365" s="1751"/>
      <c r="AG365" s="1751"/>
      <c r="AH365" s="1751"/>
      <c r="AI365" s="1751"/>
      <c r="AJ365" s="1751"/>
      <c r="AK365" s="26"/>
      <c r="AL365" s="26"/>
      <c r="AM365" s="26"/>
      <c r="AN365" s="243"/>
      <c r="AO365" s="587" t="s">
        <v>1312</v>
      </c>
      <c r="AP365" s="63">
        <f>IF(C423="Yes",5,0)</f>
        <v>0</v>
      </c>
    </row>
    <row r="366" spans="1:46" s="4" customFormat="1" ht="12.75" customHeight="1">
      <c r="A366" s="26"/>
      <c r="B366" s="25"/>
      <c r="C366" s="1751" t="s">
        <v>2010</v>
      </c>
      <c r="D366" s="1751"/>
      <c r="E366" s="1751"/>
      <c r="F366" s="1751"/>
      <c r="G366" s="1751"/>
      <c r="H366" s="1751"/>
      <c r="I366" s="1751"/>
      <c r="J366" s="1751"/>
      <c r="K366" s="1751"/>
      <c r="L366" s="1751"/>
      <c r="M366" s="1751"/>
      <c r="N366" s="1751"/>
      <c r="O366" s="1751"/>
      <c r="P366" s="1751"/>
      <c r="Q366" s="1751"/>
      <c r="R366" s="1751"/>
      <c r="S366" s="1751"/>
      <c r="T366" s="1751"/>
      <c r="U366" s="1751"/>
      <c r="V366" s="1751"/>
      <c r="W366" s="1751"/>
      <c r="X366" s="1751"/>
      <c r="Y366" s="1751"/>
      <c r="Z366" s="1751"/>
      <c r="AA366" s="1751"/>
      <c r="AB366" s="1751"/>
      <c r="AC366" s="1751"/>
      <c r="AD366" s="1751"/>
      <c r="AE366" s="1751"/>
      <c r="AF366" s="1751"/>
      <c r="AG366" s="1751"/>
      <c r="AH366" s="1751"/>
      <c r="AI366" s="1751"/>
      <c r="AJ366" s="1751"/>
      <c r="AK366" s="26"/>
      <c r="AL366" s="26"/>
      <c r="AM366" s="26"/>
      <c r="AN366" s="243"/>
      <c r="AO366" s="243"/>
      <c r="AP366" s="63">
        <f>IF(C425="Yes",3,0)</f>
        <v>0</v>
      </c>
    </row>
    <row r="367" spans="1:46" s="4" customFormat="1" ht="12.75" customHeight="1">
      <c r="A367" s="26"/>
      <c r="B367" s="25"/>
      <c r="C367" s="1751"/>
      <c r="D367" s="1751"/>
      <c r="E367" s="1751"/>
      <c r="F367" s="1751"/>
      <c r="G367" s="1751"/>
      <c r="H367" s="1751"/>
      <c r="I367" s="1751"/>
      <c r="J367" s="1751"/>
      <c r="K367" s="1751"/>
      <c r="L367" s="1751"/>
      <c r="M367" s="1751"/>
      <c r="N367" s="1751"/>
      <c r="O367" s="1751"/>
      <c r="P367" s="1751"/>
      <c r="Q367" s="1751"/>
      <c r="R367" s="1751"/>
      <c r="S367" s="1751"/>
      <c r="T367" s="1751"/>
      <c r="U367" s="1751"/>
      <c r="V367" s="1751"/>
      <c r="W367" s="1751"/>
      <c r="X367" s="1751"/>
      <c r="Y367" s="1751"/>
      <c r="Z367" s="1751"/>
      <c r="AA367" s="1751"/>
      <c r="AB367" s="1751"/>
      <c r="AC367" s="1751"/>
      <c r="AD367" s="1751"/>
      <c r="AE367" s="1751"/>
      <c r="AF367" s="1751"/>
      <c r="AG367" s="1751"/>
      <c r="AH367" s="1751"/>
      <c r="AI367" s="1751"/>
      <c r="AJ367" s="1751"/>
      <c r="AK367" s="26"/>
      <c r="AL367" s="26"/>
      <c r="AM367" s="26"/>
      <c r="AN367" s="243"/>
      <c r="AO367" s="588"/>
      <c r="AP367" s="48"/>
    </row>
    <row r="368" spans="1:46" s="4" customFormat="1" ht="68.25" customHeight="1">
      <c r="A368" s="26"/>
      <c r="B368" s="25"/>
      <c r="C368" s="1751"/>
      <c r="D368" s="1751"/>
      <c r="E368" s="1751"/>
      <c r="F368" s="1751"/>
      <c r="G368" s="1751"/>
      <c r="H368" s="1751"/>
      <c r="I368" s="1751"/>
      <c r="J368" s="1751"/>
      <c r="K368" s="1751"/>
      <c r="L368" s="1751"/>
      <c r="M368" s="1751"/>
      <c r="N368" s="1751"/>
      <c r="O368" s="1751"/>
      <c r="P368" s="1751"/>
      <c r="Q368" s="1751"/>
      <c r="R368" s="1751"/>
      <c r="S368" s="1751"/>
      <c r="T368" s="1751"/>
      <c r="U368" s="1751"/>
      <c r="V368" s="1751"/>
      <c r="W368" s="1751"/>
      <c r="X368" s="1751"/>
      <c r="Y368" s="1751"/>
      <c r="Z368" s="1751"/>
      <c r="AA368" s="1751"/>
      <c r="AB368" s="1751"/>
      <c r="AC368" s="1751"/>
      <c r="AD368" s="1751"/>
      <c r="AE368" s="1751"/>
      <c r="AF368" s="1751"/>
      <c r="AG368" s="1751"/>
      <c r="AH368" s="1751"/>
      <c r="AI368" s="1751"/>
      <c r="AJ368" s="1751"/>
      <c r="AK368" s="26"/>
      <c r="AL368" s="26"/>
      <c r="AM368" s="26"/>
      <c r="AN368" s="243"/>
      <c r="AO368" s="589" t="s">
        <v>2011</v>
      </c>
      <c r="AP368" s="146">
        <f>SUM(AP354:AP367)</f>
        <v>10</v>
      </c>
      <c r="AQ368" s="1172">
        <f>IF(AP368&gt;0,AP368,0)</f>
        <v>10</v>
      </c>
      <c r="AR368" s="1172"/>
    </row>
    <row r="369" spans="1:153" s="4" customFormat="1" ht="12.6" customHeight="1">
      <c r="A369" s="26"/>
      <c r="B369" s="25"/>
      <c r="C369" s="4" t="s">
        <v>2012</v>
      </c>
      <c r="AF369" s="26"/>
      <c r="AG369" s="26"/>
      <c r="AH369" s="26"/>
      <c r="AI369" s="26"/>
      <c r="AJ369" s="26"/>
      <c r="AK369" s="26"/>
      <c r="AL369" s="26"/>
      <c r="AM369" s="26"/>
      <c r="AN369" s="243"/>
      <c r="AO369" s="587" t="s">
        <v>1314</v>
      </c>
      <c r="AP369" s="63">
        <f>IF(C432="Yes",5,0)</f>
        <v>0</v>
      </c>
    </row>
    <row r="370" spans="1:153" s="4" customFormat="1" ht="12.75" customHeight="1">
      <c r="A370" s="26"/>
      <c r="B370" s="25"/>
      <c r="C370" s="590" t="s">
        <v>2013</v>
      </c>
      <c r="D370" s="591"/>
      <c r="E370" s="591"/>
      <c r="F370" s="591"/>
      <c r="G370" s="591"/>
      <c r="H370" s="591"/>
      <c r="I370" s="591"/>
      <c r="J370" s="591"/>
      <c r="K370" s="591"/>
      <c r="L370" s="591"/>
      <c r="M370" s="184"/>
      <c r="N370" s="184"/>
      <c r="O370" s="592"/>
      <c r="P370" s="591"/>
      <c r="Q370" s="591"/>
      <c r="R370" s="184"/>
      <c r="S370" s="184"/>
      <c r="T370" s="591"/>
      <c r="U370" s="1604">
        <f>Application!CQ649-U371</f>
        <v>22</v>
      </c>
      <c r="V370" s="1604"/>
      <c r="W370" s="1604"/>
      <c r="X370" s="591"/>
      <c r="Y370" s="591"/>
      <c r="Z370" s="591"/>
      <c r="AA370" s="593"/>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4" t="s">
        <v>2014</v>
      </c>
      <c r="D371" s="148"/>
      <c r="E371" s="148"/>
      <c r="F371" s="148"/>
      <c r="G371" s="148"/>
      <c r="H371" s="148"/>
      <c r="I371" s="148"/>
      <c r="J371" s="148"/>
      <c r="K371" s="148"/>
      <c r="L371" s="148"/>
      <c r="M371" s="148"/>
      <c r="N371" s="148"/>
      <c r="O371" s="148"/>
      <c r="P371" s="148"/>
      <c r="Q371" s="148"/>
      <c r="R371" s="148"/>
      <c r="S371" s="148"/>
      <c r="T371" s="148"/>
      <c r="U371" s="1605">
        <f>IF(Application!D214="SRO",Application!CQ628,Application!AG733)</f>
        <v>0</v>
      </c>
      <c r="V371" s="1605"/>
      <c r="W371" s="1605"/>
      <c r="X371" s="148"/>
      <c r="Y371" s="148"/>
      <c r="Z371" s="148"/>
      <c r="AA371" s="150"/>
      <c r="AC371" s="239"/>
      <c r="AD371" s="239"/>
      <c r="AE371" s="26"/>
      <c r="AF371" s="26"/>
      <c r="AG371" s="26"/>
      <c r="AH371" s="26"/>
      <c r="AI371" s="26"/>
      <c r="AJ371" s="26"/>
      <c r="AK371" s="26"/>
      <c r="AL371" s="26"/>
      <c r="AM371" s="26"/>
      <c r="AN371" s="243"/>
      <c r="AO371" s="587" t="s">
        <v>1316</v>
      </c>
      <c r="AP371" s="63">
        <f>IF(C444="Yes",5,0)</f>
        <v>0</v>
      </c>
    </row>
    <row r="372" spans="1:153" s="4" customFormat="1" ht="12.75" customHeight="1">
      <c r="A372" s="26"/>
      <c r="B372" s="25"/>
      <c r="C372" s="4" t="s">
        <v>2015</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87" t="s">
        <v>1317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2016</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5"/>
      <c r="D375" s="596"/>
      <c r="E375" s="597" t="s">
        <v>2017</v>
      </c>
      <c r="F375" s="1602" t="s">
        <v>2018</v>
      </c>
      <c r="G375" s="1602"/>
      <c r="H375" s="1602"/>
      <c r="I375" s="1602"/>
      <c r="J375" s="1602"/>
      <c r="K375" s="1602"/>
      <c r="L375" s="1602"/>
      <c r="M375" s="1602"/>
      <c r="N375" s="1602"/>
      <c r="O375" s="1602"/>
      <c r="P375" s="1602"/>
      <c r="Q375" s="1602"/>
      <c r="R375" s="1602"/>
      <c r="S375" s="1602"/>
      <c r="T375" s="1602"/>
      <c r="U375" s="1602"/>
      <c r="V375" s="1602"/>
      <c r="W375" s="1602"/>
      <c r="X375" s="1602"/>
      <c r="Y375" s="1602"/>
      <c r="Z375" s="1602"/>
      <c r="AA375" s="1602"/>
      <c r="AB375" s="1602"/>
      <c r="AC375" s="1602"/>
      <c r="AD375" s="1602"/>
      <c r="AE375" s="1602"/>
      <c r="AF375" s="1602"/>
      <c r="AG375" s="636"/>
      <c r="AH375" s="636"/>
      <c r="AI375" s="636"/>
      <c r="AJ375" s="636"/>
      <c r="AK375" s="636"/>
      <c r="AL375" s="677"/>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0"/>
      <c r="D376" s="37"/>
      <c r="E376" s="191"/>
      <c r="F376" s="1547"/>
      <c r="G376" s="1547"/>
      <c r="H376" s="1547"/>
      <c r="I376" s="1547"/>
      <c r="J376" s="1547"/>
      <c r="K376" s="1547"/>
      <c r="L376" s="1547"/>
      <c r="M376" s="1547"/>
      <c r="N376" s="1547"/>
      <c r="O376" s="1547"/>
      <c r="P376" s="1547"/>
      <c r="Q376" s="1547"/>
      <c r="R376" s="1547"/>
      <c r="S376" s="1547"/>
      <c r="T376" s="1547"/>
      <c r="U376" s="1547"/>
      <c r="V376" s="1547"/>
      <c r="W376" s="1547"/>
      <c r="X376" s="1547"/>
      <c r="Y376" s="1547"/>
      <c r="Z376" s="1547"/>
      <c r="AA376" s="1547"/>
      <c r="AB376" s="1547"/>
      <c r="AC376" s="1547"/>
      <c r="AD376" s="1547"/>
      <c r="AE376" s="1547"/>
      <c r="AF376" s="1547"/>
      <c r="AG376" s="3"/>
      <c r="AH376" s="3"/>
      <c r="AI376" s="3"/>
      <c r="AJ376" s="3"/>
      <c r="AK376" s="3"/>
      <c r="AL376" s="673"/>
      <c r="AM376"/>
      <c r="AN376" s="243"/>
      <c r="AO376" s="587" t="s">
        <v>1318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0"/>
      <c r="D377" s="37"/>
      <c r="E377" s="191"/>
      <c r="F377" s="1547"/>
      <c r="G377" s="1547"/>
      <c r="H377" s="1547"/>
      <c r="I377" s="1547"/>
      <c r="J377" s="1547"/>
      <c r="K377" s="1547"/>
      <c r="L377" s="1547"/>
      <c r="M377" s="1547"/>
      <c r="N377" s="1547"/>
      <c r="O377" s="1547"/>
      <c r="P377" s="1547"/>
      <c r="Q377" s="1547"/>
      <c r="R377" s="1547"/>
      <c r="S377" s="1547"/>
      <c r="T377" s="1547"/>
      <c r="U377" s="1547"/>
      <c r="V377" s="1547"/>
      <c r="W377" s="1547"/>
      <c r="X377" s="1547"/>
      <c r="Y377" s="1547"/>
      <c r="Z377" s="1547"/>
      <c r="AA377" s="1547"/>
      <c r="AB377" s="1547"/>
      <c r="AC377" s="1547"/>
      <c r="AD377" s="1547"/>
      <c r="AE377" s="1547"/>
      <c r="AF377" s="1547"/>
      <c r="AG377" s="3"/>
      <c r="AH377" s="3"/>
      <c r="AI377" s="3"/>
      <c r="AJ377" s="3"/>
      <c r="AK377" s="3"/>
      <c r="AL377" s="673"/>
      <c r="AM377"/>
      <c r="AN377" s="243"/>
      <c r="AO377" s="587" t="s">
        <v>1319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0"/>
      <c r="D378" s="37"/>
      <c r="E378" s="191"/>
      <c r="F378" s="1547"/>
      <c r="G378" s="1547"/>
      <c r="H378" s="1547"/>
      <c r="I378" s="1547"/>
      <c r="J378" s="1547"/>
      <c r="K378" s="1547"/>
      <c r="L378" s="1547"/>
      <c r="M378" s="1547"/>
      <c r="N378" s="1547"/>
      <c r="O378" s="1547"/>
      <c r="P378" s="1547"/>
      <c r="Q378" s="1547"/>
      <c r="R378" s="1547"/>
      <c r="S378" s="1547"/>
      <c r="T378" s="1547"/>
      <c r="U378" s="1547"/>
      <c r="V378" s="1547"/>
      <c r="W378" s="1547"/>
      <c r="X378" s="1547"/>
      <c r="Y378" s="1547"/>
      <c r="Z378" s="1547"/>
      <c r="AA378" s="1547"/>
      <c r="AB378" s="1547"/>
      <c r="AC378" s="1547"/>
      <c r="AD378" s="1547"/>
      <c r="AE378" s="1547"/>
      <c r="AF378" s="1547"/>
      <c r="AG378" s="3"/>
      <c r="AH378" s="3"/>
      <c r="AI378" s="3"/>
      <c r="AJ378" s="3"/>
      <c r="AK378" s="3"/>
      <c r="AL378" s="673"/>
      <c r="AM378"/>
      <c r="AN378" s="243"/>
      <c r="AO378" s="587" t="s">
        <v>1320</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0" t="s">
        <v>325</v>
      </c>
      <c r="D379" s="1063"/>
      <c r="E379" s="191"/>
      <c r="F379" s="286" t="s">
        <v>2019</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59" t="s">
        <v>2020</v>
      </c>
      <c r="AG379" s="1459"/>
      <c r="AH379" s="1459"/>
      <c r="AI379" s="1459"/>
      <c r="AJ379" s="1459"/>
      <c r="AK379" s="1459"/>
      <c r="AL379" s="1601"/>
      <c r="AM379" s="716"/>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1"/>
      <c r="D380" s="912"/>
      <c r="E380" s="600"/>
      <c r="F380" s="702"/>
      <c r="G380" s="702"/>
      <c r="H380" s="702"/>
      <c r="I380" s="702"/>
      <c r="J380" s="702"/>
      <c r="K380" s="702"/>
      <c r="L380" s="702"/>
      <c r="M380" s="702"/>
      <c r="N380" s="702"/>
      <c r="O380" s="702"/>
      <c r="P380" s="702"/>
      <c r="Q380" s="702"/>
      <c r="R380" s="702"/>
      <c r="S380" s="702"/>
      <c r="T380" s="702"/>
      <c r="U380" s="702"/>
      <c r="V380" s="702"/>
      <c r="W380" s="702"/>
      <c r="X380" s="702"/>
      <c r="Y380" s="702"/>
      <c r="Z380" s="702"/>
      <c r="AA380" s="702"/>
      <c r="AB380" s="702"/>
      <c r="AC380" s="702"/>
      <c r="AD380" s="702"/>
      <c r="AE380" s="674"/>
      <c r="AF380" s="674"/>
      <c r="AG380" s="674"/>
      <c r="AH380" s="674"/>
      <c r="AI380" s="674"/>
      <c r="AJ380" s="674"/>
      <c r="AK380" s="674"/>
      <c r="AL380" s="675"/>
      <c r="AM380"/>
      <c r="AN380" s="243"/>
      <c r="AO380" s="588"/>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2011</v>
      </c>
      <c r="AP381" s="3">
        <f>SUM(AP369:AP380)</f>
        <v>0</v>
      </c>
      <c r="AQ381" s="1172">
        <f>IF(AP381&gt;0,AP381,0)</f>
        <v>0</v>
      </c>
      <c r="AR381" s="1172"/>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5"/>
      <c r="D384" s="596"/>
      <c r="E384" s="597" t="s">
        <v>2021</v>
      </c>
      <c r="F384" s="1602" t="s">
        <v>2022</v>
      </c>
      <c r="G384" s="1602"/>
      <c r="H384" s="1602"/>
      <c r="I384" s="1602"/>
      <c r="J384" s="1602"/>
      <c r="K384" s="1602"/>
      <c r="L384" s="1602"/>
      <c r="M384" s="1602"/>
      <c r="N384" s="1602"/>
      <c r="O384" s="1602"/>
      <c r="P384" s="1602"/>
      <c r="Q384" s="1602"/>
      <c r="R384" s="1602"/>
      <c r="S384" s="1602"/>
      <c r="T384" s="1602"/>
      <c r="U384" s="1602"/>
      <c r="V384" s="1602"/>
      <c r="W384" s="1602"/>
      <c r="X384" s="1602"/>
      <c r="Y384" s="1602"/>
      <c r="Z384" s="1602"/>
      <c r="AA384" s="1602"/>
      <c r="AB384" s="1602"/>
      <c r="AC384" s="1602"/>
      <c r="AD384" s="1602"/>
      <c r="AE384" s="1602"/>
      <c r="AF384" s="1602"/>
      <c r="AG384" s="636"/>
      <c r="AH384" s="636"/>
      <c r="AI384" s="636"/>
      <c r="AJ384" s="636"/>
      <c r="AK384" s="636"/>
      <c r="AL384" s="677"/>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2"/>
      <c r="D385" s="21"/>
      <c r="E385" s="170"/>
      <c r="F385" s="1547"/>
      <c r="G385" s="1547"/>
      <c r="H385" s="1547"/>
      <c r="I385" s="1547"/>
      <c r="J385" s="1547"/>
      <c r="K385" s="1547"/>
      <c r="L385" s="1547"/>
      <c r="M385" s="1547"/>
      <c r="N385" s="1547"/>
      <c r="O385" s="1547"/>
      <c r="P385" s="1547"/>
      <c r="Q385" s="1547"/>
      <c r="R385" s="1547"/>
      <c r="S385" s="1547"/>
      <c r="T385" s="1547"/>
      <c r="U385" s="1547"/>
      <c r="V385" s="1547"/>
      <c r="W385" s="1547"/>
      <c r="X385" s="1547"/>
      <c r="Y385" s="1547"/>
      <c r="Z385" s="1547"/>
      <c r="AA385" s="1547"/>
      <c r="AB385" s="1547"/>
      <c r="AC385" s="1547"/>
      <c r="AD385" s="1547"/>
      <c r="AE385" s="1547"/>
      <c r="AF385" s="1547"/>
      <c r="AG385" s="3"/>
      <c r="AH385" s="3"/>
      <c r="AI385" s="3"/>
      <c r="AJ385" s="3"/>
      <c r="AK385" s="3"/>
      <c r="AL385" s="673"/>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2"/>
      <c r="D386" s="21"/>
      <c r="E386" s="170"/>
      <c r="F386" s="1547"/>
      <c r="G386" s="1547"/>
      <c r="H386" s="1547"/>
      <c r="I386" s="1547"/>
      <c r="J386" s="1547"/>
      <c r="K386" s="1547"/>
      <c r="L386" s="1547"/>
      <c r="M386" s="1547"/>
      <c r="N386" s="1547"/>
      <c r="O386" s="1547"/>
      <c r="P386" s="1547"/>
      <c r="Q386" s="1547"/>
      <c r="R386" s="1547"/>
      <c r="S386" s="1547"/>
      <c r="T386" s="1547"/>
      <c r="U386" s="1547"/>
      <c r="V386" s="1547"/>
      <c r="W386" s="1547"/>
      <c r="X386" s="1547"/>
      <c r="Y386" s="1547"/>
      <c r="Z386" s="1547"/>
      <c r="AA386" s="1547"/>
      <c r="AB386" s="1547"/>
      <c r="AC386" s="1547"/>
      <c r="AD386" s="1547"/>
      <c r="AE386" s="1547"/>
      <c r="AF386" s="1547"/>
      <c r="AG386" s="3"/>
      <c r="AH386" s="3"/>
      <c r="AI386" s="3"/>
      <c r="AJ386" s="3"/>
      <c r="AK386" s="3"/>
      <c r="AL386" s="673"/>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2"/>
      <c r="D387" s="21"/>
      <c r="E387" s="170"/>
      <c r="F387" s="1547"/>
      <c r="G387" s="1547"/>
      <c r="H387" s="1547"/>
      <c r="I387" s="1547"/>
      <c r="J387" s="1547"/>
      <c r="K387" s="1547"/>
      <c r="L387" s="1547"/>
      <c r="M387" s="1547"/>
      <c r="N387" s="1547"/>
      <c r="O387" s="1547"/>
      <c r="P387" s="1547"/>
      <c r="Q387" s="1547"/>
      <c r="R387" s="1547"/>
      <c r="S387" s="1547"/>
      <c r="T387" s="1547"/>
      <c r="U387" s="1547"/>
      <c r="V387" s="1547"/>
      <c r="W387" s="1547"/>
      <c r="X387" s="1547"/>
      <c r="Y387" s="1547"/>
      <c r="Z387" s="1547"/>
      <c r="AA387" s="1547"/>
      <c r="AB387" s="1547"/>
      <c r="AC387" s="1547"/>
      <c r="AD387" s="1547"/>
      <c r="AE387" s="1547"/>
      <c r="AF387" s="1547"/>
      <c r="AG387" s="3"/>
      <c r="AH387" s="3"/>
      <c r="AI387" s="3"/>
      <c r="AJ387" s="3"/>
      <c r="AK387" s="3"/>
      <c r="AL387" s="673"/>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2"/>
      <c r="D388" s="21"/>
      <c r="E388" s="170"/>
      <c r="F388" s="1547"/>
      <c r="G388" s="1547"/>
      <c r="H388" s="1547"/>
      <c r="I388" s="1547"/>
      <c r="J388" s="1547"/>
      <c r="K388" s="1547"/>
      <c r="L388" s="1547"/>
      <c r="M388" s="1547"/>
      <c r="N388" s="1547"/>
      <c r="O388" s="1547"/>
      <c r="P388" s="1547"/>
      <c r="Q388" s="1547"/>
      <c r="R388" s="1547"/>
      <c r="S388" s="1547"/>
      <c r="T388" s="1547"/>
      <c r="U388" s="1547"/>
      <c r="V388" s="1547"/>
      <c r="W388" s="1547"/>
      <c r="X388" s="1547"/>
      <c r="Y388" s="1547"/>
      <c r="Z388" s="1547"/>
      <c r="AA388" s="1547"/>
      <c r="AB388" s="1547"/>
      <c r="AC388" s="1547"/>
      <c r="AD388" s="1547"/>
      <c r="AE388" s="1547"/>
      <c r="AF388" s="1547"/>
      <c r="AL388" s="603"/>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0" t="s">
        <v>325</v>
      </c>
      <c r="D389" s="1063"/>
      <c r="E389" s="170"/>
      <c r="F389" s="286" t="s">
        <v>2023</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59" t="s">
        <v>2020</v>
      </c>
      <c r="AG389" s="1459"/>
      <c r="AH389" s="1459"/>
      <c r="AI389" s="1459"/>
      <c r="AJ389" s="1459"/>
      <c r="AK389" s="1459"/>
      <c r="AL389" s="160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1"/>
      <c r="D390" s="912"/>
      <c r="E390" s="600"/>
      <c r="F390" s="702"/>
      <c r="G390" s="702"/>
      <c r="H390" s="702"/>
      <c r="I390" s="702"/>
      <c r="J390" s="702"/>
      <c r="K390" s="702"/>
      <c r="L390" s="702"/>
      <c r="M390" s="702"/>
      <c r="N390" s="702"/>
      <c r="O390" s="702"/>
      <c r="P390" s="702"/>
      <c r="Q390" s="702"/>
      <c r="R390" s="702"/>
      <c r="S390" s="702"/>
      <c r="T390" s="702"/>
      <c r="U390" s="702"/>
      <c r="V390" s="702"/>
      <c r="W390" s="702"/>
      <c r="X390" s="702"/>
      <c r="Y390" s="702"/>
      <c r="Z390" s="702"/>
      <c r="AA390" s="702"/>
      <c r="AB390" s="702"/>
      <c r="AC390" s="702"/>
      <c r="AD390" s="702"/>
      <c r="AE390" s="674"/>
      <c r="AF390" s="674"/>
      <c r="AG390" s="674"/>
      <c r="AH390" s="674"/>
      <c r="AI390" s="674"/>
      <c r="AJ390" s="674"/>
      <c r="AK390" s="674"/>
      <c r="AL390" s="675"/>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6"/>
      <c r="D391" s="1256"/>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59"/>
      <c r="AG391" s="1459"/>
      <c r="AH391" s="1459"/>
      <c r="AI391" s="1459"/>
      <c r="AJ391" s="1459"/>
      <c r="AK391" s="1459"/>
      <c r="AL391" s="1459"/>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5"/>
      <c r="D394" s="596"/>
      <c r="E394" s="597" t="s">
        <v>2024</v>
      </c>
      <c r="F394" s="1764" t="s">
        <v>2025</v>
      </c>
      <c r="G394" s="1764"/>
      <c r="H394" s="1764"/>
      <c r="I394" s="1764"/>
      <c r="J394" s="1764"/>
      <c r="K394" s="1764"/>
      <c r="L394" s="1764"/>
      <c r="M394" s="1764"/>
      <c r="N394" s="1764"/>
      <c r="O394" s="1764"/>
      <c r="P394" s="1764"/>
      <c r="Q394" s="1764"/>
      <c r="R394" s="1764"/>
      <c r="S394" s="1764"/>
      <c r="T394" s="1764"/>
      <c r="U394" s="1764"/>
      <c r="V394" s="1764"/>
      <c r="W394" s="1764"/>
      <c r="X394" s="1764"/>
      <c r="Y394" s="1764"/>
      <c r="Z394" s="1764"/>
      <c r="AA394" s="1764"/>
      <c r="AB394" s="1764"/>
      <c r="AC394" s="1764"/>
      <c r="AD394" s="1764"/>
      <c r="AE394" s="1764"/>
      <c r="AF394" s="1764"/>
      <c r="AG394" s="636"/>
      <c r="AH394" s="636"/>
      <c r="AI394" s="636"/>
      <c r="AJ394" s="636"/>
      <c r="AK394" s="636"/>
      <c r="AL394" s="677"/>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2"/>
      <c r="D395" s="21"/>
      <c r="E395" s="170"/>
      <c r="F395" s="1594"/>
      <c r="G395" s="1594"/>
      <c r="H395" s="1594"/>
      <c r="I395" s="1594"/>
      <c r="J395" s="1594"/>
      <c r="K395" s="1594"/>
      <c r="L395" s="1594"/>
      <c r="M395" s="1594"/>
      <c r="N395" s="1594"/>
      <c r="O395" s="1594"/>
      <c r="P395" s="1594"/>
      <c r="Q395" s="1594"/>
      <c r="R395" s="1594"/>
      <c r="S395" s="1594"/>
      <c r="T395" s="1594"/>
      <c r="U395" s="1594"/>
      <c r="V395" s="1594"/>
      <c r="W395" s="1594"/>
      <c r="X395" s="1594"/>
      <c r="Y395" s="1594"/>
      <c r="Z395" s="1594"/>
      <c r="AA395" s="1594"/>
      <c r="AB395" s="1594"/>
      <c r="AC395" s="1594"/>
      <c r="AD395" s="1594"/>
      <c r="AE395" s="1594"/>
      <c r="AF395" s="1594"/>
      <c r="AG395" s="3"/>
      <c r="AH395" s="3"/>
      <c r="AI395" s="3"/>
      <c r="AJ395" s="3"/>
      <c r="AK395" s="3"/>
      <c r="AL395" s="673"/>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2"/>
      <c r="D396" s="21"/>
      <c r="E396" s="170"/>
      <c r="F396" s="1594"/>
      <c r="G396" s="1594"/>
      <c r="H396" s="1594"/>
      <c r="I396" s="1594"/>
      <c r="J396" s="1594"/>
      <c r="K396" s="1594"/>
      <c r="L396" s="1594"/>
      <c r="M396" s="1594"/>
      <c r="N396" s="1594"/>
      <c r="O396" s="1594"/>
      <c r="P396" s="1594"/>
      <c r="Q396" s="1594"/>
      <c r="R396" s="1594"/>
      <c r="S396" s="1594"/>
      <c r="T396" s="1594"/>
      <c r="U396" s="1594"/>
      <c r="V396" s="1594"/>
      <c r="W396" s="1594"/>
      <c r="X396" s="1594"/>
      <c r="Y396" s="1594"/>
      <c r="Z396" s="1594"/>
      <c r="AA396" s="1594"/>
      <c r="AB396" s="1594"/>
      <c r="AC396" s="1594"/>
      <c r="AD396" s="1594"/>
      <c r="AE396" s="1594"/>
      <c r="AF396" s="1594"/>
      <c r="AG396" s="3"/>
      <c r="AH396" s="3"/>
      <c r="AI396" s="3"/>
      <c r="AJ396" s="3"/>
      <c r="AK396" s="3"/>
      <c r="AL396" s="673"/>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2"/>
      <c r="D397" s="21"/>
      <c r="E397" s="170"/>
      <c r="F397" s="1594"/>
      <c r="G397" s="1594"/>
      <c r="H397" s="1594"/>
      <c r="I397" s="1594"/>
      <c r="J397" s="1594"/>
      <c r="K397" s="1594"/>
      <c r="L397" s="1594"/>
      <c r="M397" s="1594"/>
      <c r="N397" s="1594"/>
      <c r="O397" s="1594"/>
      <c r="P397" s="1594"/>
      <c r="Q397" s="1594"/>
      <c r="R397" s="1594"/>
      <c r="S397" s="1594"/>
      <c r="T397" s="1594"/>
      <c r="U397" s="1594"/>
      <c r="V397" s="1594"/>
      <c r="W397" s="1594"/>
      <c r="X397" s="1594"/>
      <c r="Y397" s="1594"/>
      <c r="Z397" s="1594"/>
      <c r="AA397" s="1594"/>
      <c r="AB397" s="1594"/>
      <c r="AC397" s="1594"/>
      <c r="AD397" s="1594"/>
      <c r="AE397" s="1594"/>
      <c r="AF397" s="1594"/>
      <c r="AG397" s="3"/>
      <c r="AH397" s="3"/>
      <c r="AI397" s="3"/>
      <c r="AJ397" s="3"/>
      <c r="AK397" s="3"/>
      <c r="AL397" s="673"/>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2"/>
      <c r="D398" s="21"/>
      <c r="E398" s="170"/>
      <c r="F398" s="1594"/>
      <c r="G398" s="1594"/>
      <c r="H398" s="1594"/>
      <c r="I398" s="1594"/>
      <c r="J398" s="1594"/>
      <c r="K398" s="1594"/>
      <c r="L398" s="1594"/>
      <c r="M398" s="1594"/>
      <c r="N398" s="1594"/>
      <c r="O398" s="1594"/>
      <c r="P398" s="1594"/>
      <c r="Q398" s="1594"/>
      <c r="R398" s="1594"/>
      <c r="S398" s="1594"/>
      <c r="T398" s="1594"/>
      <c r="U398" s="1594"/>
      <c r="V398" s="1594"/>
      <c r="W398" s="1594"/>
      <c r="X398" s="1594"/>
      <c r="Y398" s="1594"/>
      <c r="Z398" s="1594"/>
      <c r="AA398" s="1594"/>
      <c r="AB398" s="1594"/>
      <c r="AC398" s="1594"/>
      <c r="AD398" s="1594"/>
      <c r="AE398" s="1594"/>
      <c r="AF398" s="1594"/>
      <c r="AG398" s="3"/>
      <c r="AH398" s="3"/>
      <c r="AI398" s="3"/>
      <c r="AJ398" s="3"/>
      <c r="AK398" s="3"/>
      <c r="AL398" s="673"/>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0" t="s">
        <v>708</v>
      </c>
      <c r="D399" s="1063"/>
      <c r="E399" s="170"/>
      <c r="F399" s="286" t="s">
        <v>2026</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59" t="s">
        <v>2027</v>
      </c>
      <c r="AG399" s="1459"/>
      <c r="AH399" s="1459"/>
      <c r="AI399" s="1459"/>
      <c r="AJ399" s="1459"/>
      <c r="AK399" s="1459"/>
      <c r="AL399" s="1601"/>
      <c r="AM399" s="71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2"/>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3"/>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0" t="s">
        <v>325</v>
      </c>
      <c r="D401" s="1063"/>
      <c r="E401" s="170"/>
      <c r="F401" s="287" t="s">
        <v>2028</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59" t="s">
        <v>2020</v>
      </c>
      <c r="AG401" s="1459"/>
      <c r="AH401" s="1459"/>
      <c r="AI401" s="1459"/>
      <c r="AJ401" s="1459"/>
      <c r="AK401" s="1459"/>
      <c r="AL401" s="160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2"/>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3"/>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6"/>
      <c r="D403" s="607"/>
      <c r="E403" s="608"/>
      <c r="F403" s="609" t="s">
        <v>2029</v>
      </c>
      <c r="G403" s="604"/>
      <c r="H403" s="604"/>
      <c r="I403" s="604"/>
      <c r="J403" s="604"/>
      <c r="K403" s="604"/>
      <c r="L403" s="604"/>
      <c r="M403" s="604"/>
      <c r="N403" s="604"/>
      <c r="O403" s="604"/>
      <c r="P403" s="604"/>
      <c r="Q403" s="604"/>
      <c r="R403" s="604"/>
      <c r="S403" s="604"/>
      <c r="T403" s="604"/>
      <c r="U403" s="604"/>
      <c r="V403" s="604"/>
      <c r="W403" s="604"/>
      <c r="X403" s="604"/>
      <c r="Y403" s="604"/>
      <c r="Z403" s="604"/>
      <c r="AA403" s="604"/>
      <c r="AB403" s="604"/>
      <c r="AC403" s="604"/>
      <c r="AD403" s="604"/>
      <c r="AE403" s="912"/>
      <c r="AF403" s="610"/>
      <c r="AG403" s="912"/>
      <c r="AH403" s="611"/>
      <c r="AI403" s="611"/>
      <c r="AJ403" s="611"/>
      <c r="AK403" s="611"/>
      <c r="AL403" s="612"/>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5"/>
      <c r="D405" s="596"/>
      <c r="E405" s="597" t="s">
        <v>2030</v>
      </c>
      <c r="F405" s="1602" t="s">
        <v>2031</v>
      </c>
      <c r="G405" s="1602"/>
      <c r="H405" s="1602"/>
      <c r="I405" s="1602"/>
      <c r="J405" s="1602"/>
      <c r="K405" s="1602"/>
      <c r="L405" s="1602"/>
      <c r="M405" s="1602"/>
      <c r="N405" s="1602"/>
      <c r="O405" s="1602"/>
      <c r="P405" s="1602"/>
      <c r="Q405" s="1602"/>
      <c r="R405" s="1602"/>
      <c r="S405" s="1602"/>
      <c r="T405" s="1602"/>
      <c r="U405" s="1602"/>
      <c r="V405" s="1602"/>
      <c r="W405" s="1602"/>
      <c r="X405" s="1602"/>
      <c r="Y405" s="1602"/>
      <c r="Z405" s="1602"/>
      <c r="AA405" s="1602"/>
      <c r="AB405" s="1602"/>
      <c r="AC405" s="1602"/>
      <c r="AD405" s="1602"/>
      <c r="AE405" s="1602"/>
      <c r="AF405" s="1602"/>
      <c r="AG405" s="636"/>
      <c r="AH405" s="636"/>
      <c r="AI405" s="636"/>
      <c r="AJ405" s="636"/>
      <c r="AK405" s="636"/>
      <c r="AL405" s="677"/>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2"/>
      <c r="D406" s="21"/>
      <c r="E406" s="170"/>
      <c r="F406" s="1547"/>
      <c r="G406" s="1547"/>
      <c r="H406" s="1547"/>
      <c r="I406" s="1547"/>
      <c r="J406" s="1547"/>
      <c r="K406" s="1547"/>
      <c r="L406" s="1547"/>
      <c r="M406" s="1547"/>
      <c r="N406" s="1547"/>
      <c r="O406" s="1547"/>
      <c r="P406" s="1547"/>
      <c r="Q406" s="1547"/>
      <c r="R406" s="1547"/>
      <c r="S406" s="1547"/>
      <c r="T406" s="1547"/>
      <c r="U406" s="1547"/>
      <c r="V406" s="1547"/>
      <c r="W406" s="1547"/>
      <c r="X406" s="1547"/>
      <c r="Y406" s="1547"/>
      <c r="Z406" s="1547"/>
      <c r="AA406" s="1547"/>
      <c r="AB406" s="1547"/>
      <c r="AC406" s="1547"/>
      <c r="AD406" s="1547"/>
      <c r="AE406" s="1547"/>
      <c r="AF406" s="1547"/>
      <c r="AG406" s="3"/>
      <c r="AH406" s="3"/>
      <c r="AI406" s="3"/>
      <c r="AJ406" s="3"/>
      <c r="AK406" s="3"/>
      <c r="AL406" s="673"/>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2"/>
      <c r="E407" s="170"/>
      <c r="F407" s="1547"/>
      <c r="G407" s="1547"/>
      <c r="H407" s="1547"/>
      <c r="I407" s="1547"/>
      <c r="J407" s="1547"/>
      <c r="K407" s="1547"/>
      <c r="L407" s="1547"/>
      <c r="M407" s="1547"/>
      <c r="N407" s="1547"/>
      <c r="O407" s="1547"/>
      <c r="P407" s="1547"/>
      <c r="Q407" s="1547"/>
      <c r="R407" s="1547"/>
      <c r="S407" s="1547"/>
      <c r="T407" s="1547"/>
      <c r="U407" s="1547"/>
      <c r="V407" s="1547"/>
      <c r="W407" s="1547"/>
      <c r="X407" s="1547"/>
      <c r="Y407" s="1547"/>
      <c r="Z407" s="1547"/>
      <c r="AA407" s="1547"/>
      <c r="AB407" s="1547"/>
      <c r="AC407" s="1547"/>
      <c r="AD407" s="1547"/>
      <c r="AE407" s="1547"/>
      <c r="AF407" s="1547"/>
      <c r="AG407" s="3"/>
      <c r="AH407" s="3"/>
      <c r="AI407" s="3"/>
      <c r="AJ407" s="3"/>
      <c r="AK407" s="3"/>
      <c r="AL407" s="673"/>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2"/>
      <c r="D408" s="21"/>
      <c r="E408" s="170"/>
      <c r="F408" s="1547"/>
      <c r="G408" s="1547"/>
      <c r="H408" s="1547"/>
      <c r="I408" s="1547"/>
      <c r="J408" s="1547"/>
      <c r="K408" s="1547"/>
      <c r="L408" s="1547"/>
      <c r="M408" s="1547"/>
      <c r="N408" s="1547"/>
      <c r="O408" s="1547"/>
      <c r="P408" s="1547"/>
      <c r="Q408" s="1547"/>
      <c r="R408" s="1547"/>
      <c r="S408" s="1547"/>
      <c r="T408" s="1547"/>
      <c r="U408" s="1547"/>
      <c r="V408" s="1547"/>
      <c r="W408" s="1547"/>
      <c r="X408" s="1547"/>
      <c r="Y408" s="1547"/>
      <c r="Z408" s="1547"/>
      <c r="AA408" s="1547"/>
      <c r="AB408" s="1547"/>
      <c r="AC408" s="1547"/>
      <c r="AD408" s="1547"/>
      <c r="AE408" s="1547"/>
      <c r="AF408" s="1547"/>
      <c r="AG408" s="3"/>
      <c r="AH408" s="3"/>
      <c r="AI408" s="3"/>
      <c r="AJ408" s="3"/>
      <c r="AK408" s="3"/>
      <c r="AL408" s="673"/>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0" t="s">
        <v>325</v>
      </c>
      <c r="D409" s="1063"/>
      <c r="E409" s="170"/>
      <c r="F409" s="286" t="s">
        <v>2032</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59" t="s">
        <v>2020</v>
      </c>
      <c r="AG409" s="1459"/>
      <c r="AH409" s="1459"/>
      <c r="AI409" s="1459"/>
      <c r="AJ409" s="1459"/>
      <c r="AK409" s="1459"/>
      <c r="AL409" s="160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2"/>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3"/>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0" t="s">
        <v>708</v>
      </c>
      <c r="D411" s="1063"/>
      <c r="E411" s="191"/>
      <c r="F411" s="286" t="s">
        <v>2033</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59" t="s">
        <v>2034</v>
      </c>
      <c r="AG411" s="1459"/>
      <c r="AH411" s="1459"/>
      <c r="AI411" s="1459"/>
      <c r="AJ411" s="1459"/>
      <c r="AK411" s="1459"/>
      <c r="AL411" s="160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3"/>
      <c r="D412" s="611"/>
      <c r="E412" s="600"/>
      <c r="F412" s="611"/>
      <c r="G412" s="601"/>
      <c r="H412" s="601"/>
      <c r="I412" s="601"/>
      <c r="J412" s="601"/>
      <c r="K412" s="601"/>
      <c r="L412" s="601"/>
      <c r="M412" s="601"/>
      <c r="N412" s="601"/>
      <c r="O412" s="601"/>
      <c r="P412" s="601"/>
      <c r="Q412" s="601"/>
      <c r="R412" s="601"/>
      <c r="S412" s="601"/>
      <c r="T412" s="601"/>
      <c r="U412" s="601"/>
      <c r="V412" s="601"/>
      <c r="W412" s="601"/>
      <c r="X412" s="601"/>
      <c r="Y412" s="601"/>
      <c r="Z412" s="601"/>
      <c r="AA412" s="601"/>
      <c r="AB412" s="601"/>
      <c r="AC412" s="601"/>
      <c r="AD412" s="601"/>
      <c r="AE412" s="611"/>
      <c r="AF412" s="611"/>
      <c r="AG412" s="611"/>
      <c r="AH412" s="611"/>
      <c r="AI412" s="611"/>
      <c r="AJ412" s="611"/>
      <c r="AK412" s="611"/>
      <c r="AL412" s="612"/>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0" t="s">
        <v>325</v>
      </c>
      <c r="D414" s="1063"/>
      <c r="E414" s="597" t="s">
        <v>2035</v>
      </c>
      <c r="F414" s="1602" t="s">
        <v>2036</v>
      </c>
      <c r="G414" s="1602"/>
      <c r="H414" s="1602"/>
      <c r="I414" s="1602"/>
      <c r="J414" s="1602"/>
      <c r="K414" s="1602"/>
      <c r="L414" s="1602"/>
      <c r="M414" s="1602"/>
      <c r="N414" s="1602"/>
      <c r="O414" s="1602"/>
      <c r="P414" s="1602"/>
      <c r="Q414" s="1602"/>
      <c r="R414" s="1602"/>
      <c r="S414" s="1602"/>
      <c r="T414" s="1602"/>
      <c r="U414" s="1602"/>
      <c r="V414" s="1602"/>
      <c r="W414" s="1602"/>
      <c r="X414" s="1602"/>
      <c r="Y414" s="1602"/>
      <c r="Z414" s="1602"/>
      <c r="AA414" s="1602"/>
      <c r="AB414" s="1602"/>
      <c r="AC414" s="1602"/>
      <c r="AD414" s="1602"/>
      <c r="AE414" s="1602"/>
      <c r="AF414" s="636"/>
      <c r="AG414" s="913"/>
      <c r="AH414" s="596"/>
      <c r="AI414" s="596"/>
      <c r="AJ414" s="596"/>
      <c r="AK414" s="596"/>
      <c r="AL414" s="618"/>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5"/>
      <c r="F415" s="1547"/>
      <c r="G415" s="1547"/>
      <c r="H415" s="1547"/>
      <c r="I415" s="1547"/>
      <c r="J415" s="1547"/>
      <c r="K415" s="1547"/>
      <c r="L415" s="1547"/>
      <c r="M415" s="1547"/>
      <c r="N415" s="1547"/>
      <c r="O415" s="1547"/>
      <c r="P415" s="1547"/>
      <c r="Q415" s="1547"/>
      <c r="R415" s="1547"/>
      <c r="S415" s="1547"/>
      <c r="T415" s="1547"/>
      <c r="U415" s="1547"/>
      <c r="V415" s="1547"/>
      <c r="W415" s="1547"/>
      <c r="X415" s="1547"/>
      <c r="Y415" s="1547"/>
      <c r="Z415" s="1547"/>
      <c r="AA415" s="1547"/>
      <c r="AB415" s="1547"/>
      <c r="AC415" s="1547"/>
      <c r="AD415" s="1547"/>
      <c r="AE415" s="1547"/>
      <c r="AF415" s="1593" t="s">
        <v>2020</v>
      </c>
      <c r="AG415" s="1593"/>
      <c r="AH415" s="1593"/>
      <c r="AI415" s="1593"/>
      <c r="AJ415" s="1593"/>
      <c r="AK415" s="1593"/>
      <c r="AL415" s="1608"/>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2"/>
      <c r="D416" s="21"/>
      <c r="E416" s="170"/>
      <c r="F416" s="1547"/>
      <c r="G416" s="1547"/>
      <c r="H416" s="1547"/>
      <c r="I416" s="1547"/>
      <c r="J416" s="1547"/>
      <c r="K416" s="1547"/>
      <c r="L416" s="1547"/>
      <c r="M416" s="1547"/>
      <c r="N416" s="1547"/>
      <c r="O416" s="1547"/>
      <c r="P416" s="1547"/>
      <c r="Q416" s="1547"/>
      <c r="R416" s="1547"/>
      <c r="S416" s="1547"/>
      <c r="T416" s="1547"/>
      <c r="U416" s="1547"/>
      <c r="V416" s="1547"/>
      <c r="W416" s="1547"/>
      <c r="X416" s="1547"/>
      <c r="Y416" s="1547"/>
      <c r="Z416" s="1547"/>
      <c r="AA416" s="1547"/>
      <c r="AB416" s="1547"/>
      <c r="AC416" s="1547"/>
      <c r="AD416" s="1547"/>
      <c r="AE416" s="1547"/>
      <c r="AL416" s="603"/>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6"/>
      <c r="D417" s="607"/>
      <c r="E417" s="608"/>
      <c r="F417" s="1603"/>
      <c r="G417" s="1603"/>
      <c r="H417" s="1603"/>
      <c r="I417" s="1603"/>
      <c r="J417" s="1603"/>
      <c r="K417" s="1603"/>
      <c r="L417" s="1603"/>
      <c r="M417" s="1603"/>
      <c r="N417" s="1603"/>
      <c r="O417" s="1603"/>
      <c r="P417" s="1603"/>
      <c r="Q417" s="1603"/>
      <c r="R417" s="1603"/>
      <c r="S417" s="1603"/>
      <c r="T417" s="1603"/>
      <c r="U417" s="1603"/>
      <c r="V417" s="1603"/>
      <c r="W417" s="1603"/>
      <c r="X417" s="1603"/>
      <c r="Y417" s="1603"/>
      <c r="Z417" s="1603"/>
      <c r="AA417" s="1603"/>
      <c r="AB417" s="1603"/>
      <c r="AC417" s="1603"/>
      <c r="AD417" s="1603"/>
      <c r="AE417" s="1603"/>
      <c r="AF417" s="610"/>
      <c r="AG417" s="912"/>
      <c r="AH417" s="611"/>
      <c r="AI417" s="611"/>
      <c r="AJ417" s="611"/>
      <c r="AK417" s="611"/>
      <c r="AL417" s="612"/>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4"/>
      <c r="D419" s="615"/>
      <c r="E419" s="597" t="s">
        <v>2037</v>
      </c>
      <c r="F419" s="1602" t="s">
        <v>2038</v>
      </c>
      <c r="G419" s="1602"/>
      <c r="H419" s="1602"/>
      <c r="I419" s="1602"/>
      <c r="J419" s="1602"/>
      <c r="K419" s="1602"/>
      <c r="L419" s="1602"/>
      <c r="M419" s="1602"/>
      <c r="N419" s="1602"/>
      <c r="O419" s="1602"/>
      <c r="P419" s="1602"/>
      <c r="Q419" s="1602"/>
      <c r="R419" s="1602"/>
      <c r="S419" s="1602"/>
      <c r="T419" s="1602"/>
      <c r="U419" s="1602"/>
      <c r="V419" s="1602"/>
      <c r="W419" s="1602"/>
      <c r="X419" s="1602"/>
      <c r="Y419" s="1602"/>
      <c r="Z419" s="1602"/>
      <c r="AA419" s="1602"/>
      <c r="AB419" s="1602"/>
      <c r="AC419" s="1602"/>
      <c r="AD419" s="1602"/>
      <c r="AE419" s="1602"/>
      <c r="AF419" s="615"/>
      <c r="AG419" s="615"/>
      <c r="AH419" s="615"/>
      <c r="AI419" s="615"/>
      <c r="AJ419" s="615"/>
      <c r="AK419" s="615"/>
      <c r="AL419" s="616"/>
      <c r="AM419"/>
    </row>
    <row r="420" spans="1:55">
      <c r="A420" s="37"/>
      <c r="C420" s="602"/>
      <c r="E420" s="170"/>
      <c r="F420" s="1547"/>
      <c r="G420" s="1547"/>
      <c r="H420" s="1547"/>
      <c r="I420" s="1547"/>
      <c r="J420" s="1547"/>
      <c r="K420" s="1547"/>
      <c r="L420" s="1547"/>
      <c r="M420" s="1547"/>
      <c r="N420" s="1547"/>
      <c r="O420" s="1547"/>
      <c r="P420" s="1547"/>
      <c r="Q420" s="1547"/>
      <c r="R420" s="1547"/>
      <c r="S420" s="1547"/>
      <c r="T420" s="1547"/>
      <c r="U420" s="1547"/>
      <c r="V420" s="1547"/>
      <c r="W420" s="1547"/>
      <c r="X420" s="1547"/>
      <c r="Y420" s="1547"/>
      <c r="Z420" s="1547"/>
      <c r="AA420" s="1547"/>
      <c r="AB420" s="1547"/>
      <c r="AC420" s="1547"/>
      <c r="AD420" s="1547"/>
      <c r="AE420" s="1547"/>
      <c r="AF420" s="3"/>
      <c r="AG420" s="37"/>
      <c r="AH420" s="4"/>
      <c r="AI420" s="4"/>
      <c r="AJ420" s="4"/>
      <c r="AK420" s="4"/>
      <c r="AL420" s="603"/>
      <c r="AM420"/>
    </row>
    <row r="421" spans="1:55" s="4" customFormat="1" ht="12.75" customHeight="1">
      <c r="A421" s="37"/>
      <c r="B421" s="21"/>
      <c r="C421" s="602"/>
      <c r="D421" s="21"/>
      <c r="E421" s="170"/>
      <c r="F421" s="1547"/>
      <c r="G421" s="1547"/>
      <c r="H421" s="1547"/>
      <c r="I421" s="1547"/>
      <c r="J421" s="1547"/>
      <c r="K421" s="1547"/>
      <c r="L421" s="1547"/>
      <c r="M421" s="1547"/>
      <c r="N421" s="1547"/>
      <c r="O421" s="1547"/>
      <c r="P421" s="1547"/>
      <c r="Q421" s="1547"/>
      <c r="R421" s="1547"/>
      <c r="S421" s="1547"/>
      <c r="T421" s="1547"/>
      <c r="U421" s="1547"/>
      <c r="V421" s="1547"/>
      <c r="W421" s="1547"/>
      <c r="X421" s="1547"/>
      <c r="Y421" s="1547"/>
      <c r="Z421" s="1547"/>
      <c r="AA421" s="1547"/>
      <c r="AB421" s="1547"/>
      <c r="AC421" s="1547"/>
      <c r="AD421" s="1547"/>
      <c r="AE421" s="1547"/>
      <c r="AL421" s="603"/>
      <c r="AM421"/>
      <c r="AN421" s="243"/>
    </row>
    <row r="422" spans="1:55" s="4" customFormat="1" ht="12.75" customHeight="1">
      <c r="A422" s="37"/>
      <c r="B422" s="21"/>
      <c r="C422" s="605"/>
      <c r="F422" s="1547"/>
      <c r="G422" s="1547"/>
      <c r="H422" s="1547"/>
      <c r="I422" s="1547"/>
      <c r="J422" s="1547"/>
      <c r="K422" s="1547"/>
      <c r="L422" s="1547"/>
      <c r="M422" s="1547"/>
      <c r="N422" s="1547"/>
      <c r="O422" s="1547"/>
      <c r="P422" s="1547"/>
      <c r="Q422" s="1547"/>
      <c r="R422" s="1547"/>
      <c r="S422" s="1547"/>
      <c r="T422" s="1547"/>
      <c r="U422" s="1547"/>
      <c r="V422" s="1547"/>
      <c r="W422" s="1547"/>
      <c r="X422" s="1547"/>
      <c r="Y422" s="1547"/>
      <c r="Z422" s="1547"/>
      <c r="AA422" s="1547"/>
      <c r="AB422" s="1547"/>
      <c r="AC422" s="1547"/>
      <c r="AD422" s="1547"/>
      <c r="AE422" s="1547"/>
      <c r="AL422" s="603"/>
      <c r="AM422"/>
      <c r="AN422" s="243"/>
    </row>
    <row r="423" spans="1:55" s="4" customFormat="1" ht="12.75" customHeight="1">
      <c r="A423" s="37"/>
      <c r="B423" s="21"/>
      <c r="C423" s="1600" t="s">
        <v>325</v>
      </c>
      <c r="D423" s="1063"/>
      <c r="E423" s="170"/>
      <c r="F423" s="286" t="s">
        <v>2039</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93" t="s">
        <v>2020</v>
      </c>
      <c r="AG423" s="1593"/>
      <c r="AH423" s="1593"/>
      <c r="AI423" s="1593"/>
      <c r="AJ423" s="1593"/>
      <c r="AK423" s="1593"/>
      <c r="AL423" s="1608"/>
      <c r="AM423"/>
      <c r="AN423" s="243"/>
    </row>
    <row r="424" spans="1:55" s="4" customFormat="1" ht="12.75" customHeight="1">
      <c r="A424" s="37"/>
      <c r="B424" s="21"/>
      <c r="C424" s="605"/>
      <c r="AL424" s="603"/>
      <c r="AM424"/>
      <c r="AN424" s="243"/>
    </row>
    <row r="425" spans="1:55" s="4" customFormat="1" ht="12.75" customHeight="1">
      <c r="A425" s="37"/>
      <c r="B425" s="21"/>
      <c r="C425" s="1600" t="s">
        <v>325</v>
      </c>
      <c r="D425" s="1063"/>
      <c r="E425" s="191"/>
      <c r="F425" s="286" t="s">
        <v>2040</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93" t="s">
        <v>2034</v>
      </c>
      <c r="AG425" s="1593"/>
      <c r="AH425" s="1593"/>
      <c r="AI425" s="1593"/>
      <c r="AJ425" s="1593"/>
      <c r="AK425" s="1593"/>
      <c r="AL425" s="1608"/>
      <c r="AM425"/>
      <c r="AN425" s="243"/>
      <c r="AO425" s="20"/>
      <c r="AP425" s="20"/>
      <c r="BC425" s="21"/>
    </row>
    <row r="426" spans="1:55" s="4" customFormat="1" ht="12.75" customHeight="1">
      <c r="A426" s="37"/>
      <c r="B426" s="21"/>
      <c r="C426" s="606"/>
      <c r="D426" s="607"/>
      <c r="E426" s="608"/>
      <c r="F426" s="617"/>
      <c r="G426" s="601"/>
      <c r="H426" s="601"/>
      <c r="I426" s="601"/>
      <c r="J426" s="601"/>
      <c r="K426" s="601"/>
      <c r="L426" s="601"/>
      <c r="M426" s="601"/>
      <c r="N426" s="601"/>
      <c r="O426" s="601"/>
      <c r="P426" s="601"/>
      <c r="Q426" s="601"/>
      <c r="R426" s="601"/>
      <c r="S426" s="601"/>
      <c r="T426" s="601"/>
      <c r="U426" s="601"/>
      <c r="V426" s="601"/>
      <c r="W426" s="601"/>
      <c r="X426" s="601"/>
      <c r="Y426" s="601"/>
      <c r="Z426" s="601"/>
      <c r="AA426" s="601"/>
      <c r="AB426" s="601"/>
      <c r="AC426" s="601"/>
      <c r="AD426" s="601"/>
      <c r="AE426" s="912"/>
      <c r="AF426" s="610"/>
      <c r="AG426" s="912"/>
      <c r="AH426" s="611"/>
      <c r="AI426" s="611"/>
      <c r="AJ426" s="611"/>
      <c r="AK426" s="611"/>
      <c r="AL426" s="612"/>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2041</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5"/>
      <c r="D429" s="596"/>
      <c r="E429" s="597" t="s">
        <v>2042</v>
      </c>
      <c r="F429" s="1602" t="s">
        <v>2043</v>
      </c>
      <c r="G429" s="1602"/>
      <c r="H429" s="1602"/>
      <c r="I429" s="1602"/>
      <c r="J429" s="1602"/>
      <c r="K429" s="1602"/>
      <c r="L429" s="1602"/>
      <c r="M429" s="1602"/>
      <c r="N429" s="1602"/>
      <c r="O429" s="1602"/>
      <c r="P429" s="1602"/>
      <c r="Q429" s="1602"/>
      <c r="R429" s="1602"/>
      <c r="S429" s="1602"/>
      <c r="T429" s="1602"/>
      <c r="U429" s="1602"/>
      <c r="V429" s="1602"/>
      <c r="W429" s="1602"/>
      <c r="X429" s="1602"/>
      <c r="Y429" s="1602"/>
      <c r="Z429" s="1602"/>
      <c r="AA429" s="1602"/>
      <c r="AB429" s="1602"/>
      <c r="AC429" s="1602"/>
      <c r="AD429" s="1602"/>
      <c r="AE429" s="1602"/>
      <c r="AF429" s="596"/>
      <c r="AG429" s="596"/>
      <c r="AH429" s="596"/>
      <c r="AI429" s="596"/>
      <c r="AJ429" s="596"/>
      <c r="AK429" s="596"/>
      <c r="AL429" s="618"/>
      <c r="AM429"/>
      <c r="AN429" s="243"/>
    </row>
    <row r="430" spans="1:55" s="4" customFormat="1" ht="12.75" customHeight="1">
      <c r="A430" s="37"/>
      <c r="B430" s="21"/>
      <c r="C430" s="602"/>
      <c r="D430" s="21"/>
      <c r="E430" s="170"/>
      <c r="F430" s="1547"/>
      <c r="G430" s="1547"/>
      <c r="H430" s="1547"/>
      <c r="I430" s="1547"/>
      <c r="J430" s="1547"/>
      <c r="K430" s="1547"/>
      <c r="L430" s="1547"/>
      <c r="M430" s="1547"/>
      <c r="N430" s="1547"/>
      <c r="O430" s="1547"/>
      <c r="P430" s="1547"/>
      <c r="Q430" s="1547"/>
      <c r="R430" s="1547"/>
      <c r="S430" s="1547"/>
      <c r="T430" s="1547"/>
      <c r="U430" s="1547"/>
      <c r="V430" s="1547"/>
      <c r="W430" s="1547"/>
      <c r="X430" s="1547"/>
      <c r="Y430" s="1547"/>
      <c r="Z430" s="1547"/>
      <c r="AA430" s="1547"/>
      <c r="AB430" s="1547"/>
      <c r="AC430" s="1547"/>
      <c r="AD430" s="1547"/>
      <c r="AE430" s="1547"/>
      <c r="AF430" s="3"/>
      <c r="AG430" s="37"/>
      <c r="AL430" s="603"/>
      <c r="AM430"/>
      <c r="AN430" s="243"/>
    </row>
    <row r="431" spans="1:55" s="4" customFormat="1" ht="12.6" customHeight="1">
      <c r="A431" s="37"/>
      <c r="B431" s="21"/>
      <c r="C431" s="602"/>
      <c r="D431" s="21"/>
      <c r="E431" s="170"/>
      <c r="F431" s="1547"/>
      <c r="G431" s="1547"/>
      <c r="H431" s="1547"/>
      <c r="I431" s="1547"/>
      <c r="J431" s="1547"/>
      <c r="K431" s="1547"/>
      <c r="L431" s="1547"/>
      <c r="M431" s="1547"/>
      <c r="N431" s="1547"/>
      <c r="O431" s="1547"/>
      <c r="P431" s="1547"/>
      <c r="Q431" s="1547"/>
      <c r="R431" s="1547"/>
      <c r="S431" s="1547"/>
      <c r="T431" s="1547"/>
      <c r="U431" s="1547"/>
      <c r="V431" s="1547"/>
      <c r="W431" s="1547"/>
      <c r="X431" s="1547"/>
      <c r="Y431" s="1547"/>
      <c r="Z431" s="1547"/>
      <c r="AA431" s="1547"/>
      <c r="AB431" s="1547"/>
      <c r="AC431" s="1547"/>
      <c r="AD431" s="1547"/>
      <c r="AE431" s="1547"/>
      <c r="AL431" s="603"/>
      <c r="AM431"/>
      <c r="AN431" s="243"/>
    </row>
    <row r="432" spans="1:55" s="4" customFormat="1" ht="12.75" customHeight="1">
      <c r="A432" s="37"/>
      <c r="B432" s="21"/>
      <c r="C432" s="1600" t="s">
        <v>325</v>
      </c>
      <c r="D432" s="1063"/>
      <c r="E432" s="170"/>
      <c r="F432" s="286" t="s">
        <v>2044</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93" t="s">
        <v>2020</v>
      </c>
      <c r="AG432" s="1593"/>
      <c r="AH432" s="1593"/>
      <c r="AI432" s="1593"/>
      <c r="AJ432" s="1593"/>
      <c r="AK432" s="1593"/>
      <c r="AL432" s="1608"/>
      <c r="AM432"/>
      <c r="AN432" s="243"/>
    </row>
    <row r="433" spans="1:60" s="4" customFormat="1" ht="12.75" customHeight="1">
      <c r="A433" s="37"/>
      <c r="B433" s="21"/>
      <c r="C433" s="718"/>
      <c r="D433" s="623"/>
      <c r="E433" s="600"/>
      <c r="F433" s="617"/>
      <c r="G433" s="601"/>
      <c r="H433" s="601"/>
      <c r="I433" s="601"/>
      <c r="J433" s="601"/>
      <c r="K433" s="601"/>
      <c r="L433" s="601"/>
      <c r="M433" s="601"/>
      <c r="N433" s="601"/>
      <c r="O433" s="601"/>
      <c r="P433" s="601"/>
      <c r="Q433" s="601"/>
      <c r="R433" s="601"/>
      <c r="S433" s="601"/>
      <c r="T433" s="601"/>
      <c r="U433" s="601"/>
      <c r="V433" s="601"/>
      <c r="W433" s="601"/>
      <c r="X433" s="601"/>
      <c r="Y433" s="601"/>
      <c r="Z433" s="601"/>
      <c r="AA433" s="601"/>
      <c r="AB433" s="601"/>
      <c r="AC433" s="601"/>
      <c r="AD433" s="601"/>
      <c r="AE433" s="611"/>
      <c r="AF433" s="625"/>
      <c r="AG433" s="625"/>
      <c r="AH433" s="625"/>
      <c r="AI433" s="625"/>
      <c r="AJ433" s="625"/>
      <c r="AK433" s="625"/>
      <c r="AL433" s="717"/>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4"/>
      <c r="D435" s="615"/>
      <c r="E435" s="597" t="s">
        <v>2045</v>
      </c>
      <c r="F435" s="1602" t="s">
        <v>2046</v>
      </c>
      <c r="G435" s="1602"/>
      <c r="H435" s="1602"/>
      <c r="I435" s="1602"/>
      <c r="J435" s="1602"/>
      <c r="K435" s="1602"/>
      <c r="L435" s="1602"/>
      <c r="M435" s="1602"/>
      <c r="N435" s="1602"/>
      <c r="O435" s="1602"/>
      <c r="P435" s="1602"/>
      <c r="Q435" s="1602"/>
      <c r="R435" s="1602"/>
      <c r="S435" s="1602"/>
      <c r="T435" s="1602"/>
      <c r="U435" s="1602"/>
      <c r="V435" s="1602"/>
      <c r="W435" s="1602"/>
      <c r="X435" s="1602"/>
      <c r="Y435" s="1602"/>
      <c r="Z435" s="1602"/>
      <c r="AA435" s="1602"/>
      <c r="AB435" s="1602"/>
      <c r="AC435" s="1602"/>
      <c r="AD435" s="1602"/>
      <c r="AE435" s="1602"/>
      <c r="AF435" s="615"/>
      <c r="AG435" s="615"/>
      <c r="AH435" s="615"/>
      <c r="AI435" s="615"/>
      <c r="AJ435" s="615"/>
      <c r="AK435" s="615"/>
      <c r="AL435" s="616"/>
      <c r="AM435"/>
      <c r="AO435" s="4"/>
      <c r="AP435" s="4"/>
      <c r="BD435" s="21"/>
      <c r="BE435" s="21"/>
      <c r="BF435" s="21"/>
      <c r="BG435" s="21"/>
      <c r="BH435" s="21"/>
    </row>
    <row r="436" spans="1:60">
      <c r="A436" s="37"/>
      <c r="C436" s="602"/>
      <c r="E436" s="170"/>
      <c r="F436" s="1547"/>
      <c r="G436" s="1547"/>
      <c r="H436" s="1547"/>
      <c r="I436" s="1547"/>
      <c r="J436" s="1547"/>
      <c r="K436" s="1547"/>
      <c r="L436" s="1547"/>
      <c r="M436" s="1547"/>
      <c r="N436" s="1547"/>
      <c r="O436" s="1547"/>
      <c r="P436" s="1547"/>
      <c r="Q436" s="1547"/>
      <c r="R436" s="1547"/>
      <c r="S436" s="1547"/>
      <c r="T436" s="1547"/>
      <c r="U436" s="1547"/>
      <c r="V436" s="1547"/>
      <c r="W436" s="1547"/>
      <c r="X436" s="1547"/>
      <c r="Y436" s="1547"/>
      <c r="Z436" s="1547"/>
      <c r="AA436" s="1547"/>
      <c r="AB436" s="1547"/>
      <c r="AC436" s="1547"/>
      <c r="AD436" s="1547"/>
      <c r="AE436" s="1547"/>
      <c r="AF436" s="88"/>
      <c r="AG436" s="88"/>
      <c r="AH436" s="88"/>
      <c r="AI436" s="88"/>
      <c r="AJ436" s="88"/>
      <c r="AK436" s="88"/>
      <c r="AL436" s="676"/>
      <c r="AM436"/>
      <c r="AO436" s="4"/>
      <c r="AP436" s="4"/>
    </row>
    <row r="437" spans="1:60" s="4" customFormat="1" ht="12.75" customHeight="1">
      <c r="A437" s="37"/>
      <c r="B437" s="21"/>
      <c r="C437" s="602"/>
      <c r="D437" s="21"/>
      <c r="E437" s="170"/>
      <c r="F437" s="1547"/>
      <c r="G437" s="1547"/>
      <c r="H437" s="1547"/>
      <c r="I437" s="1547"/>
      <c r="J437" s="1547"/>
      <c r="K437" s="1547"/>
      <c r="L437" s="1547"/>
      <c r="M437" s="1547"/>
      <c r="N437" s="1547"/>
      <c r="O437" s="1547"/>
      <c r="P437" s="1547"/>
      <c r="Q437" s="1547"/>
      <c r="R437" s="1547"/>
      <c r="S437" s="1547"/>
      <c r="T437" s="1547"/>
      <c r="U437" s="1547"/>
      <c r="V437" s="1547"/>
      <c r="W437" s="1547"/>
      <c r="X437" s="1547"/>
      <c r="Y437" s="1547"/>
      <c r="Z437" s="1547"/>
      <c r="AA437" s="1547"/>
      <c r="AB437" s="1547"/>
      <c r="AC437" s="1547"/>
      <c r="AD437" s="1547"/>
      <c r="AE437" s="1547"/>
      <c r="AF437" s="88"/>
      <c r="AG437" s="88"/>
      <c r="AH437" s="88"/>
      <c r="AI437" s="88"/>
      <c r="AJ437" s="88"/>
      <c r="AK437" s="88"/>
      <c r="AL437" s="676"/>
      <c r="AM437"/>
      <c r="AN437" s="243"/>
    </row>
    <row r="438" spans="1:60" s="4" customFormat="1" ht="12.75" customHeight="1">
      <c r="A438" s="37"/>
      <c r="B438" s="21"/>
      <c r="C438" s="619"/>
      <c r="D438" s="1"/>
      <c r="E438" s="191"/>
      <c r="F438" s="1547"/>
      <c r="G438" s="1547"/>
      <c r="H438" s="1547"/>
      <c r="I438" s="1547"/>
      <c r="J438" s="1547"/>
      <c r="K438" s="1547"/>
      <c r="L438" s="1547"/>
      <c r="M438" s="1547"/>
      <c r="N438" s="1547"/>
      <c r="O438" s="1547"/>
      <c r="P438" s="1547"/>
      <c r="Q438" s="1547"/>
      <c r="R438" s="1547"/>
      <c r="S438" s="1547"/>
      <c r="T438" s="1547"/>
      <c r="U438" s="1547"/>
      <c r="V438" s="1547"/>
      <c r="W438" s="1547"/>
      <c r="X438" s="1547"/>
      <c r="Y438" s="1547"/>
      <c r="Z438" s="1547"/>
      <c r="AA438" s="1547"/>
      <c r="AB438" s="1547"/>
      <c r="AC438" s="1547"/>
      <c r="AD438" s="1547"/>
      <c r="AE438" s="1547"/>
      <c r="AF438" s="88"/>
      <c r="AG438" s="88"/>
      <c r="AH438" s="88"/>
      <c r="AI438" s="88"/>
      <c r="AJ438" s="88"/>
      <c r="AK438" s="88"/>
      <c r="AL438" s="676"/>
      <c r="AM438"/>
      <c r="AN438" s="243"/>
      <c r="AO438" s="34"/>
      <c r="AP438" s="21"/>
    </row>
    <row r="439" spans="1:60" s="4" customFormat="1" ht="12.75" customHeight="1">
      <c r="A439" s="37"/>
      <c r="B439" s="21"/>
      <c r="C439" s="619"/>
      <c r="D439" s="1"/>
      <c r="E439" s="191"/>
      <c r="F439" s="1547"/>
      <c r="G439" s="1547"/>
      <c r="H439" s="1547"/>
      <c r="I439" s="1547"/>
      <c r="J439" s="1547"/>
      <c r="K439" s="1547"/>
      <c r="L439" s="1547"/>
      <c r="M439" s="1547"/>
      <c r="N439" s="1547"/>
      <c r="O439" s="1547"/>
      <c r="P439" s="1547"/>
      <c r="Q439" s="1547"/>
      <c r="R439" s="1547"/>
      <c r="S439" s="1547"/>
      <c r="T439" s="1547"/>
      <c r="U439" s="1547"/>
      <c r="V439" s="1547"/>
      <c r="W439" s="1547"/>
      <c r="X439" s="1547"/>
      <c r="Y439" s="1547"/>
      <c r="Z439" s="1547"/>
      <c r="AA439" s="1547"/>
      <c r="AB439" s="1547"/>
      <c r="AC439" s="1547"/>
      <c r="AD439" s="1547"/>
      <c r="AE439" s="1547"/>
      <c r="AF439" s="88"/>
      <c r="AG439" s="88"/>
      <c r="AH439" s="88"/>
      <c r="AI439" s="88"/>
      <c r="AJ439" s="88"/>
      <c r="AK439" s="88"/>
      <c r="AL439" s="676"/>
      <c r="AM439"/>
      <c r="AN439" s="243"/>
    </row>
    <row r="440" spans="1:60" s="4" customFormat="1" ht="12.75" customHeight="1">
      <c r="A440" s="37"/>
      <c r="B440" s="21"/>
      <c r="C440" s="619"/>
      <c r="D440" s="1"/>
      <c r="E440" s="191"/>
      <c r="F440" s="1547"/>
      <c r="G440" s="1547"/>
      <c r="H440" s="1547"/>
      <c r="I440" s="1547"/>
      <c r="J440" s="1547"/>
      <c r="K440" s="1547"/>
      <c r="L440" s="1547"/>
      <c r="M440" s="1547"/>
      <c r="N440" s="1547"/>
      <c r="O440" s="1547"/>
      <c r="P440" s="1547"/>
      <c r="Q440" s="1547"/>
      <c r="R440" s="1547"/>
      <c r="S440" s="1547"/>
      <c r="T440" s="1547"/>
      <c r="U440" s="1547"/>
      <c r="V440" s="1547"/>
      <c r="W440" s="1547"/>
      <c r="X440" s="1547"/>
      <c r="Y440" s="1547"/>
      <c r="Z440" s="1547"/>
      <c r="AA440" s="1547"/>
      <c r="AB440" s="1547"/>
      <c r="AC440" s="1547"/>
      <c r="AD440" s="1547"/>
      <c r="AE440" s="1547"/>
      <c r="AF440" s="88"/>
      <c r="AG440" s="88"/>
      <c r="AH440" s="88"/>
      <c r="AI440" s="88"/>
      <c r="AJ440" s="88"/>
      <c r="AK440" s="88"/>
      <c r="AL440" s="676"/>
      <c r="AM440"/>
      <c r="AN440" s="243"/>
    </row>
    <row r="441" spans="1:60" s="4" customFormat="1" ht="12.75" customHeight="1">
      <c r="A441" s="37"/>
      <c r="B441" s="21"/>
      <c r="C441" s="619"/>
      <c r="D441" s="1"/>
      <c r="E441" s="191"/>
      <c r="F441" s="1547"/>
      <c r="G441" s="1547"/>
      <c r="H441" s="1547"/>
      <c r="I441" s="1547"/>
      <c r="J441" s="1547"/>
      <c r="K441" s="1547"/>
      <c r="L441" s="1547"/>
      <c r="M441" s="1547"/>
      <c r="N441" s="1547"/>
      <c r="O441" s="1547"/>
      <c r="P441" s="1547"/>
      <c r="Q441" s="1547"/>
      <c r="R441" s="1547"/>
      <c r="S441" s="1547"/>
      <c r="T441" s="1547"/>
      <c r="U441" s="1547"/>
      <c r="V441" s="1547"/>
      <c r="W441" s="1547"/>
      <c r="X441" s="1547"/>
      <c r="Y441" s="1547"/>
      <c r="Z441" s="1547"/>
      <c r="AA441" s="1547"/>
      <c r="AB441" s="1547"/>
      <c r="AC441" s="1547"/>
      <c r="AD441" s="1547"/>
      <c r="AE441" s="1547"/>
      <c r="AF441" s="88"/>
      <c r="AG441" s="88"/>
      <c r="AH441" s="88"/>
      <c r="AI441" s="88"/>
      <c r="AJ441" s="88"/>
      <c r="AK441" s="88"/>
      <c r="AL441" s="676"/>
      <c r="AM441"/>
      <c r="AN441" s="243"/>
    </row>
    <row r="442" spans="1:60" s="4" customFormat="1" ht="12.75" customHeight="1">
      <c r="A442" s="37"/>
      <c r="B442" s="21"/>
      <c r="C442" s="619"/>
      <c r="D442" s="1"/>
      <c r="E442" s="191"/>
      <c r="F442" s="1547"/>
      <c r="G442" s="1547"/>
      <c r="H442" s="1547"/>
      <c r="I442" s="1547"/>
      <c r="J442" s="1547"/>
      <c r="K442" s="1547"/>
      <c r="L442" s="1547"/>
      <c r="M442" s="1547"/>
      <c r="N442" s="1547"/>
      <c r="O442" s="1547"/>
      <c r="P442" s="1547"/>
      <c r="Q442" s="1547"/>
      <c r="R442" s="1547"/>
      <c r="S442" s="1547"/>
      <c r="T442" s="1547"/>
      <c r="U442" s="1547"/>
      <c r="V442" s="1547"/>
      <c r="W442" s="1547"/>
      <c r="X442" s="1547"/>
      <c r="Y442" s="1547"/>
      <c r="Z442" s="1547"/>
      <c r="AA442" s="1547"/>
      <c r="AB442" s="1547"/>
      <c r="AC442" s="1547"/>
      <c r="AD442" s="1547"/>
      <c r="AE442" s="1547"/>
      <c r="AF442" s="88"/>
      <c r="AG442" s="88"/>
      <c r="AH442" s="88"/>
      <c r="AI442" s="88"/>
      <c r="AJ442" s="88"/>
      <c r="AK442" s="88"/>
      <c r="AL442" s="676"/>
      <c r="AM442"/>
      <c r="AN442" s="243"/>
    </row>
    <row r="443" spans="1:60" s="4" customFormat="1" ht="17.25" customHeight="1">
      <c r="A443" s="37"/>
      <c r="B443" s="21"/>
      <c r="C443" s="619"/>
      <c r="D443" s="1"/>
      <c r="E443" s="191"/>
      <c r="F443" s="1547"/>
      <c r="G443" s="1547"/>
      <c r="H443" s="1547"/>
      <c r="I443" s="1547"/>
      <c r="J443" s="1547"/>
      <c r="K443" s="1547"/>
      <c r="L443" s="1547"/>
      <c r="M443" s="1547"/>
      <c r="N443" s="1547"/>
      <c r="O443" s="1547"/>
      <c r="P443" s="1547"/>
      <c r="Q443" s="1547"/>
      <c r="R443" s="1547"/>
      <c r="S443" s="1547"/>
      <c r="T443" s="1547"/>
      <c r="U443" s="1547"/>
      <c r="V443" s="1547"/>
      <c r="W443" s="1547"/>
      <c r="X443" s="1547"/>
      <c r="Y443" s="1547"/>
      <c r="Z443" s="1547"/>
      <c r="AA443" s="1547"/>
      <c r="AB443" s="1547"/>
      <c r="AC443" s="1547"/>
      <c r="AD443" s="1547"/>
      <c r="AE443" s="1547"/>
      <c r="AL443" s="603"/>
      <c r="AM443"/>
      <c r="AN443" s="243"/>
    </row>
    <row r="444" spans="1:60" s="4" customFormat="1" ht="12.75" customHeight="1">
      <c r="A444" s="37"/>
      <c r="B444" s="21"/>
      <c r="C444" s="1600" t="s">
        <v>325</v>
      </c>
      <c r="D444" s="1063"/>
      <c r="E444" s="191"/>
      <c r="F444" s="20" t="s">
        <v>2047</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93" t="s">
        <v>2020</v>
      </c>
      <c r="AG444" s="1593"/>
      <c r="AH444" s="1593"/>
      <c r="AI444" s="1593"/>
      <c r="AJ444" s="1593"/>
      <c r="AK444" s="1593"/>
      <c r="AL444" s="1608"/>
      <c r="AM444"/>
      <c r="AN444" s="243"/>
    </row>
    <row r="445" spans="1:60" s="4" customFormat="1" ht="12.75" customHeight="1">
      <c r="A445" s="37"/>
      <c r="B445" s="21"/>
      <c r="C445" s="613"/>
      <c r="D445" s="611"/>
      <c r="E445" s="600"/>
      <c r="F445" s="609"/>
      <c r="G445" s="601"/>
      <c r="H445" s="601"/>
      <c r="I445" s="601"/>
      <c r="J445" s="601"/>
      <c r="K445" s="601"/>
      <c r="L445" s="601"/>
      <c r="M445" s="601"/>
      <c r="N445" s="601"/>
      <c r="O445" s="601"/>
      <c r="P445" s="601"/>
      <c r="Q445" s="601"/>
      <c r="R445" s="601"/>
      <c r="S445" s="601"/>
      <c r="T445" s="601"/>
      <c r="U445" s="601"/>
      <c r="V445" s="601"/>
      <c r="W445" s="601"/>
      <c r="X445" s="601"/>
      <c r="Y445" s="601"/>
      <c r="Z445" s="601"/>
      <c r="AA445" s="601"/>
      <c r="AB445" s="601"/>
      <c r="AC445" s="601"/>
      <c r="AD445" s="601"/>
      <c r="AE445" s="611"/>
      <c r="AF445" s="611"/>
      <c r="AG445" s="611"/>
      <c r="AH445" s="611"/>
      <c r="AI445" s="611"/>
      <c r="AJ445" s="611"/>
      <c r="AK445" s="611"/>
      <c r="AL445" s="612"/>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5"/>
      <c r="D447" s="596"/>
      <c r="E447" s="597" t="s">
        <v>2048</v>
      </c>
      <c r="F447" s="1602" t="s">
        <v>2049</v>
      </c>
      <c r="G447" s="1602"/>
      <c r="H447" s="1602"/>
      <c r="I447" s="1602"/>
      <c r="J447" s="1602"/>
      <c r="K447" s="1602"/>
      <c r="L447" s="1602"/>
      <c r="M447" s="1602"/>
      <c r="N447" s="1602"/>
      <c r="O447" s="1602"/>
      <c r="P447" s="1602"/>
      <c r="Q447" s="1602"/>
      <c r="R447" s="1602"/>
      <c r="S447" s="1602"/>
      <c r="T447" s="1602"/>
      <c r="U447" s="1602"/>
      <c r="V447" s="1602"/>
      <c r="W447" s="1602"/>
      <c r="X447" s="1602"/>
      <c r="Y447" s="1602"/>
      <c r="Z447" s="1602"/>
      <c r="AA447" s="1602"/>
      <c r="AB447" s="1602"/>
      <c r="AC447" s="1602"/>
      <c r="AD447" s="1602"/>
      <c r="AE447" s="1602"/>
      <c r="AF447" s="596"/>
      <c r="AG447" s="596"/>
      <c r="AH447" s="596"/>
      <c r="AI447" s="596"/>
      <c r="AJ447" s="596"/>
      <c r="AK447" s="596"/>
      <c r="AL447" s="618"/>
      <c r="AM447"/>
      <c r="AN447" s="243"/>
    </row>
    <row r="448" spans="1:60" s="4" customFormat="1" ht="12.75" customHeight="1">
      <c r="A448" s="37"/>
      <c r="B448" s="21"/>
      <c r="C448" s="619"/>
      <c r="D448" s="1"/>
      <c r="E448" s="191"/>
      <c r="F448" s="1547"/>
      <c r="G448" s="1547"/>
      <c r="H448" s="1547"/>
      <c r="I448" s="1547"/>
      <c r="J448" s="1547"/>
      <c r="K448" s="1547"/>
      <c r="L448" s="1547"/>
      <c r="M448" s="1547"/>
      <c r="N448" s="1547"/>
      <c r="O448" s="1547"/>
      <c r="P448" s="1547"/>
      <c r="Q448" s="1547"/>
      <c r="R448" s="1547"/>
      <c r="S448" s="1547"/>
      <c r="T448" s="1547"/>
      <c r="U448" s="1547"/>
      <c r="V448" s="1547"/>
      <c r="W448" s="1547"/>
      <c r="X448" s="1547"/>
      <c r="Y448" s="1547"/>
      <c r="Z448" s="1547"/>
      <c r="AA448" s="1547"/>
      <c r="AB448" s="1547"/>
      <c r="AC448" s="1547"/>
      <c r="AD448" s="1547"/>
      <c r="AE448" s="1547"/>
      <c r="AF448" s="18"/>
      <c r="AG448" s="18"/>
      <c r="AH448" s="18"/>
      <c r="AI448" s="18"/>
      <c r="AJ448" s="18"/>
      <c r="AK448" s="18"/>
      <c r="AL448" s="673"/>
      <c r="AM448"/>
      <c r="AN448" s="243"/>
    </row>
    <row r="449" spans="1:49" s="4" customFormat="1" ht="12.75" customHeight="1">
      <c r="A449" s="37"/>
      <c r="B449" s="21"/>
      <c r="C449" s="619"/>
      <c r="D449" s="1"/>
      <c r="E449" s="191"/>
      <c r="F449" s="1547"/>
      <c r="G449" s="1547"/>
      <c r="H449" s="1547"/>
      <c r="I449" s="1547"/>
      <c r="J449" s="1547"/>
      <c r="K449" s="1547"/>
      <c r="L449" s="1547"/>
      <c r="M449" s="1547"/>
      <c r="N449" s="1547"/>
      <c r="O449" s="1547"/>
      <c r="P449" s="1547"/>
      <c r="Q449" s="1547"/>
      <c r="R449" s="1547"/>
      <c r="S449" s="1547"/>
      <c r="T449" s="1547"/>
      <c r="U449" s="1547"/>
      <c r="V449" s="1547"/>
      <c r="W449" s="1547"/>
      <c r="X449" s="1547"/>
      <c r="Y449" s="1547"/>
      <c r="Z449" s="1547"/>
      <c r="AA449" s="1547"/>
      <c r="AB449" s="1547"/>
      <c r="AC449" s="1547"/>
      <c r="AD449" s="1547"/>
      <c r="AE449" s="1547"/>
      <c r="AF449" s="18"/>
      <c r="AG449" s="18"/>
      <c r="AH449" s="18"/>
      <c r="AI449" s="18"/>
      <c r="AJ449" s="18"/>
      <c r="AK449" s="18"/>
      <c r="AL449" s="673"/>
      <c r="AM449"/>
      <c r="AN449" s="243"/>
    </row>
    <row r="450" spans="1:49" s="4" customFormat="1" ht="12.75" customHeight="1">
      <c r="A450" s="37"/>
      <c r="B450" s="21"/>
      <c r="C450" s="619"/>
      <c r="D450" s="1"/>
      <c r="E450" s="191"/>
      <c r="F450" s="1547"/>
      <c r="G450" s="1547"/>
      <c r="H450" s="1547"/>
      <c r="I450" s="1547"/>
      <c r="J450" s="1547"/>
      <c r="K450" s="1547"/>
      <c r="L450" s="1547"/>
      <c r="M450" s="1547"/>
      <c r="N450" s="1547"/>
      <c r="O450" s="1547"/>
      <c r="P450" s="1547"/>
      <c r="Q450" s="1547"/>
      <c r="R450" s="1547"/>
      <c r="S450" s="1547"/>
      <c r="T450" s="1547"/>
      <c r="U450" s="1547"/>
      <c r="V450" s="1547"/>
      <c r="W450" s="1547"/>
      <c r="X450" s="1547"/>
      <c r="Y450" s="1547"/>
      <c r="Z450" s="1547"/>
      <c r="AA450" s="1547"/>
      <c r="AB450" s="1547"/>
      <c r="AC450" s="1547"/>
      <c r="AD450" s="1547"/>
      <c r="AE450" s="1547"/>
      <c r="AL450" s="603"/>
      <c r="AM450"/>
      <c r="AN450" s="243"/>
    </row>
    <row r="451" spans="1:49" s="4" customFormat="1" ht="12.75" customHeight="1">
      <c r="A451" s="37"/>
      <c r="B451" s="21"/>
      <c r="C451" s="1600" t="s">
        <v>325</v>
      </c>
      <c r="D451" s="1063"/>
      <c r="E451" s="191"/>
      <c r="F451" s="286" t="s">
        <v>2050</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93" t="s">
        <v>2020</v>
      </c>
      <c r="AG451" s="1593"/>
      <c r="AH451" s="1593"/>
      <c r="AI451" s="1593"/>
      <c r="AJ451" s="1593"/>
      <c r="AK451" s="1593"/>
      <c r="AL451" s="1608"/>
      <c r="AM451"/>
      <c r="AN451" s="573"/>
      <c r="AP451" s="21"/>
      <c r="AQ451" s="144"/>
      <c r="AR451" s="144"/>
      <c r="AS451" s="144"/>
      <c r="AT451" s="144"/>
      <c r="AU451" s="144"/>
      <c r="AV451" s="144"/>
      <c r="AW451" s="144"/>
    </row>
    <row r="452" spans="1:49" s="4" customFormat="1" ht="12.75" customHeight="1">
      <c r="A452" s="37"/>
      <c r="B452" s="21"/>
      <c r="C452" s="605"/>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3"/>
      <c r="AM452"/>
      <c r="AN452" s="573"/>
      <c r="AQ452" s="144"/>
      <c r="AR452" s="144"/>
      <c r="AS452" s="144"/>
      <c r="AT452" s="144"/>
      <c r="AU452" s="144"/>
      <c r="AV452" s="144"/>
      <c r="AW452" s="144"/>
    </row>
    <row r="453" spans="1:49" s="4" customFormat="1" ht="12.75" customHeight="1">
      <c r="A453" s="37"/>
      <c r="B453" s="21"/>
      <c r="C453" s="606"/>
      <c r="D453" s="607"/>
      <c r="E453" s="608"/>
      <c r="F453" s="611" t="s">
        <v>2029</v>
      </c>
      <c r="G453" s="604"/>
      <c r="H453" s="604"/>
      <c r="I453" s="604"/>
      <c r="J453" s="604"/>
      <c r="K453" s="604"/>
      <c r="L453" s="604"/>
      <c r="M453" s="604"/>
      <c r="N453" s="604"/>
      <c r="O453" s="604"/>
      <c r="P453" s="604"/>
      <c r="Q453" s="604"/>
      <c r="R453" s="604"/>
      <c r="S453" s="604"/>
      <c r="T453" s="604"/>
      <c r="U453" s="604"/>
      <c r="V453" s="604"/>
      <c r="W453" s="604"/>
      <c r="X453" s="604"/>
      <c r="Y453" s="604"/>
      <c r="Z453" s="604"/>
      <c r="AA453" s="604"/>
      <c r="AB453" s="604"/>
      <c r="AC453" s="604"/>
      <c r="AD453" s="604"/>
      <c r="AE453" s="912"/>
      <c r="AF453" s="610"/>
      <c r="AG453" s="912"/>
      <c r="AH453" s="611"/>
      <c r="AI453" s="611"/>
      <c r="AJ453" s="611"/>
      <c r="AK453" s="611"/>
      <c r="AL453" s="612"/>
      <c r="AM453"/>
      <c r="AN453" s="573"/>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3"/>
      <c r="AQ454" s="144"/>
      <c r="AR454" s="144"/>
      <c r="AS454" s="144"/>
      <c r="AT454" s="144"/>
      <c r="AU454" s="144"/>
      <c r="AV454" s="144"/>
      <c r="AW454" s="144"/>
    </row>
    <row r="455" spans="1:49" s="4" customFormat="1" ht="12.75" customHeight="1">
      <c r="A455" s="37"/>
      <c r="B455" s="21"/>
      <c r="C455" s="1606" t="s">
        <v>325</v>
      </c>
      <c r="D455" s="1607"/>
      <c r="E455" s="597" t="s">
        <v>2051</v>
      </c>
      <c r="F455" s="1602" t="s">
        <v>2052</v>
      </c>
      <c r="G455" s="1602"/>
      <c r="H455" s="1602"/>
      <c r="I455" s="1602"/>
      <c r="J455" s="1602"/>
      <c r="K455" s="1602"/>
      <c r="L455" s="1602"/>
      <c r="M455" s="1602"/>
      <c r="N455" s="1602"/>
      <c r="O455" s="1602"/>
      <c r="P455" s="1602"/>
      <c r="Q455" s="1602"/>
      <c r="R455" s="1602"/>
      <c r="S455" s="1602"/>
      <c r="T455" s="1602"/>
      <c r="U455" s="1602"/>
      <c r="V455" s="1602"/>
      <c r="W455" s="1602"/>
      <c r="X455" s="1602"/>
      <c r="Y455" s="1602"/>
      <c r="Z455" s="1602"/>
      <c r="AA455" s="1602"/>
      <c r="AB455" s="1602"/>
      <c r="AC455" s="1602"/>
      <c r="AD455" s="1602"/>
      <c r="AE455" s="1602"/>
      <c r="AF455" s="1761" t="s">
        <v>2020</v>
      </c>
      <c r="AG455" s="1761"/>
      <c r="AH455" s="1761"/>
      <c r="AI455" s="1761"/>
      <c r="AJ455" s="1761"/>
      <c r="AK455" s="1761"/>
      <c r="AL455" s="1762"/>
      <c r="AM455"/>
      <c r="AN455" s="573"/>
      <c r="AQ455" s="144"/>
    </row>
    <row r="456" spans="1:49" s="4" customFormat="1" ht="12.75" customHeight="1">
      <c r="A456" s="37"/>
      <c r="B456" s="21"/>
      <c r="C456" s="619"/>
      <c r="D456" s="1"/>
      <c r="E456" s="191"/>
      <c r="F456" s="1547"/>
      <c r="G456" s="1547"/>
      <c r="H456" s="1547"/>
      <c r="I456" s="1547"/>
      <c r="J456" s="1547"/>
      <c r="K456" s="1547"/>
      <c r="L456" s="1547"/>
      <c r="M456" s="1547"/>
      <c r="N456" s="1547"/>
      <c r="O456" s="1547"/>
      <c r="P456" s="1547"/>
      <c r="Q456" s="1547"/>
      <c r="R456" s="1547"/>
      <c r="S456" s="1547"/>
      <c r="T456" s="1547"/>
      <c r="U456" s="1547"/>
      <c r="V456" s="1547"/>
      <c r="W456" s="1547"/>
      <c r="X456" s="1547"/>
      <c r="Y456" s="1547"/>
      <c r="Z456" s="1547"/>
      <c r="AA456" s="1547"/>
      <c r="AB456" s="1547"/>
      <c r="AC456" s="1547"/>
      <c r="AD456" s="1547"/>
      <c r="AE456" s="1547"/>
      <c r="AF456" s="18"/>
      <c r="AG456" s="18"/>
      <c r="AH456" s="18"/>
      <c r="AI456" s="18"/>
      <c r="AJ456" s="18"/>
      <c r="AK456" s="18"/>
      <c r="AL456" s="673"/>
      <c r="AM456"/>
      <c r="AN456" s="574"/>
      <c r="AO456" s="4" t="s">
        <v>325</v>
      </c>
      <c r="AP456" s="4">
        <v>0</v>
      </c>
      <c r="AQ456" s="144"/>
    </row>
    <row r="457" spans="1:49" s="4" customFormat="1" ht="21.75" customHeight="1">
      <c r="A457" s="37"/>
      <c r="B457" s="21"/>
      <c r="C457" s="598"/>
      <c r="D457" s="599"/>
      <c r="E457" s="600"/>
      <c r="F457" s="1603"/>
      <c r="G457" s="1603"/>
      <c r="H457" s="1603"/>
      <c r="I457" s="1603"/>
      <c r="J457" s="1603"/>
      <c r="K457" s="1603"/>
      <c r="L457" s="1603"/>
      <c r="M457" s="1603"/>
      <c r="N457" s="1603"/>
      <c r="O457" s="1603"/>
      <c r="P457" s="1603"/>
      <c r="Q457" s="1603"/>
      <c r="R457" s="1603"/>
      <c r="S457" s="1603"/>
      <c r="T457" s="1603"/>
      <c r="U457" s="1603"/>
      <c r="V457" s="1603"/>
      <c r="W457" s="1603"/>
      <c r="X457" s="1603"/>
      <c r="Y457" s="1603"/>
      <c r="Z457" s="1603"/>
      <c r="AA457" s="1603"/>
      <c r="AB457" s="1603"/>
      <c r="AC457" s="1603"/>
      <c r="AD457" s="1603"/>
      <c r="AE457" s="1603"/>
      <c r="AF457" s="674"/>
      <c r="AG457" s="674"/>
      <c r="AH457" s="674"/>
      <c r="AI457" s="674"/>
      <c r="AJ457" s="674"/>
      <c r="AK457" s="674"/>
      <c r="AL457" s="675"/>
      <c r="AM457"/>
      <c r="AN457" s="902"/>
      <c r="AO457" s="4" t="s">
        <v>2053</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2"/>
      <c r="AO458" s="4" t="s">
        <v>2054</v>
      </c>
      <c r="AP458" s="4">
        <v>5</v>
      </c>
      <c r="AQ458" s="144"/>
    </row>
    <row r="459" spans="1:49" s="4" customFormat="1" ht="12.75" customHeight="1">
      <c r="A459" s="37"/>
      <c r="B459" s="21"/>
      <c r="C459" s="1606" t="s">
        <v>325</v>
      </c>
      <c r="D459" s="1607"/>
      <c r="E459" s="597" t="s">
        <v>2055</v>
      </c>
      <c r="F459" s="1602" t="s">
        <v>2056</v>
      </c>
      <c r="G459" s="1602"/>
      <c r="H459" s="1602"/>
      <c r="I459" s="1602"/>
      <c r="J459" s="1602"/>
      <c r="K459" s="1602"/>
      <c r="L459" s="1602"/>
      <c r="M459" s="1602"/>
      <c r="N459" s="1602"/>
      <c r="O459" s="1602"/>
      <c r="P459" s="1602"/>
      <c r="Q459" s="1602"/>
      <c r="R459" s="1602"/>
      <c r="S459" s="1602"/>
      <c r="T459" s="1602"/>
      <c r="U459" s="1602"/>
      <c r="V459" s="1602"/>
      <c r="W459" s="1602"/>
      <c r="X459" s="1602"/>
      <c r="Y459" s="1602"/>
      <c r="Z459" s="1602"/>
      <c r="AA459" s="1602"/>
      <c r="AB459" s="1602"/>
      <c r="AC459" s="1602"/>
      <c r="AD459" s="1602"/>
      <c r="AE459" s="1602"/>
      <c r="AF459" s="1761" t="s">
        <v>2020</v>
      </c>
      <c r="AG459" s="1761"/>
      <c r="AH459" s="1761"/>
      <c r="AI459" s="1761"/>
      <c r="AJ459" s="1761"/>
      <c r="AK459" s="1761"/>
      <c r="AL459" s="1762"/>
      <c r="AM459"/>
      <c r="AN459" s="902"/>
      <c r="AO459" s="4" t="s">
        <v>2057</v>
      </c>
      <c r="AP459" s="4">
        <v>5</v>
      </c>
      <c r="AQ459" s="37"/>
    </row>
    <row r="460" spans="1:49" s="4" customFormat="1" ht="12.75" customHeight="1">
      <c r="A460" s="37"/>
      <c r="B460" s="21"/>
      <c r="C460" s="602"/>
      <c r="D460" s="21"/>
      <c r="E460" s="170"/>
      <c r="F460" s="1547"/>
      <c r="G460" s="1547"/>
      <c r="H460" s="1547"/>
      <c r="I460" s="1547"/>
      <c r="J460" s="1547"/>
      <c r="K460" s="1547"/>
      <c r="L460" s="1547"/>
      <c r="M460" s="1547"/>
      <c r="N460" s="1547"/>
      <c r="O460" s="1547"/>
      <c r="P460" s="1547"/>
      <c r="Q460" s="1547"/>
      <c r="R460" s="1547"/>
      <c r="S460" s="1547"/>
      <c r="T460" s="1547"/>
      <c r="U460" s="1547"/>
      <c r="V460" s="1547"/>
      <c r="W460" s="1547"/>
      <c r="X460" s="1547"/>
      <c r="Y460" s="1547"/>
      <c r="Z460" s="1547"/>
      <c r="AA460" s="1547"/>
      <c r="AB460" s="1547"/>
      <c r="AC460" s="1547"/>
      <c r="AD460" s="1547"/>
      <c r="AE460" s="1547"/>
      <c r="AF460" s="3"/>
      <c r="AG460" s="37"/>
      <c r="AL460" s="603"/>
      <c r="AM460"/>
      <c r="AN460" s="902"/>
      <c r="AO460" s="4" t="s">
        <v>2058</v>
      </c>
      <c r="AP460" s="4">
        <v>5</v>
      </c>
    </row>
    <row r="461" spans="1:49" s="4" customFormat="1" ht="12.75" customHeight="1">
      <c r="A461" s="37"/>
      <c r="B461" s="21"/>
      <c r="C461" s="602"/>
      <c r="D461" s="21"/>
      <c r="E461" s="170"/>
      <c r="F461" s="1547"/>
      <c r="G461" s="1547"/>
      <c r="H461" s="1547"/>
      <c r="I461" s="1547"/>
      <c r="J461" s="1547"/>
      <c r="K461" s="1547"/>
      <c r="L461" s="1547"/>
      <c r="M461" s="1547"/>
      <c r="N461" s="1547"/>
      <c r="O461" s="1547"/>
      <c r="P461" s="1547"/>
      <c r="Q461" s="1547"/>
      <c r="R461" s="1547"/>
      <c r="S461" s="1547"/>
      <c r="T461" s="1547"/>
      <c r="U461" s="1547"/>
      <c r="V461" s="1547"/>
      <c r="W461" s="1547"/>
      <c r="X461" s="1547"/>
      <c r="Y461" s="1547"/>
      <c r="Z461" s="1547"/>
      <c r="AA461" s="1547"/>
      <c r="AB461" s="1547"/>
      <c r="AC461" s="1547"/>
      <c r="AD461" s="1547"/>
      <c r="AE461" s="1547"/>
      <c r="AF461" s="3"/>
      <c r="AG461" s="37"/>
      <c r="AL461" s="603"/>
      <c r="AM461"/>
      <c r="AN461" s="902"/>
      <c r="AO461" s="4" t="s">
        <v>2059</v>
      </c>
      <c r="AP461" s="4">
        <v>5</v>
      </c>
    </row>
    <row r="462" spans="1:49" s="4" customFormat="1" ht="4.5" customHeight="1">
      <c r="A462" s="37"/>
      <c r="B462" s="21"/>
      <c r="C462" s="598"/>
      <c r="D462" s="599"/>
      <c r="E462" s="600"/>
      <c r="F462" s="1603"/>
      <c r="G462" s="1603"/>
      <c r="H462" s="1603"/>
      <c r="I462" s="1603"/>
      <c r="J462" s="1603"/>
      <c r="K462" s="1603"/>
      <c r="L462" s="1603"/>
      <c r="M462" s="1603"/>
      <c r="N462" s="1603"/>
      <c r="O462" s="1603"/>
      <c r="P462" s="1603"/>
      <c r="Q462" s="1603"/>
      <c r="R462" s="1603"/>
      <c r="S462" s="1603"/>
      <c r="T462" s="1603"/>
      <c r="U462" s="1603"/>
      <c r="V462" s="1603"/>
      <c r="W462" s="1603"/>
      <c r="X462" s="1603"/>
      <c r="Y462" s="1603"/>
      <c r="Z462" s="1603"/>
      <c r="AA462" s="1603"/>
      <c r="AB462" s="1603"/>
      <c r="AC462" s="1603"/>
      <c r="AD462" s="1603"/>
      <c r="AE462" s="1603"/>
      <c r="AF462" s="674"/>
      <c r="AG462" s="674"/>
      <c r="AH462" s="674"/>
      <c r="AI462" s="674"/>
      <c r="AJ462" s="674"/>
      <c r="AK462" s="674"/>
      <c r="AL462" s="675"/>
      <c r="AM462"/>
      <c r="AN462" s="243"/>
      <c r="AO462" s="4" t="s">
        <v>2060</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2061</v>
      </c>
      <c r="AP463" s="4">
        <v>5</v>
      </c>
    </row>
    <row r="464" spans="1:49" s="4" customFormat="1" ht="12.75" customHeight="1">
      <c r="A464" s="37"/>
      <c r="B464" s="21"/>
      <c r="C464" s="595"/>
      <c r="D464" s="596"/>
      <c r="E464" s="597" t="s">
        <v>2062</v>
      </c>
      <c r="F464" s="1602" t="s">
        <v>2063</v>
      </c>
      <c r="G464" s="1602"/>
      <c r="H464" s="1602"/>
      <c r="I464" s="1602"/>
      <c r="J464" s="1602"/>
      <c r="K464" s="1602"/>
      <c r="L464" s="1602"/>
      <c r="M464" s="1602"/>
      <c r="N464" s="1602"/>
      <c r="O464" s="1602"/>
      <c r="P464" s="1602"/>
      <c r="Q464" s="1602"/>
      <c r="R464" s="1602"/>
      <c r="S464" s="1602"/>
      <c r="T464" s="1602"/>
      <c r="U464" s="1602"/>
      <c r="V464" s="1602"/>
      <c r="W464" s="1602"/>
      <c r="X464" s="1602"/>
      <c r="Y464" s="1602"/>
      <c r="Z464" s="1602"/>
      <c r="AA464" s="1602"/>
      <c r="AB464" s="1602"/>
      <c r="AC464" s="1602"/>
      <c r="AD464" s="1602"/>
      <c r="AE464" s="1602"/>
      <c r="AF464" s="1602"/>
      <c r="AG464" s="913"/>
      <c r="AH464" s="596"/>
      <c r="AI464" s="596"/>
      <c r="AJ464" s="596"/>
      <c r="AK464" s="596"/>
      <c r="AL464" s="618"/>
      <c r="AM464"/>
      <c r="AN464" s="243"/>
      <c r="AO464" s="4" t="s">
        <v>2064</v>
      </c>
      <c r="AP464" s="4">
        <v>1</v>
      </c>
    </row>
    <row r="465" spans="1:54" s="4" customFormat="1" ht="12.75" customHeight="1">
      <c r="A465" s="37"/>
      <c r="B465" s="21"/>
      <c r="C465" s="602"/>
      <c r="D465" s="21"/>
      <c r="E465" s="170"/>
      <c r="F465" s="1547"/>
      <c r="G465" s="1547"/>
      <c r="H465" s="1547"/>
      <c r="I465" s="1547"/>
      <c r="J465" s="1547"/>
      <c r="K465" s="1547"/>
      <c r="L465" s="1547"/>
      <c r="M465" s="1547"/>
      <c r="N465" s="1547"/>
      <c r="O465" s="1547"/>
      <c r="P465" s="1547"/>
      <c r="Q465" s="1547"/>
      <c r="R465" s="1547"/>
      <c r="S465" s="1547"/>
      <c r="T465" s="1547"/>
      <c r="U465" s="1547"/>
      <c r="V465" s="1547"/>
      <c r="W465" s="1547"/>
      <c r="X465" s="1547"/>
      <c r="Y465" s="1547"/>
      <c r="Z465" s="1547"/>
      <c r="AA465" s="1547"/>
      <c r="AB465" s="1547"/>
      <c r="AC465" s="1547"/>
      <c r="AD465" s="1547"/>
      <c r="AE465" s="1547"/>
      <c r="AF465" s="1547"/>
      <c r="AL465" s="603"/>
      <c r="AM465"/>
      <c r="AN465" s="243"/>
      <c r="AS465" s="285"/>
      <c r="AW465" s="285" t="s">
        <v>2065</v>
      </c>
      <c r="BA465" s="285" t="s">
        <v>2066</v>
      </c>
    </row>
    <row r="466" spans="1:54" s="4" customFormat="1" ht="12.75" customHeight="1">
      <c r="A466" s="37"/>
      <c r="B466" s="21"/>
      <c r="C466" s="605"/>
      <c r="F466" s="1547"/>
      <c r="G466" s="1547"/>
      <c r="H466" s="1547"/>
      <c r="I466" s="1547"/>
      <c r="J466" s="1547"/>
      <c r="K466" s="1547"/>
      <c r="L466" s="1547"/>
      <c r="M466" s="1547"/>
      <c r="N466" s="1547"/>
      <c r="O466" s="1547"/>
      <c r="P466" s="1547"/>
      <c r="Q466" s="1547"/>
      <c r="R466" s="1547"/>
      <c r="S466" s="1547"/>
      <c r="T466" s="1547"/>
      <c r="U466" s="1547"/>
      <c r="V466" s="1547"/>
      <c r="W466" s="1547"/>
      <c r="X466" s="1547"/>
      <c r="Y466" s="1547"/>
      <c r="Z466" s="1547"/>
      <c r="AA466" s="1547"/>
      <c r="AB466" s="1547"/>
      <c r="AC466" s="1547"/>
      <c r="AD466" s="1547"/>
      <c r="AE466" s="1547"/>
      <c r="AF466" s="1547"/>
      <c r="AL466" s="603"/>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5"/>
      <c r="F467" s="1547"/>
      <c r="G467" s="1547"/>
      <c r="H467" s="1547"/>
      <c r="I467" s="1547"/>
      <c r="J467" s="1547"/>
      <c r="K467" s="1547"/>
      <c r="L467" s="1547"/>
      <c r="M467" s="1547"/>
      <c r="N467" s="1547"/>
      <c r="O467" s="1547"/>
      <c r="P467" s="1547"/>
      <c r="Q467" s="1547"/>
      <c r="R467" s="1547"/>
      <c r="S467" s="1547"/>
      <c r="T467" s="1547"/>
      <c r="U467" s="1547"/>
      <c r="V467" s="1547"/>
      <c r="W467" s="1547"/>
      <c r="X467" s="1547"/>
      <c r="Y467" s="1547"/>
      <c r="Z467" s="1547"/>
      <c r="AA467" s="1547"/>
      <c r="AB467" s="1547"/>
      <c r="AC467" s="1547"/>
      <c r="AD467" s="1547"/>
      <c r="AE467" s="1547"/>
      <c r="AF467" s="1547"/>
      <c r="AL467" s="603"/>
      <c r="AM467"/>
      <c r="AN467" s="243"/>
      <c r="AO467" s="288">
        <v>7.0000000000000007E-2</v>
      </c>
      <c r="AP467" s="32">
        <v>3</v>
      </c>
      <c r="AR467" s="4" t="s">
        <v>2067</v>
      </c>
      <c r="AS467" s="32">
        <v>3</v>
      </c>
      <c r="AT467" s="27"/>
      <c r="AW467" s="288">
        <v>0.4</v>
      </c>
      <c r="AX467" s="27">
        <v>3</v>
      </c>
      <c r="BA467" s="288">
        <v>0.4</v>
      </c>
      <c r="BB467" s="27">
        <v>4</v>
      </c>
    </row>
    <row r="468" spans="1:54" s="4" customFormat="1" ht="12.75" customHeight="1">
      <c r="A468" s="37"/>
      <c r="B468" s="21"/>
      <c r="C468" s="1600" t="s">
        <v>325</v>
      </c>
      <c r="D468" s="1063"/>
      <c r="E468" s="191"/>
      <c r="F468" s="286" t="s">
        <v>2039</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59" t="s">
        <v>2020</v>
      </c>
      <c r="AG468" s="1459"/>
      <c r="AH468" s="1459"/>
      <c r="AI468" s="1459"/>
      <c r="AJ468" s="1459"/>
      <c r="AK468" s="1459"/>
      <c r="AL468" s="1601"/>
      <c r="AM468"/>
      <c r="AN468" s="243"/>
      <c r="AO468" s="288">
        <v>0.12</v>
      </c>
      <c r="AP468" s="32">
        <v>5</v>
      </c>
      <c r="AR468" s="4" t="s">
        <v>2068</v>
      </c>
      <c r="AS468" s="32">
        <v>5</v>
      </c>
      <c r="AT468" s="27"/>
      <c r="AW468" s="288">
        <v>0.6</v>
      </c>
      <c r="AX468" s="27">
        <v>4</v>
      </c>
      <c r="BA468" s="288">
        <v>0.6</v>
      </c>
      <c r="BB468" s="27">
        <v>5</v>
      </c>
    </row>
    <row r="469" spans="1:54" s="4" customFormat="1" ht="12.75" customHeight="1">
      <c r="A469" s="37"/>
      <c r="B469" s="21"/>
      <c r="C469" s="606"/>
      <c r="D469" s="607"/>
      <c r="E469" s="608"/>
      <c r="F469" s="611"/>
      <c r="G469" s="611"/>
      <c r="H469" s="611"/>
      <c r="I469" s="611"/>
      <c r="J469" s="611"/>
      <c r="K469" s="611"/>
      <c r="L469" s="611"/>
      <c r="M469" s="611"/>
      <c r="N469" s="611"/>
      <c r="O469" s="611"/>
      <c r="P469" s="611"/>
      <c r="Q469" s="611"/>
      <c r="R469" s="611"/>
      <c r="S469" s="611"/>
      <c r="T469" s="611"/>
      <c r="U469" s="611"/>
      <c r="V469" s="611"/>
      <c r="W469" s="611"/>
      <c r="X469" s="611"/>
      <c r="Y469" s="611"/>
      <c r="Z469" s="611"/>
      <c r="AA469" s="611"/>
      <c r="AB469" s="611"/>
      <c r="AC469" s="611"/>
      <c r="AD469" s="611"/>
      <c r="AE469" s="611"/>
      <c r="AF469" s="611"/>
      <c r="AG469" s="611"/>
      <c r="AH469" s="611"/>
      <c r="AI469" s="611"/>
      <c r="AJ469" s="611"/>
      <c r="AK469" s="611"/>
      <c r="AL469" s="612"/>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5" t="s">
        <v>2069</v>
      </c>
      <c r="D474" s="97"/>
      <c r="E474" s="335"/>
      <c r="F474" s="335"/>
      <c r="G474" s="335"/>
      <c r="H474" s="335"/>
      <c r="I474" s="335"/>
      <c r="J474" s="335"/>
      <c r="K474" s="335"/>
      <c r="L474" s="335"/>
      <c r="M474" s="335"/>
      <c r="N474" s="335"/>
      <c r="O474" s="335"/>
      <c r="P474" s="335"/>
      <c r="Q474" s="335"/>
      <c r="R474" s="335"/>
      <c r="S474" s="335"/>
      <c r="T474" s="335"/>
      <c r="U474" s="335"/>
      <c r="V474" s="335"/>
      <c r="W474" s="335"/>
      <c r="X474" s="335"/>
      <c r="Y474" s="335"/>
      <c r="Z474" s="335"/>
      <c r="AA474" s="335"/>
      <c r="AB474" s="335"/>
      <c r="AC474" s="335"/>
      <c r="AD474" s="335"/>
      <c r="AE474" s="77"/>
      <c r="AF474" s="77"/>
      <c r="AG474" s="77"/>
      <c r="AH474" s="77"/>
      <c r="AI474" s="53"/>
      <c r="AJ474" s="53" t="s">
        <v>2070</v>
      </c>
      <c r="AK474" s="1018">
        <f>IF(AS357=0,AS355,AS357)</f>
        <v>10</v>
      </c>
      <c r="AL474" s="1019"/>
      <c r="AM474" s="102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2071</v>
      </c>
      <c r="C477" s="3"/>
      <c r="E477" s="20"/>
      <c r="AE477" s="1459" t="s">
        <v>2072</v>
      </c>
      <c r="AF477" s="1459"/>
      <c r="AG477" s="1459"/>
      <c r="AH477" s="1459"/>
      <c r="AI477" s="1459"/>
      <c r="AJ477" s="1459"/>
      <c r="AK477" s="1459"/>
      <c r="AL477" s="18"/>
      <c r="AN477" s="243"/>
      <c r="AO477" s="4" t="s">
        <v>2053</v>
      </c>
      <c r="AP477" s="4">
        <v>5</v>
      </c>
    </row>
    <row r="478" spans="1:54" s="4" customFormat="1" ht="12.75" hidden="1" customHeight="1">
      <c r="A478" s="3"/>
      <c r="B478" s="37" t="s">
        <v>2073</v>
      </c>
      <c r="C478" s="3"/>
      <c r="E478" s="20"/>
      <c r="AE478" s="18"/>
      <c r="AF478" s="18"/>
      <c r="AG478" s="18"/>
      <c r="AH478" s="18"/>
      <c r="AI478" s="18"/>
      <c r="AJ478" s="18"/>
      <c r="AK478" s="18"/>
      <c r="AL478" s="18"/>
      <c r="AN478" s="243"/>
      <c r="AO478" s="4" t="s">
        <v>2074</v>
      </c>
      <c r="AP478" s="4">
        <v>5</v>
      </c>
    </row>
    <row r="479" spans="1:54" s="4" customFormat="1" ht="12.75" hidden="1" customHeight="1">
      <c r="A479" s="3"/>
      <c r="B479" s="3" t="s">
        <v>2075</v>
      </c>
      <c r="C479" s="3"/>
      <c r="E479" s="20"/>
      <c r="AE479" s="18"/>
      <c r="AF479" s="18"/>
      <c r="AG479" s="18"/>
      <c r="AH479" s="18"/>
      <c r="AI479" s="18"/>
      <c r="AJ479" s="18"/>
      <c r="AK479" s="18"/>
      <c r="AL479" s="18"/>
      <c r="AN479" s="243"/>
      <c r="AO479" s="4" t="s">
        <v>2057</v>
      </c>
      <c r="AP479" s="4">
        <v>5</v>
      </c>
      <c r="AQ479" s="3"/>
      <c r="AR479" s="3"/>
      <c r="AS479" s="285"/>
      <c r="AW479" s="285"/>
    </row>
    <row r="480" spans="1:54" s="4" customFormat="1" ht="12.75" hidden="1" customHeight="1">
      <c r="A480" s="3"/>
      <c r="B480" s="3" t="s">
        <v>2076</v>
      </c>
      <c r="C480" s="3"/>
      <c r="E480" s="20"/>
      <c r="AE480" s="18"/>
      <c r="AF480" s="18"/>
      <c r="AG480" s="18"/>
      <c r="AH480" s="18"/>
      <c r="AI480" s="18"/>
      <c r="AJ480" s="18"/>
      <c r="AK480" s="18"/>
      <c r="AL480" s="18"/>
      <c r="AN480" s="243"/>
      <c r="AO480" s="4" t="s">
        <v>2058</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2059</v>
      </c>
      <c r="AP481" s="4">
        <v>5</v>
      </c>
      <c r="AQ481" s="3"/>
      <c r="AR481" s="3"/>
      <c r="AW481" s="99"/>
    </row>
    <row r="482" spans="1:50" s="4" customFormat="1" ht="12.75" hidden="1" customHeight="1">
      <c r="A482" s="3"/>
      <c r="C482" s="160" t="s">
        <v>2077</v>
      </c>
      <c r="D482"/>
      <c r="AE482" s="18"/>
      <c r="AF482" s="18"/>
      <c r="AG482" s="20"/>
      <c r="AH482" s="20"/>
      <c r="AI482" s="20"/>
      <c r="AJ482" s="20"/>
      <c r="AK482" s="20"/>
      <c r="AL482" s="20"/>
      <c r="AN482" s="243"/>
      <c r="AO482" s="4" t="s">
        <v>2060</v>
      </c>
      <c r="AP482" s="4">
        <v>5</v>
      </c>
      <c r="AW482" s="99"/>
    </row>
    <row r="483" spans="1:50" s="4" customFormat="1" ht="12.75" hidden="1" customHeight="1">
      <c r="A483" s="3"/>
      <c r="C483" s="1609" t="s">
        <v>325</v>
      </c>
      <c r="D483" s="1610"/>
      <c r="E483" s="641" t="s">
        <v>45</v>
      </c>
      <c r="F483" s="1611" t="s">
        <v>2078</v>
      </c>
      <c r="G483" s="1611"/>
      <c r="H483" s="1611"/>
      <c r="I483" s="1611"/>
      <c r="J483" s="1611"/>
      <c r="K483" s="1611"/>
      <c r="L483" s="1611"/>
      <c r="M483" s="1611"/>
      <c r="N483" s="1611"/>
      <c r="O483" s="1611"/>
      <c r="P483" s="1611"/>
      <c r="Q483" s="1611"/>
      <c r="R483" s="1611"/>
      <c r="S483" s="1611"/>
      <c r="T483" s="1611"/>
      <c r="U483" s="1611"/>
      <c r="V483" s="1611"/>
      <c r="W483" s="1611"/>
      <c r="X483" s="1611"/>
      <c r="Y483" s="1611"/>
      <c r="Z483" s="1611"/>
      <c r="AA483" s="1611"/>
      <c r="AB483" s="1611"/>
      <c r="AC483" s="1611"/>
      <c r="AD483" s="1611"/>
      <c r="AE483" s="1611"/>
      <c r="AF483" s="596"/>
      <c r="AG483" s="596"/>
      <c r="AH483" s="596"/>
      <c r="AI483" s="596"/>
      <c r="AJ483" s="596"/>
      <c r="AK483" s="618"/>
      <c r="AN483" s="243"/>
      <c r="AO483" s="4" t="s">
        <v>2079</v>
      </c>
      <c r="AP483" s="4">
        <v>5</v>
      </c>
      <c r="AS483" s="288"/>
      <c r="AT483" s="27"/>
      <c r="AW483" s="99"/>
      <c r="AX483" s="32"/>
    </row>
    <row r="484" spans="1:50" s="4" customFormat="1" ht="12.75" hidden="1" customHeight="1">
      <c r="C484" s="620"/>
      <c r="E484" s="121"/>
      <c r="F484" s="1612"/>
      <c r="G484" s="1612"/>
      <c r="H484" s="1612"/>
      <c r="I484" s="1612"/>
      <c r="J484" s="1612"/>
      <c r="K484" s="1612"/>
      <c r="L484" s="1612"/>
      <c r="M484" s="1612"/>
      <c r="N484" s="1612"/>
      <c r="O484" s="1612"/>
      <c r="P484" s="1612"/>
      <c r="Q484" s="1612"/>
      <c r="R484" s="1612"/>
      <c r="S484" s="1612"/>
      <c r="T484" s="1612"/>
      <c r="U484" s="1612"/>
      <c r="V484" s="1612"/>
      <c r="W484" s="1612"/>
      <c r="X484" s="1612"/>
      <c r="Y484" s="1612"/>
      <c r="Z484" s="1612"/>
      <c r="AA484" s="1612"/>
      <c r="AB484" s="1612"/>
      <c r="AC484" s="1612"/>
      <c r="AD484" s="1612"/>
      <c r="AE484" s="1612"/>
      <c r="AG484" s="19"/>
      <c r="AH484" s="19"/>
      <c r="AI484" s="19"/>
      <c r="AJ484" s="19"/>
      <c r="AK484" s="603"/>
      <c r="AN484" s="243"/>
      <c r="AO484" s="4" t="s">
        <v>2064</v>
      </c>
      <c r="AP484" s="4">
        <v>1</v>
      </c>
    </row>
    <row r="485" spans="1:50" s="4" customFormat="1" ht="12.75" hidden="1" customHeight="1">
      <c r="C485" s="621"/>
      <c r="D485" s="611"/>
      <c r="E485" s="622"/>
      <c r="F485" s="1394" t="s">
        <v>325</v>
      </c>
      <c r="G485" s="1394"/>
      <c r="H485" s="1394"/>
      <c r="I485" s="1394"/>
      <c r="J485" s="1394"/>
      <c r="K485" s="1394"/>
      <c r="L485" s="1394"/>
      <c r="M485" s="1394"/>
      <c r="N485" s="1394"/>
      <c r="O485" s="1394"/>
      <c r="P485" s="1394"/>
      <c r="Q485" s="1394"/>
      <c r="R485" s="1394"/>
      <c r="S485" s="1394"/>
      <c r="T485" s="1394"/>
      <c r="U485" s="1394"/>
      <c r="V485" s="1394"/>
      <c r="W485" s="1394"/>
      <c r="X485" s="1394"/>
      <c r="Y485" s="1394"/>
      <c r="Z485" s="1394"/>
      <c r="AA485" s="623"/>
      <c r="AB485" s="624"/>
      <c r="AC485" s="624"/>
      <c r="AD485" s="611"/>
      <c r="AE485" s="611"/>
      <c r="AF485" s="611"/>
      <c r="AG485" s="625">
        <f>IF($C$483="Yes",(VLOOKUP($F$485,$AO$456:$AP$464,2,FALSE)),0)</f>
        <v>0</v>
      </c>
      <c r="AH485" s="626" t="s">
        <v>2080</v>
      </c>
      <c r="AI485" s="625"/>
      <c r="AJ485" s="625"/>
      <c r="AK485" s="612"/>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606" t="s">
        <v>708</v>
      </c>
      <c r="D487" s="1607"/>
      <c r="E487" s="641" t="s">
        <v>47</v>
      </c>
      <c r="F487" s="627" t="s">
        <v>2081</v>
      </c>
      <c r="G487" s="628"/>
      <c r="H487" s="628"/>
      <c r="I487" s="628"/>
      <c r="J487" s="628"/>
      <c r="K487" s="628"/>
      <c r="L487" s="628"/>
      <c r="M487" s="628"/>
      <c r="N487" s="628"/>
      <c r="O487" s="628"/>
      <c r="P487" s="628"/>
      <c r="Q487" s="628"/>
      <c r="R487" s="628"/>
      <c r="S487" s="628"/>
      <c r="T487" s="628"/>
      <c r="U487" s="628"/>
      <c r="V487" s="628"/>
      <c r="W487" s="628"/>
      <c r="X487" s="628"/>
      <c r="Y487" s="628"/>
      <c r="Z487" s="628"/>
      <c r="AA487" s="628"/>
      <c r="AB487" s="628"/>
      <c r="AC487" s="628"/>
      <c r="AD487" s="596"/>
      <c r="AE487" s="596"/>
      <c r="AF487" s="596"/>
      <c r="AG487" s="628"/>
      <c r="AH487" s="628"/>
      <c r="AI487" s="628"/>
      <c r="AJ487" s="628"/>
      <c r="AK487" s="618"/>
      <c r="AN487" s="243"/>
      <c r="AO487" s="288">
        <v>0.15</v>
      </c>
      <c r="AP487" s="32">
        <v>3</v>
      </c>
    </row>
    <row r="488" spans="1:50" s="4" customFormat="1" ht="12.75" hidden="1" customHeight="1">
      <c r="C488" s="629" t="s">
        <v>2082</v>
      </c>
      <c r="F488" s="218" t="s">
        <v>2083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3"/>
      <c r="AN488" s="243"/>
      <c r="AO488" s="288">
        <v>0.2</v>
      </c>
      <c r="AP488" s="32">
        <v>5</v>
      </c>
    </row>
    <row r="489" spans="1:50" s="4" customFormat="1" ht="12.75" hidden="1" customHeight="1">
      <c r="C489" s="619"/>
      <c r="D489" s="1"/>
      <c r="E489" s="166"/>
      <c r="F489" s="218" t="s">
        <v>2084</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69"/>
      <c r="AD489" s="74"/>
      <c r="AE489" s="74"/>
      <c r="AF489" s="74"/>
      <c r="AG489" s="223"/>
      <c r="AH489" s="84"/>
      <c r="AI489" s="84"/>
      <c r="AJ489" s="84"/>
      <c r="AK489" s="603"/>
      <c r="AN489" s="254"/>
      <c r="AO489" s="288"/>
      <c r="AP489" s="27"/>
    </row>
    <row r="490" spans="1:50" s="20" customFormat="1" ht="12.75" hidden="1" customHeight="1">
      <c r="A490" s="32"/>
      <c r="B490" s="4"/>
      <c r="C490" s="620"/>
      <c r="D490" s="4"/>
      <c r="E490" s="121"/>
      <c r="F490" s="630" t="s">
        <v>2085</v>
      </c>
      <c r="G490" s="4"/>
      <c r="H490" s="4"/>
      <c r="I490" s="218"/>
      <c r="J490" s="218"/>
      <c r="K490" s="218"/>
      <c r="L490" s="218"/>
      <c r="M490" s="218"/>
      <c r="N490" s="218"/>
      <c r="O490" s="218"/>
      <c r="P490" s="218"/>
      <c r="Q490" s="218"/>
      <c r="R490" s="218"/>
      <c r="S490" s="218"/>
      <c r="T490" s="218"/>
      <c r="U490" s="218"/>
      <c r="V490" s="1586" t="s">
        <v>325</v>
      </c>
      <c r="W490" s="1586"/>
      <c r="X490" s="1586"/>
      <c r="Y490" s="218"/>
      <c r="Z490" s="218"/>
      <c r="AA490" s="218"/>
      <c r="AB490" s="218"/>
      <c r="AC490" s="218"/>
      <c r="AD490" s="74"/>
      <c r="AE490" s="74"/>
      <c r="AF490" s="74"/>
      <c r="AG490" s="84">
        <f>IF(AND($C$487="Yes",$V$492="N/A",$V$497="N/A",$V$501="N/A",$V$503="N/A"),(VLOOKUP(V490,$AR$466:$AS$468,2,FALSE)),0)</f>
        <v>0</v>
      </c>
      <c r="AH490" s="107" t="s">
        <v>2080</v>
      </c>
      <c r="AI490" s="19"/>
      <c r="AJ490" s="19"/>
      <c r="AK490" s="603"/>
      <c r="AL490" s="4"/>
      <c r="AM490" s="4"/>
      <c r="AN490" s="243"/>
    </row>
    <row r="491" spans="1:50" s="20" customFormat="1" ht="12.75" hidden="1" customHeight="1">
      <c r="A491" s="32"/>
      <c r="B491" s="4"/>
      <c r="C491" s="620"/>
      <c r="D491" s="4"/>
      <c r="E491" s="121"/>
      <c r="F491" s="630"/>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3"/>
      <c r="AL491" s="4"/>
      <c r="AM491" s="4"/>
      <c r="AN491" s="243"/>
    </row>
    <row r="492" spans="1:50" s="20" customFormat="1" ht="12.75" hidden="1" customHeight="1">
      <c r="A492" s="32"/>
      <c r="B492" s="4"/>
      <c r="C492" s="620"/>
      <c r="D492" s="4"/>
      <c r="E492" s="121"/>
      <c r="F492" s="630" t="s">
        <v>2086</v>
      </c>
      <c r="G492" s="4"/>
      <c r="H492" s="4"/>
      <c r="I492" s="218"/>
      <c r="J492" s="218"/>
      <c r="K492" s="218"/>
      <c r="L492" s="218"/>
      <c r="M492" s="218"/>
      <c r="N492" s="218"/>
      <c r="O492" s="218"/>
      <c r="P492" s="218"/>
      <c r="Q492" s="218"/>
      <c r="R492" s="218"/>
      <c r="S492" s="218"/>
      <c r="T492" s="218"/>
      <c r="U492" s="218"/>
      <c r="V492" s="1586" t="s">
        <v>325</v>
      </c>
      <c r="W492" s="1586"/>
      <c r="X492" s="1586"/>
      <c r="Y492" s="218"/>
      <c r="Z492" s="218"/>
      <c r="AA492" s="218"/>
      <c r="AB492" s="218"/>
      <c r="AC492" s="218"/>
      <c r="AD492" s="74"/>
      <c r="AE492" s="74"/>
      <c r="AF492" s="74"/>
      <c r="AG492" s="84">
        <f>IF(AND($C$487="Yes",$V$490="N/A", $V$497="N/A",$V$501="N/A",$V$503="N/A"),(VLOOKUP(V492,$AO$466:$AP$468,2,FALSE)),0)</f>
        <v>0</v>
      </c>
      <c r="AH492" s="107" t="s">
        <v>2080</v>
      </c>
      <c r="AI492" s="19"/>
      <c r="AJ492" s="19"/>
      <c r="AK492" s="603"/>
      <c r="AL492" s="4"/>
      <c r="AM492" s="4"/>
      <c r="AN492" s="243"/>
    </row>
    <row r="493" spans="1:50" s="4" customFormat="1" ht="12.75" hidden="1" customHeight="1">
      <c r="C493" s="620"/>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3"/>
      <c r="AN493" s="243"/>
      <c r="AO493" s="4" t="s">
        <v>325</v>
      </c>
      <c r="AP493" s="4">
        <v>0</v>
      </c>
    </row>
    <row r="494" spans="1:50" s="4" customFormat="1" ht="12.75" hidden="1" customHeight="1">
      <c r="C494" s="620"/>
      <c r="E494" s="121"/>
      <c r="F494" s="220" t="s">
        <v>2087</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3"/>
      <c r="AN494" s="243"/>
      <c r="AO494" s="4" t="s">
        <v>2088</v>
      </c>
      <c r="AP494" s="32">
        <v>2</v>
      </c>
    </row>
    <row r="495" spans="1:50" s="4" customFormat="1" ht="12.75" hidden="1" customHeight="1">
      <c r="C495" s="620"/>
      <c r="F495" s="74" t="s">
        <v>2089</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3"/>
      <c r="AN495" s="243"/>
      <c r="AO495" s="4" t="s">
        <v>2090</v>
      </c>
      <c r="AP495" s="4">
        <v>2</v>
      </c>
    </row>
    <row r="496" spans="1:50" s="20" customFormat="1" ht="12.75" hidden="1" customHeight="1">
      <c r="A496" s="4"/>
      <c r="B496" s="4"/>
      <c r="C496" s="605"/>
      <c r="D496"/>
      <c r="E496"/>
      <c r="F496" s="74" t="s">
        <v>2091</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3"/>
      <c r="AL496" s="4"/>
      <c r="AM496" s="4"/>
      <c r="AN496" s="254"/>
      <c r="AO496" s="4" t="s">
        <v>2092</v>
      </c>
      <c r="AP496" s="4">
        <v>2</v>
      </c>
    </row>
    <row r="497" spans="1:147" s="4" customFormat="1" ht="12.75" hidden="1" customHeight="1">
      <c r="C497" s="631"/>
      <c r="F497" s="630" t="s">
        <v>2093</v>
      </c>
      <c r="M497" s="121"/>
      <c r="N497" s="121"/>
      <c r="O497" s="121"/>
      <c r="P497" s="121"/>
      <c r="Q497" s="19"/>
      <c r="R497" s="19"/>
      <c r="S497" s="19"/>
      <c r="T497" s="19"/>
      <c r="U497" s="19"/>
      <c r="V497" s="1586" t="s">
        <v>325</v>
      </c>
      <c r="W497" s="1586"/>
      <c r="X497" s="1586"/>
      <c r="Y497" s="19"/>
      <c r="Z497" s="19"/>
      <c r="AA497" s="19"/>
      <c r="AB497" s="19"/>
      <c r="AC497" s="19"/>
      <c r="AG497" s="84">
        <f>IF(AND($C$487="Yes",$V$490="N/A",$V$492="N/A", $V$501="N/A",$V$503="N/A"),(VLOOKUP($V$497,$AO$470:$AP$472,2,FALSE)),0)</f>
        <v>0</v>
      </c>
      <c r="AH497" s="107" t="s">
        <v>2080</v>
      </c>
      <c r="AI497" s="19"/>
      <c r="AJ497" s="19"/>
      <c r="AK497" s="603"/>
      <c r="AN497" s="902"/>
    </row>
    <row r="498" spans="1:147" s="4" customFormat="1" ht="12.75" hidden="1" customHeight="1">
      <c r="C498" s="620"/>
      <c r="M498" s="121"/>
      <c r="N498" s="121"/>
      <c r="O498" s="121"/>
      <c r="P498" s="121"/>
      <c r="Q498" s="19"/>
      <c r="R498" s="19"/>
      <c r="S498" s="19"/>
      <c r="T498" s="19"/>
      <c r="U498" s="19"/>
      <c r="V498" s="19"/>
      <c r="W498" s="19"/>
      <c r="X498" s="19"/>
      <c r="Y498" s="19"/>
      <c r="Z498" s="19"/>
      <c r="AA498" s="19"/>
      <c r="AB498" s="19"/>
      <c r="AC498" s="19"/>
      <c r="AJ498" s="19"/>
      <c r="AK498" s="603"/>
      <c r="AN498" s="575"/>
    </row>
    <row r="499" spans="1:147" s="20" customFormat="1" ht="12.75" hidden="1" customHeight="1">
      <c r="A499" s="4"/>
      <c r="B499" s="4"/>
      <c r="C499" s="634" t="s">
        <v>2094</v>
      </c>
      <c r="D499" s="596"/>
      <c r="E499" s="596"/>
      <c r="F499" s="635" t="s">
        <v>2095</v>
      </c>
      <c r="G499" s="596"/>
      <c r="H499" s="596"/>
      <c r="I499" s="596"/>
      <c r="J499" s="596"/>
      <c r="K499" s="596"/>
      <c r="L499" s="596"/>
      <c r="M499" s="596"/>
      <c r="N499" s="596"/>
      <c r="O499" s="596"/>
      <c r="P499" s="596"/>
      <c r="Q499" s="596"/>
      <c r="R499" s="596"/>
      <c r="S499" s="596"/>
      <c r="T499" s="596"/>
      <c r="U499" s="596"/>
      <c r="V499" s="596"/>
      <c r="W499" s="596"/>
      <c r="X499" s="596"/>
      <c r="Y499" s="596"/>
      <c r="Z499" s="596"/>
      <c r="AA499" s="596"/>
      <c r="AB499" s="596"/>
      <c r="AC499" s="596"/>
      <c r="AD499" s="596"/>
      <c r="AE499" s="596"/>
      <c r="AF499" s="596"/>
      <c r="AG499" s="596"/>
      <c r="AH499" s="596"/>
      <c r="AI499" s="596"/>
      <c r="AJ499" s="596"/>
      <c r="AK499" s="618"/>
      <c r="AL499" s="4"/>
      <c r="AM499" s="4"/>
      <c r="AN499" s="570"/>
      <c r="AO499" s="4" t="s">
        <v>325</v>
      </c>
      <c r="AP499" s="4">
        <v>0</v>
      </c>
      <c r="AQ499" s="3"/>
    </row>
    <row r="500" spans="1:147" s="20" customFormat="1" ht="12.75" hidden="1" customHeight="1">
      <c r="A500" s="4"/>
      <c r="B500" s="4"/>
      <c r="C500" s="632"/>
      <c r="D500" s="1356"/>
      <c r="E500" s="1356"/>
      <c r="F500" s="218" t="s">
        <v>2096</v>
      </c>
      <c r="I500" s="4"/>
      <c r="J500" s="4"/>
      <c r="K500" s="4"/>
      <c r="L500" s="4"/>
      <c r="M500" s="4"/>
      <c r="N500" s="4"/>
      <c r="O500" s="4"/>
      <c r="P500" s="4"/>
      <c r="Q500" s="4"/>
      <c r="R500" s="4"/>
      <c r="S500" s="4"/>
      <c r="T500" s="4"/>
      <c r="U500" s="4"/>
      <c r="Y500" s="4"/>
      <c r="Z500" s="4"/>
      <c r="AA500" s="4"/>
      <c r="AB500" s="4"/>
      <c r="AC500" s="4"/>
      <c r="AD500" s="4"/>
      <c r="AE500" s="4"/>
      <c r="AF500" s="4"/>
      <c r="AK500" s="603"/>
      <c r="AL500" s="4"/>
      <c r="AM500" s="4"/>
      <c r="AN500" s="570"/>
      <c r="AO500" s="4" t="s">
        <v>2097</v>
      </c>
      <c r="AP500" s="32">
        <v>5</v>
      </c>
      <c r="AQ500" s="3"/>
    </row>
    <row r="501" spans="1:147" customFormat="1" ht="12.75" hidden="1" customHeight="1">
      <c r="A501" s="99"/>
      <c r="B501" s="4"/>
      <c r="C501" s="620"/>
      <c r="D501" s="4"/>
      <c r="E501" s="4"/>
      <c r="F501" s="470" t="s">
        <v>2085</v>
      </c>
      <c r="G501" s="4"/>
      <c r="H501" s="4"/>
      <c r="I501" s="4"/>
      <c r="J501" s="4"/>
      <c r="K501" s="4"/>
      <c r="L501" s="4"/>
      <c r="M501" s="4"/>
      <c r="N501" s="4"/>
      <c r="O501" s="4"/>
      <c r="P501" s="4"/>
      <c r="Q501" s="4"/>
      <c r="R501" s="4"/>
      <c r="S501" s="4"/>
      <c r="T501" s="4"/>
      <c r="U501" s="4"/>
      <c r="V501" s="1586" t="s">
        <v>325</v>
      </c>
      <c r="W501" s="1586"/>
      <c r="X501" s="1586"/>
      <c r="Y501" s="4"/>
      <c r="Z501" s="4"/>
      <c r="AA501" s="4"/>
      <c r="AB501" s="4"/>
      <c r="AC501" s="4"/>
      <c r="AD501" s="4"/>
      <c r="AE501" s="4"/>
      <c r="AF501" s="4"/>
      <c r="AG501" s="84">
        <f>IF(AND($C$487="Yes",$V$490="N/A",V492="N/A",$V$497="N/A",$V$503="N/A"),(VLOOKUP($V$501,$AW$466:$AX$469,2,FALSE)),0)</f>
        <v>0</v>
      </c>
      <c r="AH501" s="107" t="s">
        <v>2080</v>
      </c>
      <c r="AI501" s="19"/>
      <c r="AJ501" s="4"/>
      <c r="AK501" s="603"/>
      <c r="AL501" s="4"/>
      <c r="AM501" s="4"/>
      <c r="AN501" s="175"/>
      <c r="AO501" s="4" t="s">
        <v>2098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0"/>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3"/>
      <c r="AL502" s="4"/>
      <c r="AM502" s="4"/>
      <c r="AN502" s="175"/>
      <c r="AO502" s="4" t="s">
        <v>2099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1"/>
      <c r="D503" s="611"/>
      <c r="E503" s="611"/>
      <c r="F503" s="630" t="s">
        <v>2086</v>
      </c>
      <c r="G503" s="623"/>
      <c r="H503" s="623"/>
      <c r="I503" s="611"/>
      <c r="J503" s="611"/>
      <c r="K503" s="611"/>
      <c r="L503" s="611"/>
      <c r="M503" s="611"/>
      <c r="N503" s="611"/>
      <c r="O503" s="611"/>
      <c r="P503" s="611"/>
      <c r="Q503" s="611"/>
      <c r="R503" s="611"/>
      <c r="S503" s="611"/>
      <c r="T503" s="611"/>
      <c r="U503" s="611"/>
      <c r="V503" s="1586" t="s">
        <v>325</v>
      </c>
      <c r="W503" s="1586"/>
      <c r="X503" s="1586"/>
      <c r="Y503" s="611"/>
      <c r="Z503" s="611"/>
      <c r="AA503" s="611"/>
      <c r="AB503" s="611"/>
      <c r="AC503" s="611"/>
      <c r="AD503" s="611"/>
      <c r="AE503" s="611"/>
      <c r="AF503" s="611"/>
      <c r="AG503" s="633">
        <f>IF(AND($C$487="Yes",$V$490="N/A",$V$492="N/A",$V$497="N/A",$V$501="N/A"),(VLOOKUP($V$503,$BA$466:$BB$468,2,FALSE)),0)</f>
        <v>0</v>
      </c>
      <c r="AH503" s="626" t="s">
        <v>2080</v>
      </c>
      <c r="AI503" s="611"/>
      <c r="AJ503" s="611"/>
      <c r="AK503" s="612"/>
      <c r="AL503" s="4"/>
      <c r="AM503" s="4"/>
      <c r="AN503" s="5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6"/>
      <c r="AO504" s="227"/>
      <c r="AP504" s="4"/>
      <c r="AQ504" s="4"/>
      <c r="AR504" s="4"/>
      <c r="AS504" s="4"/>
      <c r="AT504" s="4"/>
      <c r="AU504" s="1765" t="s">
        <v>2100</v>
      </c>
      <c r="AV504" s="1766"/>
      <c r="AW504" s="1766"/>
      <c r="AX504" s="1766"/>
      <c r="AY504" s="1766"/>
      <c r="AZ504" s="1766"/>
      <c r="BA504" s="1766"/>
      <c r="BB504" s="20"/>
      <c r="BC504" s="20"/>
      <c r="BE504" s="4"/>
      <c r="BF504" s="4"/>
      <c r="BG504" s="4"/>
      <c r="BH504" s="4"/>
      <c r="BI504" s="4"/>
      <c r="BJ504" s="1704" t="s">
        <v>2101</v>
      </c>
      <c r="BK504" s="1705"/>
      <c r="BL504" s="1705"/>
      <c r="BM504" s="1705"/>
      <c r="BN504" s="1705"/>
      <c r="BO504" s="1705"/>
      <c r="BP504" s="1705"/>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2102</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6"/>
      <c r="AO505" s="227"/>
      <c r="AP505" s="4"/>
      <c r="AQ505" s="4"/>
      <c r="AR505" s="4"/>
      <c r="AS505" s="4"/>
      <c r="AT505" s="4"/>
      <c r="AU505" s="1765"/>
      <c r="AV505" s="1766"/>
      <c r="AW505" s="1766"/>
      <c r="AX505" s="1766"/>
      <c r="AY505" s="1766"/>
      <c r="AZ505" s="1766"/>
      <c r="BA505" s="1766"/>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99"/>
      <c r="B506" s="4"/>
      <c r="C506" s="1609" t="s">
        <v>325</v>
      </c>
      <c r="D506" s="1610"/>
      <c r="E506" s="641" t="s">
        <v>45</v>
      </c>
      <c r="F506" s="1611" t="s">
        <v>2078</v>
      </c>
      <c r="G506" s="1611"/>
      <c r="H506" s="1611"/>
      <c r="I506" s="1611"/>
      <c r="J506" s="1611"/>
      <c r="K506" s="1611"/>
      <c r="L506" s="1611"/>
      <c r="M506" s="1611"/>
      <c r="N506" s="1611"/>
      <c r="O506" s="1611"/>
      <c r="P506" s="1611"/>
      <c r="Q506" s="1611"/>
      <c r="R506" s="1611"/>
      <c r="S506" s="1611"/>
      <c r="T506" s="1611"/>
      <c r="U506" s="1611"/>
      <c r="V506" s="1611"/>
      <c r="W506" s="1611"/>
      <c r="X506" s="1611"/>
      <c r="Y506" s="1611"/>
      <c r="Z506" s="1611"/>
      <c r="AA506" s="1611"/>
      <c r="AB506" s="1611"/>
      <c r="AC506" s="1611"/>
      <c r="AD506" s="1611"/>
      <c r="AE506" s="1611"/>
      <c r="AF506" s="596"/>
      <c r="AG506" s="636"/>
      <c r="AH506" s="636"/>
      <c r="AI506" s="636"/>
      <c r="AJ506" s="636"/>
      <c r="AK506" s="618"/>
      <c r="AL506" s="4"/>
      <c r="AM506" s="4"/>
      <c r="AN506" s="569"/>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0"/>
      <c r="D507" s="4"/>
      <c r="E507" s="121"/>
      <c r="F507" s="1612"/>
      <c r="G507" s="1612"/>
      <c r="H507" s="1612"/>
      <c r="I507" s="1612"/>
      <c r="J507" s="1612"/>
      <c r="K507" s="1612"/>
      <c r="L507" s="1612"/>
      <c r="M507" s="1612"/>
      <c r="N507" s="1612"/>
      <c r="O507" s="1612"/>
      <c r="P507" s="1612"/>
      <c r="Q507" s="1612"/>
      <c r="R507" s="1612"/>
      <c r="S507" s="1612"/>
      <c r="T507" s="1612"/>
      <c r="U507" s="1612"/>
      <c r="V507" s="1612"/>
      <c r="W507" s="1612"/>
      <c r="X507" s="1612"/>
      <c r="Y507" s="1612"/>
      <c r="Z507" s="1612"/>
      <c r="AA507" s="1612"/>
      <c r="AB507" s="1612"/>
      <c r="AC507" s="1612"/>
      <c r="AD507" s="1612"/>
      <c r="AE507" s="1612"/>
      <c r="AF507" s="4"/>
      <c r="AG507" s="19"/>
      <c r="AH507" s="19"/>
      <c r="AI507" s="19"/>
      <c r="AJ507" s="19"/>
      <c r="AK507" s="603"/>
      <c r="AL507" s="4"/>
      <c r="AM507" s="4"/>
      <c r="AN507" s="569"/>
      <c r="AO507" s="34"/>
      <c r="AP507" s="1224" t="s">
        <v>2103</v>
      </c>
      <c r="AQ507" s="1225"/>
      <c r="AR507" s="1226"/>
      <c r="AS507" s="529">
        <v>80</v>
      </c>
      <c r="AT507" s="4">
        <v>0</v>
      </c>
      <c r="AU507" s="138">
        <v>10</v>
      </c>
      <c r="AV507" s="138">
        <v>25</v>
      </c>
      <c r="AW507" s="138">
        <v>37.5</v>
      </c>
      <c r="AX507" s="138">
        <v>35</v>
      </c>
      <c r="AY507" s="138">
        <v>37.5</v>
      </c>
      <c r="AZ507" s="138">
        <v>50</v>
      </c>
      <c r="BA507" s="138">
        <v>50</v>
      </c>
      <c r="BB507" s="21"/>
      <c r="BC507" s="21"/>
      <c r="BE507" s="1224" t="s">
        <v>2103</v>
      </c>
      <c r="BF507" s="1225"/>
      <c r="BG507" s="1226"/>
      <c r="BH507" s="529">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1"/>
      <c r="D508" s="611"/>
      <c r="E508" s="622"/>
      <c r="F508" s="1587" t="s">
        <v>325</v>
      </c>
      <c r="G508" s="1587"/>
      <c r="H508" s="1587"/>
      <c r="I508" s="1587"/>
      <c r="J508" s="1587"/>
      <c r="K508" s="1587"/>
      <c r="L508" s="1587"/>
      <c r="M508" s="1587"/>
      <c r="N508" s="1587"/>
      <c r="O508" s="1587"/>
      <c r="P508" s="1587"/>
      <c r="Q508" s="1587"/>
      <c r="R508" s="1587"/>
      <c r="S508" s="1587"/>
      <c r="T508" s="1587"/>
      <c r="U508" s="1587"/>
      <c r="V508" s="1587"/>
      <c r="W508" s="1587"/>
      <c r="X508" s="1587"/>
      <c r="Y508" s="1587"/>
      <c r="Z508" s="1587"/>
      <c r="AA508" s="623"/>
      <c r="AB508" s="624"/>
      <c r="AC508" s="624"/>
      <c r="AD508" s="611"/>
      <c r="AE508" s="611"/>
      <c r="AF508" s="611"/>
      <c r="AG508" s="625">
        <f>IF($C$506="Yes",(VLOOKUP($F$508,$AO$476:$AP$484,2,FALSE)),0)</f>
        <v>0</v>
      </c>
      <c r="AH508" s="626" t="s">
        <v>2080</v>
      </c>
      <c r="AI508" s="625"/>
      <c r="AJ508" s="624"/>
      <c r="AK508" s="612"/>
      <c r="AL508" s="4"/>
      <c r="AM508" s="4"/>
      <c r="AN508" s="569"/>
      <c r="AO508" s="34"/>
      <c r="AP508" s="1227"/>
      <c r="AQ508" s="1228"/>
      <c r="AR508" s="1229"/>
      <c r="AS508" s="529">
        <v>75</v>
      </c>
      <c r="AT508" s="4">
        <v>0</v>
      </c>
      <c r="AU508" s="138">
        <v>10</v>
      </c>
      <c r="AV508" s="138">
        <v>25</v>
      </c>
      <c r="AW508" s="138">
        <v>37.5</v>
      </c>
      <c r="AX508" s="138">
        <v>35</v>
      </c>
      <c r="AY508" s="138">
        <v>37.5</v>
      </c>
      <c r="AZ508" s="138">
        <v>50</v>
      </c>
      <c r="BA508" s="138">
        <v>50</v>
      </c>
      <c r="BB508" s="21"/>
      <c r="BC508" s="21"/>
      <c r="BE508" s="1227"/>
      <c r="BF508" s="1228"/>
      <c r="BG508" s="1229"/>
      <c r="BH508" s="529">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69"/>
      <c r="AO509" s="34"/>
      <c r="AP509" s="1227"/>
      <c r="AQ509" s="1228"/>
      <c r="AR509" s="1229"/>
      <c r="AS509" s="529">
        <v>70</v>
      </c>
      <c r="AT509" s="4">
        <v>0</v>
      </c>
      <c r="AU509" s="138">
        <v>10</v>
      </c>
      <c r="AV509" s="138">
        <v>25</v>
      </c>
      <c r="AW509" s="138">
        <v>37.5</v>
      </c>
      <c r="AX509" s="138">
        <v>35</v>
      </c>
      <c r="AY509" s="138">
        <v>37.5</v>
      </c>
      <c r="AZ509" s="138">
        <v>50</v>
      </c>
      <c r="BA509" s="138">
        <v>50</v>
      </c>
      <c r="BB509" s="21"/>
      <c r="BC509" s="21"/>
      <c r="BE509" s="1227"/>
      <c r="BF509" s="1228"/>
      <c r="BG509" s="1229"/>
      <c r="BH509" s="529">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09" t="s">
        <v>325</v>
      </c>
      <c r="D510" s="1610"/>
      <c r="E510" s="641" t="s">
        <v>47</v>
      </c>
      <c r="F510" s="1613" t="s">
        <v>2104</v>
      </c>
      <c r="G510" s="1613"/>
      <c r="H510" s="1613"/>
      <c r="I510" s="1613"/>
      <c r="J510" s="1613"/>
      <c r="K510" s="1613"/>
      <c r="L510" s="1613"/>
      <c r="M510" s="1613"/>
      <c r="N510" s="1613"/>
      <c r="O510" s="1613"/>
      <c r="P510" s="1613"/>
      <c r="Q510" s="1613"/>
      <c r="R510" s="1613"/>
      <c r="S510" s="1613"/>
      <c r="T510" s="1613"/>
      <c r="U510" s="1613"/>
      <c r="V510" s="1613"/>
      <c r="W510" s="1613"/>
      <c r="X510" s="1613"/>
      <c r="Y510" s="1613"/>
      <c r="Z510" s="1613"/>
      <c r="AA510" s="1613"/>
      <c r="AB510" s="1613"/>
      <c r="AC510" s="1613"/>
      <c r="AD510" s="1613"/>
      <c r="AE510" s="1613"/>
      <c r="AF510" s="596"/>
      <c r="AG510" s="628"/>
      <c r="AH510" s="628"/>
      <c r="AI510" s="628"/>
      <c r="AJ510" s="628"/>
      <c r="AK510" s="618"/>
      <c r="AL510" s="4"/>
      <c r="AM510" s="4"/>
      <c r="AN510" s="569"/>
      <c r="AO510" s="34"/>
      <c r="AP510" s="1227"/>
      <c r="AQ510" s="1228"/>
      <c r="AR510" s="1229"/>
      <c r="AS510" s="529">
        <v>65</v>
      </c>
      <c r="AT510" s="4">
        <v>0</v>
      </c>
      <c r="AU510" s="138">
        <v>10</v>
      </c>
      <c r="AV510" s="138">
        <v>25</v>
      </c>
      <c r="AW510" s="138">
        <v>37.5</v>
      </c>
      <c r="AX510" s="138">
        <v>35</v>
      </c>
      <c r="AY510" s="138">
        <v>37.5</v>
      </c>
      <c r="AZ510" s="138">
        <v>50</v>
      </c>
      <c r="BA510" s="138">
        <v>50</v>
      </c>
      <c r="BB510" s="21"/>
      <c r="BC510" s="21"/>
      <c r="BE510" s="1227"/>
      <c r="BF510" s="1228"/>
      <c r="BG510" s="1229"/>
      <c r="BH510" s="529">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0"/>
      <c r="D511" s="4"/>
      <c r="E511" s="121"/>
      <c r="F511" s="1614"/>
      <c r="G511" s="1614"/>
      <c r="H511" s="1614"/>
      <c r="I511" s="1614"/>
      <c r="J511" s="1614"/>
      <c r="K511" s="1614"/>
      <c r="L511" s="1614"/>
      <c r="M511" s="1614"/>
      <c r="N511" s="1614"/>
      <c r="O511" s="1614"/>
      <c r="P511" s="1614"/>
      <c r="Q511" s="1614"/>
      <c r="R511" s="1614"/>
      <c r="S511" s="1614"/>
      <c r="T511" s="1614"/>
      <c r="U511" s="1614"/>
      <c r="V511" s="1614"/>
      <c r="W511" s="1614"/>
      <c r="X511" s="1614"/>
      <c r="Y511" s="1614"/>
      <c r="Z511" s="1614"/>
      <c r="AA511" s="1614"/>
      <c r="AB511" s="1614"/>
      <c r="AC511" s="1614"/>
      <c r="AD511" s="1614"/>
      <c r="AE511" s="1614"/>
      <c r="AF511" s="4"/>
      <c r="AG511" s="19"/>
      <c r="AH511" s="19"/>
      <c r="AI511" s="19"/>
      <c r="AJ511" s="19"/>
      <c r="AK511" s="603"/>
      <c r="AL511" s="4"/>
      <c r="AM511" s="4"/>
      <c r="AN511" s="569"/>
      <c r="AO511" s="34"/>
      <c r="AP511" s="1227"/>
      <c r="AQ511" s="1228"/>
      <c r="AR511" s="1229"/>
      <c r="AS511" s="529">
        <v>60</v>
      </c>
      <c r="AT511" s="4">
        <v>0</v>
      </c>
      <c r="AU511" s="138">
        <v>10</v>
      </c>
      <c r="AV511" s="138">
        <v>25</v>
      </c>
      <c r="AW511" s="138">
        <v>37.5</v>
      </c>
      <c r="AX511" s="138">
        <v>35</v>
      </c>
      <c r="AY511" s="138">
        <v>37.5</v>
      </c>
      <c r="AZ511" s="138">
        <v>50</v>
      </c>
      <c r="BA511" s="138">
        <v>50</v>
      </c>
      <c r="BB511" s="21"/>
      <c r="BC511" s="21"/>
      <c r="BE511" s="1227"/>
      <c r="BF511" s="1228"/>
      <c r="BG511" s="1229"/>
      <c r="BH511" s="529">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5"/>
      <c r="D512" s="4"/>
      <c r="E512" s="4"/>
      <c r="F512" s="470" t="s">
        <v>2105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3"/>
      <c r="AL512" s="4"/>
      <c r="AM512" s="4"/>
      <c r="AN512" s="569"/>
      <c r="AP512" s="1227"/>
      <c r="AQ512" s="1228"/>
      <c r="AR512" s="1229"/>
      <c r="AS512" s="529">
        <v>55</v>
      </c>
      <c r="AT512" s="4">
        <v>0</v>
      </c>
      <c r="AU512" s="138">
        <v>10</v>
      </c>
      <c r="AV512" s="138">
        <v>25</v>
      </c>
      <c r="AW512" s="138">
        <v>37.5</v>
      </c>
      <c r="AX512" s="138">
        <v>35</v>
      </c>
      <c r="AY512" s="138">
        <v>37.5</v>
      </c>
      <c r="AZ512" s="138">
        <v>50</v>
      </c>
      <c r="BA512" s="138">
        <v>50</v>
      </c>
      <c r="BE512" s="1227"/>
      <c r="BF512" s="1228"/>
      <c r="BG512" s="1229"/>
      <c r="BH512" s="529">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1"/>
      <c r="D513" s="611"/>
      <c r="E513" s="622"/>
      <c r="F513" s="1588" t="s">
        <v>325</v>
      </c>
      <c r="G513" s="1588"/>
      <c r="H513" s="1588"/>
      <c r="I513" s="624"/>
      <c r="J513" s="624"/>
      <c r="K513" s="624"/>
      <c r="L513" s="624"/>
      <c r="M513" s="624"/>
      <c r="N513" s="624"/>
      <c r="O513" s="624"/>
      <c r="P513" s="624"/>
      <c r="Q513" s="624"/>
      <c r="R513" s="624"/>
      <c r="S513" s="624"/>
      <c r="T513" s="624"/>
      <c r="U513" s="624"/>
      <c r="V513" s="624"/>
      <c r="W513" s="624"/>
      <c r="X513" s="624"/>
      <c r="Y513" s="624"/>
      <c r="Z513" s="624"/>
      <c r="AA513" s="624"/>
      <c r="AB513" s="624"/>
      <c r="AC513" s="624"/>
      <c r="AD513" s="611"/>
      <c r="AE513" s="611"/>
      <c r="AF513" s="611"/>
      <c r="AG513" s="625">
        <f>IF($C$510="Yes",(VLOOKUP($F$513,$AO$486:$AP$488,2,FALSE)),0)</f>
        <v>0</v>
      </c>
      <c r="AH513" s="626" t="s">
        <v>2080</v>
      </c>
      <c r="AI513" s="624"/>
      <c r="AJ513" s="624"/>
      <c r="AK513" s="612"/>
      <c r="AL513" s="4"/>
      <c r="AM513" s="4"/>
      <c r="AN513" s="569"/>
      <c r="AP513" s="1227"/>
      <c r="AQ513" s="1228"/>
      <c r="AR513" s="1229"/>
      <c r="AS513" s="137">
        <v>50</v>
      </c>
      <c r="AT513" s="4">
        <v>0</v>
      </c>
      <c r="AU513" s="138">
        <v>10</v>
      </c>
      <c r="AV513" s="138">
        <v>25</v>
      </c>
      <c r="AW513" s="138">
        <v>37.5</v>
      </c>
      <c r="AX513" s="138">
        <v>35</v>
      </c>
      <c r="AY513" s="138">
        <v>37.5</v>
      </c>
      <c r="AZ513" s="138">
        <v>50</v>
      </c>
      <c r="BA513" s="138">
        <v>50</v>
      </c>
      <c r="BE513" s="1227"/>
      <c r="BF513" s="1228"/>
      <c r="BG513" s="1229"/>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69"/>
      <c r="AP514" s="1227"/>
      <c r="AQ514" s="1228"/>
      <c r="AR514" s="1229"/>
      <c r="AS514" s="137">
        <v>45</v>
      </c>
      <c r="AT514" s="4">
        <v>0</v>
      </c>
      <c r="AU514" s="138">
        <v>10</v>
      </c>
      <c r="AV514" s="138">
        <v>22.5</v>
      </c>
      <c r="AW514" s="138">
        <v>33.799999999999997</v>
      </c>
      <c r="AX514" s="138">
        <v>35</v>
      </c>
      <c r="AY514" s="138">
        <v>37.5</v>
      </c>
      <c r="AZ514" s="138">
        <v>50</v>
      </c>
      <c r="BA514" s="138">
        <v>50</v>
      </c>
      <c r="BE514" s="1227"/>
      <c r="BF514" s="1228"/>
      <c r="BG514" s="1229"/>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09" t="s">
        <v>325</v>
      </c>
      <c r="D515" s="1610"/>
      <c r="E515" s="641" t="s">
        <v>2106</v>
      </c>
      <c r="F515" s="635" t="s">
        <v>2107</v>
      </c>
      <c r="G515" s="628"/>
      <c r="H515" s="628"/>
      <c r="I515" s="628"/>
      <c r="J515" s="628"/>
      <c r="K515" s="628"/>
      <c r="L515" s="628"/>
      <c r="M515" s="628"/>
      <c r="N515" s="628"/>
      <c r="O515" s="628"/>
      <c r="P515" s="628"/>
      <c r="Q515" s="628"/>
      <c r="R515" s="628"/>
      <c r="S515" s="628"/>
      <c r="T515" s="628"/>
      <c r="U515" s="628"/>
      <c r="V515" s="628"/>
      <c r="W515" s="628"/>
      <c r="X515" s="628"/>
      <c r="Y515" s="628"/>
      <c r="Z515" s="628"/>
      <c r="AA515" s="628"/>
      <c r="AB515" s="628"/>
      <c r="AC515" s="637"/>
      <c r="AD515" s="596"/>
      <c r="AE515" s="596"/>
      <c r="AF515" s="596"/>
      <c r="AG515" s="638"/>
      <c r="AH515" s="638"/>
      <c r="AI515" s="638"/>
      <c r="AJ515" s="638"/>
      <c r="AK515" s="618"/>
      <c r="AL515" s="4"/>
      <c r="AM515" s="4"/>
      <c r="AN515" s="569"/>
      <c r="AP515" s="1227"/>
      <c r="AQ515" s="1228"/>
      <c r="AR515" s="1229"/>
      <c r="AS515" s="137">
        <v>40</v>
      </c>
      <c r="AT515" s="4">
        <v>0</v>
      </c>
      <c r="AU515" s="138">
        <v>10</v>
      </c>
      <c r="AV515" s="138">
        <v>20</v>
      </c>
      <c r="AW515" s="138">
        <v>30</v>
      </c>
      <c r="AX515" s="138">
        <v>35</v>
      </c>
      <c r="AY515" s="138">
        <v>37.5</v>
      </c>
      <c r="AZ515" s="138">
        <v>50</v>
      </c>
      <c r="BA515" s="138">
        <v>50</v>
      </c>
      <c r="BE515" s="1227"/>
      <c r="BF515" s="1228"/>
      <c r="BG515" s="1229"/>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0"/>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3"/>
      <c r="AL516" s="4"/>
      <c r="AM516" s="4"/>
      <c r="AN516" s="569"/>
      <c r="AP516" s="1227"/>
      <c r="AQ516" s="1228"/>
      <c r="AR516" s="1229"/>
      <c r="AS516" s="137">
        <v>35</v>
      </c>
      <c r="AT516" s="4">
        <v>0</v>
      </c>
      <c r="AU516" s="138">
        <v>8.8000000000000007</v>
      </c>
      <c r="AV516" s="138">
        <v>17.5</v>
      </c>
      <c r="AW516" s="138">
        <v>26.3</v>
      </c>
      <c r="AX516" s="138">
        <v>35</v>
      </c>
      <c r="AY516" s="138">
        <v>37.5</v>
      </c>
      <c r="AZ516" s="138">
        <v>50</v>
      </c>
      <c r="BA516" s="138">
        <v>50</v>
      </c>
      <c r="BE516" s="1227"/>
      <c r="BF516" s="1228"/>
      <c r="BG516" s="1229"/>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73"/>
      <c r="D517" s="1356"/>
      <c r="E517" s="166"/>
      <c r="F517" s="19" t="s">
        <v>2108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2080</v>
      </c>
      <c r="AI517" s="19"/>
      <c r="AJ517" s="84"/>
      <c r="AK517" s="603"/>
      <c r="AL517" s="4"/>
      <c r="AM517" s="4"/>
      <c r="AN517" s="569"/>
      <c r="AP517" s="1227"/>
      <c r="AQ517" s="1228"/>
      <c r="AR517" s="1229"/>
      <c r="AS517" s="137">
        <v>30</v>
      </c>
      <c r="AT517" s="4">
        <v>0</v>
      </c>
      <c r="AU517" s="138">
        <v>7.5</v>
      </c>
      <c r="AV517" s="138">
        <v>15</v>
      </c>
      <c r="AW517" s="138">
        <v>22.5</v>
      </c>
      <c r="AX517" s="138">
        <v>30</v>
      </c>
      <c r="AY517" s="138">
        <v>37.5</v>
      </c>
      <c r="AZ517" s="138">
        <v>45</v>
      </c>
      <c r="BA517" s="138">
        <v>50</v>
      </c>
      <c r="BE517" s="1227"/>
      <c r="BF517" s="1228"/>
      <c r="BG517" s="1229"/>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0"/>
      <c r="D518" s="4"/>
      <c r="E518" s="121"/>
      <c r="F518" s="19"/>
      <c r="G518" s="1768" t="s">
        <v>325</v>
      </c>
      <c r="H518" s="1768"/>
      <c r="I518" s="1768"/>
      <c r="J518" s="1768"/>
      <c r="K518" s="1768"/>
      <c r="L518" s="1768"/>
      <c r="M518" s="1768"/>
      <c r="N518" s="1768"/>
      <c r="O518" s="1768"/>
      <c r="P518" s="1768"/>
      <c r="Q518" s="1768"/>
      <c r="R518" s="1768"/>
      <c r="S518" s="1768"/>
      <c r="T518" s="1768"/>
      <c r="U518" s="1768"/>
      <c r="V518" s="1768"/>
      <c r="W518" s="1768"/>
      <c r="X518" s="1768"/>
      <c r="Y518" s="1768"/>
      <c r="Z518" s="1768"/>
      <c r="AA518" s="1768"/>
      <c r="AB518" s="1768"/>
      <c r="AC518" s="1768"/>
      <c r="AD518" s="1768"/>
      <c r="AE518" s="1768"/>
      <c r="AF518" s="1768"/>
      <c r="AG518" s="4"/>
      <c r="AH518" s="4"/>
      <c r="AI518" s="4"/>
      <c r="AJ518" s="19"/>
      <c r="AK518" s="603"/>
      <c r="AL518" s="4"/>
      <c r="AM518" s="4"/>
      <c r="AN518" s="569"/>
      <c r="AP518" s="1227"/>
      <c r="AQ518" s="1228"/>
      <c r="AR518" s="1229"/>
      <c r="AS518" s="137">
        <v>25</v>
      </c>
      <c r="AT518" s="4">
        <v>0</v>
      </c>
      <c r="AU518" s="138">
        <v>6.3</v>
      </c>
      <c r="AV518" s="138">
        <v>12.5</v>
      </c>
      <c r="AW518" s="138">
        <v>18.8</v>
      </c>
      <c r="AX518" s="138">
        <v>25</v>
      </c>
      <c r="AY518" s="138">
        <v>31.3</v>
      </c>
      <c r="AZ518" s="138">
        <v>37.5</v>
      </c>
      <c r="BA518" s="138">
        <v>50</v>
      </c>
      <c r="BE518" s="1227"/>
      <c r="BF518" s="1228"/>
      <c r="BG518" s="1229"/>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2"/>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3"/>
      <c r="AL519" s="4"/>
      <c r="AM519" s="4"/>
      <c r="AN519" s="569"/>
      <c r="AP519" s="1227"/>
      <c r="AQ519" s="1228"/>
      <c r="AR519" s="1229"/>
      <c r="AS519" s="137">
        <v>20</v>
      </c>
      <c r="AT519" s="4">
        <v>0</v>
      </c>
      <c r="AU519" s="138">
        <v>5</v>
      </c>
      <c r="AV519" s="138">
        <v>10</v>
      </c>
      <c r="AW519" s="138">
        <v>15</v>
      </c>
      <c r="AX519" s="138">
        <v>20</v>
      </c>
      <c r="AY519" s="138">
        <v>25</v>
      </c>
      <c r="AZ519" s="138">
        <v>30</v>
      </c>
      <c r="BA519" s="138">
        <v>40</v>
      </c>
      <c r="BE519" s="1227"/>
      <c r="BF519" s="1228"/>
      <c r="BG519" s="1229"/>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69" t="s">
        <v>325</v>
      </c>
      <c r="D520" s="1770"/>
      <c r="F520" s="19" t="s">
        <v>2109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2080</v>
      </c>
      <c r="AI520" s="19"/>
      <c r="AJ520" s="88"/>
      <c r="AK520" s="603"/>
      <c r="AL520" s="4"/>
      <c r="AM520" s="4"/>
      <c r="AN520" s="569"/>
      <c r="AP520" s="1227"/>
      <c r="AQ520" s="1228"/>
      <c r="AR520" s="1229"/>
      <c r="AS520" s="137">
        <v>15</v>
      </c>
      <c r="AT520" s="4">
        <v>0</v>
      </c>
      <c r="AU520" s="138">
        <v>3.8</v>
      </c>
      <c r="AV520" s="138">
        <v>7.5</v>
      </c>
      <c r="AW520" s="138">
        <v>11.3</v>
      </c>
      <c r="AX520" s="138">
        <v>15</v>
      </c>
      <c r="AY520" s="138">
        <v>18.8</v>
      </c>
      <c r="AZ520" s="138">
        <v>22.5</v>
      </c>
      <c r="BA520" s="138">
        <v>30</v>
      </c>
      <c r="BE520" s="1227"/>
      <c r="BF520" s="1228"/>
      <c r="BG520" s="1229"/>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2"/>
      <c r="D521" s="1"/>
      <c r="E521" s="1"/>
      <c r="F521" s="19"/>
      <c r="G521" s="19" t="s">
        <v>2110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3"/>
      <c r="AL521" s="4"/>
      <c r="AM521" s="4"/>
      <c r="AN521" s="243"/>
      <c r="AP521" s="1230"/>
      <c r="AQ521" s="1231"/>
      <c r="AR521" s="1232"/>
      <c r="AS521" s="137">
        <v>10</v>
      </c>
      <c r="AT521" s="4">
        <v>0</v>
      </c>
      <c r="AU521" s="138">
        <v>2.5</v>
      </c>
      <c r="AV521" s="138">
        <v>5</v>
      </c>
      <c r="AW521" s="138">
        <v>7.5</v>
      </c>
      <c r="AX521" s="138">
        <v>10</v>
      </c>
      <c r="AY521" s="138">
        <v>12.5</v>
      </c>
      <c r="AZ521" s="138">
        <v>15</v>
      </c>
      <c r="BA521" s="138">
        <v>20</v>
      </c>
      <c r="BE521" s="1230"/>
      <c r="BF521" s="1231"/>
      <c r="BG521" s="1232"/>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2"/>
      <c r="D522" s="1"/>
      <c r="E522" s="1"/>
      <c r="F522" s="19"/>
      <c r="G522" s="19" t="s">
        <v>2111</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3"/>
      <c r="AN522" s="902"/>
      <c r="AP522" s="37"/>
      <c r="AQ522" s="37"/>
      <c r="AR522" s="37"/>
    </row>
    <row r="523" spans="1:122" s="4" customFormat="1" ht="12.75" hidden="1" customHeight="1">
      <c r="A523" s="32"/>
      <c r="B523" s="21"/>
      <c r="C523" s="639"/>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0"/>
      <c r="AL523" s="21"/>
      <c r="AM523" s="21"/>
      <c r="AN523" s="902"/>
      <c r="AO523" s="37"/>
      <c r="AP523" s="37"/>
      <c r="AQ523" s="37"/>
      <c r="AR523" s="37"/>
    </row>
    <row r="524" spans="1:122" s="4" customFormat="1" ht="12.75" hidden="1" customHeight="1">
      <c r="A524" s="32"/>
      <c r="C524" s="1769" t="s">
        <v>325</v>
      </c>
      <c r="D524" s="1770"/>
      <c r="F524" s="407" t="s">
        <v>2112</v>
      </c>
      <c r="G524" s="1547" t="s">
        <v>2113</v>
      </c>
      <c r="H524" s="1547"/>
      <c r="I524" s="1547"/>
      <c r="J524" s="1547"/>
      <c r="K524" s="1547"/>
      <c r="L524" s="1547"/>
      <c r="M524" s="1547"/>
      <c r="N524" s="1547"/>
      <c r="O524" s="1547"/>
      <c r="P524" s="1547"/>
      <c r="Q524" s="1547"/>
      <c r="R524" s="1547"/>
      <c r="S524" s="1547"/>
      <c r="T524" s="1547"/>
      <c r="U524" s="1547"/>
      <c r="V524" s="1547"/>
      <c r="W524" s="1547"/>
      <c r="X524" s="1547"/>
      <c r="Y524" s="1547"/>
      <c r="Z524" s="1547"/>
      <c r="AA524" s="1547"/>
      <c r="AB524" s="1547"/>
      <c r="AC524" s="1547"/>
      <c r="AD524" s="1547"/>
      <c r="AE524" s="1547"/>
      <c r="AF524" s="1547"/>
      <c r="AG524" s="84">
        <f>IF(AND($C$524="Yes",$C$515="Yes"),2,0)</f>
        <v>0</v>
      </c>
      <c r="AH524" s="107" t="s">
        <v>2080</v>
      </c>
      <c r="AI524" s="19"/>
      <c r="AJ524" s="88"/>
      <c r="AK524" s="603"/>
      <c r="AN524" s="902"/>
      <c r="AP524" s="76"/>
      <c r="AQ524" s="77"/>
      <c r="AR524" s="77"/>
      <c r="AS524" s="77"/>
      <c r="AT524" s="77"/>
      <c r="AU524" s="77"/>
      <c r="AV524" s="77"/>
      <c r="AW524" s="77"/>
      <c r="AX524" s="77"/>
      <c r="AY524" s="77"/>
      <c r="AZ524" s="146"/>
      <c r="BA524" s="77"/>
      <c r="BB524" s="77"/>
      <c r="BC524" s="52" t="s">
        <v>2114</v>
      </c>
      <c r="BD524" s="1750">
        <f>BJ528</f>
        <v>22</v>
      </c>
      <c r="BE524" s="1750"/>
      <c r="BF524" s="146" t="s">
        <v>2115</v>
      </c>
      <c r="BG524" s="77"/>
      <c r="BH524" s="77"/>
      <c r="BI524" s="77"/>
      <c r="BJ524" s="77"/>
      <c r="BK524" s="147"/>
      <c r="BM524"/>
      <c r="BN524" s="136" t="s">
        <v>2116</v>
      </c>
      <c r="BO524"/>
      <c r="BP524" s="136"/>
      <c r="BQ524" s="136"/>
      <c r="BR524" s="136"/>
      <c r="BS524" s="136"/>
      <c r="BT524" s="136"/>
      <c r="BU524" s="136"/>
      <c r="BV524"/>
      <c r="BW524"/>
      <c r="BX524"/>
      <c r="BY524"/>
      <c r="BZ524"/>
      <c r="CA524"/>
      <c r="CB524"/>
      <c r="CC524"/>
      <c r="CD524"/>
      <c r="CE524"/>
      <c r="CF524" s="55" t="s">
        <v>2117</v>
      </c>
      <c r="CG524"/>
      <c r="CH524"/>
      <c r="CI524"/>
      <c r="CJ524"/>
    </row>
    <row r="525" spans="1:122" s="4" customFormat="1" ht="12.75" hidden="1" customHeight="1">
      <c r="C525" s="911"/>
      <c r="D525" s="611"/>
      <c r="E525" s="622"/>
      <c r="F525" s="601"/>
      <c r="G525" s="1603"/>
      <c r="H525" s="1603"/>
      <c r="I525" s="1603"/>
      <c r="J525" s="1603"/>
      <c r="K525" s="1603"/>
      <c r="L525" s="1603"/>
      <c r="M525" s="1603"/>
      <c r="N525" s="1603"/>
      <c r="O525" s="1603"/>
      <c r="P525" s="1603"/>
      <c r="Q525" s="1603"/>
      <c r="R525" s="1603"/>
      <c r="S525" s="1603"/>
      <c r="T525" s="1603"/>
      <c r="U525" s="1603"/>
      <c r="V525" s="1603"/>
      <c r="W525" s="1603"/>
      <c r="X525" s="1603"/>
      <c r="Y525" s="1603"/>
      <c r="Z525" s="1603"/>
      <c r="AA525" s="1603"/>
      <c r="AB525" s="1603"/>
      <c r="AC525" s="1603"/>
      <c r="AD525" s="1603"/>
      <c r="AE525" s="1603"/>
      <c r="AF525" s="1603"/>
      <c r="AG525" s="624"/>
      <c r="AH525" s="624"/>
      <c r="AI525" s="624"/>
      <c r="AJ525" s="624"/>
      <c r="AK525" s="612"/>
      <c r="AN525" s="902"/>
      <c r="AP525" s="76"/>
      <c r="AQ525" s="77"/>
      <c r="AR525" s="77"/>
      <c r="AS525" s="77"/>
      <c r="AT525" s="77"/>
      <c r="AU525" s="77"/>
      <c r="AV525" s="77"/>
      <c r="AW525" s="77"/>
      <c r="AX525" s="77"/>
      <c r="AY525" s="77"/>
      <c r="AZ525" s="146"/>
      <c r="BA525" s="77"/>
      <c r="BB525" s="77"/>
      <c r="BC525" s="52" t="s">
        <v>2118</v>
      </c>
      <c r="BD525" s="1750">
        <f>SUM(E581:J589)</f>
        <v>22</v>
      </c>
      <c r="BE525" s="1750"/>
      <c r="BF525" s="146" t="s">
        <v>2115</v>
      </c>
      <c r="BG525" s="77"/>
      <c r="BH525" s="77"/>
      <c r="BI525" s="77"/>
      <c r="BJ525" s="77"/>
      <c r="BK525" s="147"/>
      <c r="BM525" s="342">
        <v>4</v>
      </c>
      <c r="BN525" s="341"/>
      <c r="BO525" s="342">
        <v>4</v>
      </c>
      <c r="BP525" s="341"/>
      <c r="BQ525" s="343">
        <v>3</v>
      </c>
      <c r="BR525" s="345"/>
      <c r="BS525" s="343">
        <v>3</v>
      </c>
      <c r="BT525" s="345"/>
      <c r="BU525" s="342">
        <v>2</v>
      </c>
      <c r="BV525" s="341"/>
      <c r="BW525" s="342">
        <v>2</v>
      </c>
      <c r="BX525" s="341"/>
      <c r="BY525" s="343">
        <v>1</v>
      </c>
      <c r="BZ525" s="345"/>
      <c r="CA525" s="343">
        <v>1</v>
      </c>
      <c r="CB525" s="345"/>
      <c r="CC525" s="342" t="s">
        <v>860</v>
      </c>
      <c r="CD525" s="341"/>
      <c r="CE525" s="342" t="s">
        <v>860</v>
      </c>
      <c r="CF525" s="341"/>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2"/>
      <c r="AP526" s="350"/>
      <c r="AQ526" s="146"/>
      <c r="AR526" s="146"/>
      <c r="AS526" s="146"/>
      <c r="AT526" s="146"/>
      <c r="AU526" s="146"/>
      <c r="AV526" s="146"/>
      <c r="AW526" s="146"/>
      <c r="AX526" s="146"/>
      <c r="AY526" s="146"/>
      <c r="AZ526" s="146"/>
      <c r="BA526" s="146"/>
      <c r="BB526" s="146"/>
      <c r="BC526" s="146"/>
      <c r="BD526" s="146"/>
      <c r="BE526" s="146"/>
      <c r="BF526" s="146"/>
      <c r="BG526" s="146"/>
      <c r="BH526" s="146"/>
      <c r="BI526" s="52" t="s">
        <v>2119</v>
      </c>
      <c r="BJ526" s="1753">
        <v>0</v>
      </c>
      <c r="BK526" s="1754"/>
      <c r="BM526" s="342">
        <f>IF(T609&gt;0,1,0)</f>
        <v>0</v>
      </c>
      <c r="BN526" s="341"/>
      <c r="BO526" s="342">
        <f>IF(Y609&gt;=0.1,1,0)</f>
        <v>0</v>
      </c>
      <c r="BP526" s="341"/>
      <c r="BQ526" s="343"/>
      <c r="BR526" s="345"/>
      <c r="BS526" s="343"/>
      <c r="BT526" s="345"/>
      <c r="BU526" s="342"/>
      <c r="BV526" s="341"/>
      <c r="BW526" s="342"/>
      <c r="BX526" s="341"/>
      <c r="BY526" s="343"/>
      <c r="BZ526" s="345"/>
      <c r="CA526" s="343"/>
      <c r="CB526" s="345"/>
      <c r="CC526" s="342"/>
      <c r="CD526" s="341"/>
      <c r="CE526" s="342"/>
      <c r="CF526" s="341"/>
      <c r="CG526"/>
      <c r="CH526"/>
      <c r="CI526"/>
      <c r="CJ526"/>
    </row>
    <row r="527" spans="1:122" s="4" customFormat="1" ht="12.75" hidden="1" customHeight="1">
      <c r="C527" s="642" t="s">
        <v>2120</v>
      </c>
      <c r="D527" s="596"/>
      <c r="E527" s="643"/>
      <c r="F527" s="644"/>
      <c r="G527" s="645"/>
      <c r="H527" s="645"/>
      <c r="I527" s="645"/>
      <c r="J527" s="645"/>
      <c r="K527" s="645"/>
      <c r="L527" s="645"/>
      <c r="M527" s="645"/>
      <c r="N527" s="645"/>
      <c r="O527" s="645"/>
      <c r="P527" s="645"/>
      <c r="Q527" s="645"/>
      <c r="R527" s="645"/>
      <c r="S527" s="645"/>
      <c r="T527" s="645"/>
      <c r="U527" s="645"/>
      <c r="V527" s="645"/>
      <c r="W527" s="645"/>
      <c r="X527" s="645"/>
      <c r="Y527" s="645"/>
      <c r="Z527" s="645"/>
      <c r="AA527" s="645"/>
      <c r="AB527" s="645"/>
      <c r="AC527" s="645"/>
      <c r="AD527" s="645"/>
      <c r="AE527" s="645"/>
      <c r="AF527" s="645"/>
      <c r="AG527" s="628"/>
      <c r="AH527" s="628"/>
      <c r="AI527" s="628"/>
      <c r="AJ527" s="628"/>
      <c r="AK527" s="618"/>
      <c r="AN527" s="243"/>
      <c r="AP527" s="350"/>
      <c r="AQ527" s="146"/>
      <c r="AR527" s="146"/>
      <c r="AS527" s="146"/>
      <c r="AT527" s="146"/>
      <c r="AU527" s="146"/>
      <c r="AV527" s="146"/>
      <c r="AW527" s="146"/>
      <c r="AX527" s="146"/>
      <c r="AY527" s="146"/>
      <c r="AZ527" s="146"/>
      <c r="BA527" s="146"/>
      <c r="BB527" s="146"/>
      <c r="BC527" s="146"/>
      <c r="BD527" s="146"/>
      <c r="BE527" s="146"/>
      <c r="BF527" s="146"/>
      <c r="BG527" s="146"/>
      <c r="BH527" s="146"/>
      <c r="BI527" s="351" t="s">
        <v>2121</v>
      </c>
      <c r="BJ527" s="1753">
        <f>Application!AG431</f>
        <v>0</v>
      </c>
      <c r="BK527" s="1754"/>
      <c r="BM527" s="342"/>
      <c r="BN527" s="341"/>
      <c r="BO527" s="342"/>
      <c r="BP527" s="341"/>
      <c r="BQ527" s="343">
        <f>IF(T610&gt;0,1,0)</f>
        <v>0</v>
      </c>
      <c r="BR527" s="345"/>
      <c r="BS527" s="343">
        <f>IF(Y610&gt;=0.1,1,0)</f>
        <v>0</v>
      </c>
      <c r="BT527" s="345"/>
      <c r="BU527" s="342"/>
      <c r="BV527" s="341"/>
      <c r="BW527" s="342"/>
      <c r="BX527" s="341"/>
      <c r="BY527" s="343"/>
      <c r="BZ527" s="345"/>
      <c r="CA527" s="343"/>
      <c r="CB527" s="345"/>
      <c r="CC527" s="342"/>
      <c r="CD527" s="341"/>
      <c r="CE527" s="342"/>
      <c r="CF527" s="341"/>
      <c r="CG527"/>
      <c r="CH527"/>
      <c r="CI527"/>
      <c r="CJ527"/>
    </row>
    <row r="528" spans="1:122" s="4" customFormat="1" ht="12.75" hidden="1" customHeight="1">
      <c r="C528" s="1600" t="s">
        <v>325</v>
      </c>
      <c r="D528" s="1063"/>
      <c r="E528" s="914" t="s">
        <v>2122</v>
      </c>
      <c r="F528" s="218" t="s">
        <v>2123</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2080</v>
      </c>
      <c r="AI528" s="19"/>
      <c r="AJ528" s="19"/>
      <c r="AK528" s="603"/>
      <c r="AN528" s="243"/>
      <c r="AP528" s="61"/>
      <c r="AQ528" s="352"/>
      <c r="AR528" s="352"/>
      <c r="AS528" s="352"/>
      <c r="AT528" s="352"/>
      <c r="AU528" s="352"/>
      <c r="AV528" s="352"/>
      <c r="AW528" s="352"/>
      <c r="AX528" s="352"/>
      <c r="AY528" s="352"/>
      <c r="AZ528" s="352"/>
      <c r="BA528" s="352"/>
      <c r="BB528" s="352"/>
      <c r="BC528" s="352"/>
      <c r="BD528" s="352"/>
      <c r="BE528" s="352"/>
      <c r="BF528" s="352"/>
      <c r="BG528" s="352"/>
      <c r="BH528" s="352"/>
      <c r="BI528" s="241" t="s">
        <v>2124</v>
      </c>
      <c r="BJ528" s="1753">
        <f>Application!AG433</f>
        <v>22</v>
      </c>
      <c r="BK528" s="1754"/>
      <c r="BM528" s="1645"/>
      <c r="BN528" s="1646"/>
      <c r="BO528" s="1645"/>
      <c r="BP528" s="1646"/>
      <c r="BQ528" s="1655"/>
      <c r="BR528" s="1657"/>
      <c r="BS528" s="1655"/>
      <c r="BT528" s="1657"/>
      <c r="BU528" s="1645">
        <f>IF(T611&gt;0,1,0)</f>
        <v>0</v>
      </c>
      <c r="BV528" s="1646"/>
      <c r="BW528" s="1645">
        <f>IF(Y611&gt;=0.1,1,0)</f>
        <v>0</v>
      </c>
      <c r="BX528" s="1646"/>
      <c r="BY528" s="1655"/>
      <c r="BZ528" s="1657"/>
      <c r="CA528" s="1655"/>
      <c r="CB528" s="1657"/>
      <c r="CC528" s="1645"/>
      <c r="CD528" s="1646"/>
      <c r="CE528" s="1645"/>
      <c r="CF528" s="1646"/>
      <c r="CG528"/>
      <c r="CH528"/>
      <c r="CI528"/>
      <c r="CJ528"/>
    </row>
    <row r="529" spans="1:101" s="4" customFormat="1" ht="12.75" hidden="1" customHeight="1">
      <c r="C529" s="910"/>
      <c r="E529" s="121"/>
      <c r="F529" s="1479" t="s">
        <v>325</v>
      </c>
      <c r="G529" s="1479"/>
      <c r="H529" s="1479"/>
      <c r="I529" s="1479"/>
      <c r="J529" s="1479"/>
      <c r="K529" s="1479"/>
      <c r="L529" s="1479"/>
      <c r="M529" s="1479"/>
      <c r="N529" s="1479"/>
      <c r="O529" s="1479"/>
      <c r="P529" s="1479"/>
      <c r="Q529" s="1479"/>
      <c r="R529" s="1479"/>
      <c r="S529" s="1479"/>
      <c r="T529" s="1479"/>
      <c r="U529" s="1479"/>
      <c r="V529" s="1479"/>
      <c r="W529" s="1479"/>
      <c r="X529" s="1479"/>
      <c r="Y529" s="1479"/>
      <c r="Z529" s="1479"/>
      <c r="AA529" s="1479"/>
      <c r="AB529" s="1479"/>
      <c r="AC529" s="1479"/>
      <c r="AD529" s="1479"/>
      <c r="AE529" s="1479"/>
      <c r="AF529" s="1479"/>
      <c r="AG529" s="19"/>
      <c r="AH529" s="19"/>
      <c r="AI529" s="19"/>
      <c r="AJ529" s="19"/>
      <c r="AK529" s="603"/>
      <c r="AN529" s="243"/>
      <c r="BM529" s="1645"/>
      <c r="BN529" s="1646"/>
      <c r="BO529" s="1645"/>
      <c r="BP529" s="1646"/>
      <c r="BQ529" s="1655"/>
      <c r="BR529" s="1657"/>
      <c r="BS529" s="1655"/>
      <c r="BT529" s="1657"/>
      <c r="BU529" s="1645"/>
      <c r="BV529" s="1646"/>
      <c r="BW529" s="1645"/>
      <c r="BX529" s="1646"/>
      <c r="BY529" s="1655">
        <f>IF(T612&gt;0,1,0)</f>
        <v>1</v>
      </c>
      <c r="BZ529" s="1657"/>
      <c r="CA529" s="1655">
        <f>IF(Y612&gt;=0.1,1,0)</f>
        <v>1</v>
      </c>
      <c r="CB529" s="1657"/>
      <c r="CC529" s="1645"/>
      <c r="CD529" s="1646"/>
      <c r="CE529" s="1645"/>
      <c r="CF529" s="1646"/>
      <c r="CG529"/>
      <c r="CH529"/>
      <c r="CI529"/>
      <c r="CJ529"/>
      <c r="CW529"/>
    </row>
    <row r="530" spans="1:101" s="4" customFormat="1" ht="12.75" hidden="1" customHeight="1">
      <c r="C530" s="911"/>
      <c r="D530" s="611"/>
      <c r="E530" s="622"/>
      <c r="F530" s="1599"/>
      <c r="G530" s="1599"/>
      <c r="H530" s="1599"/>
      <c r="I530" s="1599"/>
      <c r="J530" s="1599"/>
      <c r="K530" s="1599"/>
      <c r="L530" s="1599"/>
      <c r="M530" s="1599"/>
      <c r="N530" s="1599"/>
      <c r="O530" s="1599"/>
      <c r="P530" s="1599"/>
      <c r="Q530" s="1599"/>
      <c r="R530" s="1599"/>
      <c r="S530" s="1599"/>
      <c r="T530" s="1599"/>
      <c r="U530" s="1599"/>
      <c r="V530" s="1599"/>
      <c r="W530" s="1599"/>
      <c r="X530" s="1599"/>
      <c r="Y530" s="1599"/>
      <c r="Z530" s="1599"/>
      <c r="AA530" s="1599"/>
      <c r="AB530" s="1599"/>
      <c r="AC530" s="1599"/>
      <c r="AD530" s="1599"/>
      <c r="AE530" s="1599"/>
      <c r="AF530" s="1599"/>
      <c r="AG530" s="624"/>
      <c r="AH530" s="624"/>
      <c r="AI530" s="624"/>
      <c r="AJ530" s="624"/>
      <c r="AK530" s="612"/>
      <c r="AN530" s="243"/>
      <c r="BM530" s="1645"/>
      <c r="BN530" s="1646"/>
      <c r="BO530" s="1645"/>
      <c r="BP530" s="1646"/>
      <c r="BQ530" s="1655"/>
      <c r="BR530" s="1657"/>
      <c r="BS530" s="1655"/>
      <c r="BT530" s="1657"/>
      <c r="BU530" s="1645"/>
      <c r="BV530" s="1646"/>
      <c r="BW530" s="1645"/>
      <c r="BX530" s="1646"/>
      <c r="BY530" s="1655"/>
      <c r="BZ530" s="1657"/>
      <c r="CA530" s="1655"/>
      <c r="CB530" s="1657"/>
      <c r="CC530" s="1645">
        <f>IF(T613&gt;0,1,0)</f>
        <v>0</v>
      </c>
      <c r="CD530" s="1646"/>
      <c r="CE530" s="1645">
        <f>IF(Y613&gt;=0.1,1,0)</f>
        <v>0</v>
      </c>
      <c r="CF530" s="164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45">
        <f>SUM(BM526:BN530)</f>
        <v>0</v>
      </c>
      <c r="BN531" s="1646"/>
      <c r="BO531" s="1645">
        <f>SUM(BO526:BP530)</f>
        <v>0</v>
      </c>
      <c r="BP531" s="1646"/>
      <c r="BQ531" s="1645">
        <f>SUM(BQ526:BR530)</f>
        <v>0</v>
      </c>
      <c r="BR531" s="1646"/>
      <c r="BS531" s="1645">
        <f>SUM(BS526:BT530)</f>
        <v>0</v>
      </c>
      <c r="BT531" s="1646"/>
      <c r="BU531" s="1645">
        <f>SUM(BU526:BV530)</f>
        <v>0</v>
      </c>
      <c r="BV531" s="1646"/>
      <c r="BW531" s="1645">
        <f>SUM(BW526:BX530)</f>
        <v>0</v>
      </c>
      <c r="BX531" s="1646"/>
      <c r="BY531" s="1645">
        <f>SUM(BY526:BZ530)</f>
        <v>1</v>
      </c>
      <c r="BZ531" s="1646"/>
      <c r="CA531" s="1645">
        <f>SUM(CA526:CB530)</f>
        <v>1</v>
      </c>
      <c r="CB531" s="1646"/>
      <c r="CC531" s="1645">
        <f>SUM(CC526:CD530)</f>
        <v>0</v>
      </c>
      <c r="CD531" s="1646"/>
      <c r="CE531" s="1645">
        <f>SUM(CE526:CF530)</f>
        <v>0</v>
      </c>
      <c r="CF531" s="1646"/>
      <c r="CG531"/>
      <c r="CH531"/>
      <c r="CI531"/>
      <c r="CJ531"/>
    </row>
    <row r="532" spans="1:101" s="4" customFormat="1" ht="12.75" hidden="1" customHeight="1">
      <c r="A532" s="32"/>
      <c r="B532" s="4" t="s">
        <v>2125</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58" t="s">
        <v>2126</v>
      </c>
      <c r="AQ532" s="1759"/>
      <c r="AR532" s="1759"/>
      <c r="AS532" s="1759"/>
      <c r="AT532" s="1760"/>
      <c r="AU532" s="1758" t="s">
        <v>2127</v>
      </c>
      <c r="AV532" s="1759"/>
      <c r="AW532" s="1759"/>
      <c r="AX532" s="1759"/>
      <c r="AY532" s="1760"/>
      <c r="BM532" s="1655">
        <f>SUM(BM531:BP531)</f>
        <v>0</v>
      </c>
      <c r="BN532" s="1656"/>
      <c r="BO532" s="1656"/>
      <c r="BP532" s="1657"/>
      <c r="BQ532" s="1655">
        <f>SUM(BQ531:BT531)</f>
        <v>0</v>
      </c>
      <c r="BR532" s="1656"/>
      <c r="BS532" s="1656"/>
      <c r="BT532" s="1657"/>
      <c r="BU532" s="1655">
        <f>SUM(BU531:BX531)</f>
        <v>0</v>
      </c>
      <c r="BV532" s="1656"/>
      <c r="BW532" s="1656"/>
      <c r="BX532" s="1657"/>
      <c r="BY532" s="1655">
        <f>SUM(BY531:CB531)</f>
        <v>2</v>
      </c>
      <c r="BZ532" s="1656"/>
      <c r="CA532" s="1656"/>
      <c r="CB532" s="1657"/>
      <c r="CC532" s="1655">
        <f>SUM(CC531:CF531)</f>
        <v>0</v>
      </c>
      <c r="CD532" s="1656"/>
      <c r="CE532" s="1656"/>
      <c r="CF532" s="1657"/>
      <c r="CG532"/>
      <c r="CH532"/>
      <c r="CI532"/>
      <c r="CJ532"/>
    </row>
    <row r="533" spans="1:101" s="4" customFormat="1" ht="12.75" hidden="1" customHeight="1">
      <c r="A533" s="32"/>
      <c r="B533" s="4" t="s">
        <v>2128</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55">
        <f>RANK(T609,$T$609:$X$613,0)+COUNTIF($T$609:$X$613,T609)-1</f>
        <v>5</v>
      </c>
      <c r="AQ533" s="1756"/>
      <c r="AR533" s="1756"/>
      <c r="AS533" s="1756"/>
      <c r="AT533" s="1757"/>
      <c r="AU533" s="1755">
        <f>RANK(Y609,$Y$609:$AC$613,0)+COUNTIF($Y$609:$AC$613,Y609)-1</f>
        <v>5</v>
      </c>
      <c r="AV533" s="1756"/>
      <c r="AW533" s="1756"/>
      <c r="AX533" s="1756"/>
      <c r="AY533" s="1757"/>
      <c r="BM533" s="1655"/>
      <c r="BN533" s="1656"/>
      <c r="BO533" s="1656"/>
      <c r="BP533" s="1657"/>
      <c r="BQ533" s="1655">
        <f>IF(AND(BQ532=2,BM532=1),1,0)</f>
        <v>0</v>
      </c>
      <c r="BR533" s="1656"/>
      <c r="BS533" s="1656"/>
      <c r="BT533" s="1657"/>
      <c r="BU533" s="1655">
        <f>IF(AND(BU532=2,BQ532=1),1,0)</f>
        <v>0</v>
      </c>
      <c r="BV533" s="1656"/>
      <c r="BW533" s="1656"/>
      <c r="BX533" s="1657"/>
      <c r="BY533" s="1655">
        <f>IF(AND(BY532=2,BU532=1),1,0)</f>
        <v>0</v>
      </c>
      <c r="BZ533" s="1656"/>
      <c r="CA533" s="1656"/>
      <c r="CB533" s="1657"/>
      <c r="CC533" s="1655">
        <f>IF(AND(CC532=2,BU532=1),1,0)</f>
        <v>0</v>
      </c>
      <c r="CD533" s="1656"/>
      <c r="CE533" s="1656"/>
      <c r="CF533" s="1657"/>
      <c r="CG533"/>
      <c r="CH533"/>
      <c r="CI533"/>
      <c r="CJ533"/>
    </row>
    <row r="534" spans="1:101" s="4" customFormat="1" ht="12.75" hidden="1" customHeight="1">
      <c r="A534" s="32"/>
      <c r="B534" s="4" t="s">
        <v>2129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55">
        <f>RANK(T610,$T$609:$X$613,0)+COUNTIF($T$609:$X$613,T610)-1</f>
        <v>5</v>
      </c>
      <c r="AQ534" s="1756"/>
      <c r="AR534" s="1756"/>
      <c r="AS534" s="1756"/>
      <c r="AT534" s="1757"/>
      <c r="AU534" s="1755">
        <f>RANK(Y610,$Y$609:$AC$613,0)+COUNTIF($Y$609:$AC$613,Y610)-1</f>
        <v>5</v>
      </c>
      <c r="AV534" s="1756"/>
      <c r="AW534" s="1756"/>
      <c r="AX534" s="1756"/>
      <c r="AY534" s="1757"/>
      <c r="BM534" s="1655"/>
      <c r="BN534" s="1656"/>
      <c r="BO534" s="1656"/>
      <c r="BP534" s="1657"/>
      <c r="BQ534" s="1655"/>
      <c r="BR534" s="1656"/>
      <c r="BS534" s="1656"/>
      <c r="BT534" s="1657"/>
      <c r="BU534" s="1655">
        <f>IF(AND(BU532=2,BM532=1),1,0)</f>
        <v>0</v>
      </c>
      <c r="BV534" s="1656"/>
      <c r="BW534" s="1656"/>
      <c r="BX534" s="1657"/>
      <c r="BY534" s="1655">
        <f>IF(AND(BY532=2,BQ532=1),1,0)</f>
        <v>0</v>
      </c>
      <c r="BZ534" s="1656"/>
      <c r="CA534" s="1656"/>
      <c r="CB534" s="1657"/>
      <c r="CC534" s="1655">
        <f>IF(AND(CC533=2,BY533=1),1,0)</f>
        <v>0</v>
      </c>
      <c r="CD534" s="1656"/>
      <c r="CE534" s="1656"/>
      <c r="CF534" s="1657"/>
      <c r="CG534"/>
      <c r="CH534"/>
      <c r="CI534"/>
      <c r="CJ534"/>
    </row>
    <row r="535" spans="1:101" s="4" customFormat="1" ht="12.75" hidden="1" customHeight="1">
      <c r="A535" s="32"/>
      <c r="B535" s="4" t="s">
        <v>2130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55">
        <f>RANK(T611,$T$609:$X$613,0)+COUNTIF($T$609:$X$613,T611)-1</f>
        <v>5</v>
      </c>
      <c r="AQ535" s="1756"/>
      <c r="AR535" s="1756"/>
      <c r="AS535" s="1756"/>
      <c r="AT535" s="1757"/>
      <c r="AU535" s="1755">
        <f>RANK(Y611,$Y$609:$AC$613,0)+COUNTIF($Y$609:$AC$613,Y611)-1</f>
        <v>5</v>
      </c>
      <c r="AV535" s="1756"/>
      <c r="AW535" s="1756"/>
      <c r="AX535" s="1756"/>
      <c r="AY535" s="1757"/>
      <c r="BM535" s="1655"/>
      <c r="BN535" s="1656"/>
      <c r="BO535" s="1656"/>
      <c r="BP535" s="1657"/>
      <c r="BQ535" s="1655"/>
      <c r="BR535" s="1656"/>
      <c r="BS535" s="1656"/>
      <c r="BT535" s="1657"/>
      <c r="BU535" s="1655"/>
      <c r="BV535" s="1656"/>
      <c r="BW535" s="1656"/>
      <c r="BX535" s="1657"/>
      <c r="BY535" s="1655">
        <f>IF(AND(BY532=2,BM532=1),1,0)</f>
        <v>0</v>
      </c>
      <c r="BZ535" s="1656"/>
      <c r="CA535" s="1656"/>
      <c r="CB535" s="1657"/>
      <c r="CC535" s="1655">
        <f>IF(AND(CC532=2,BQ532=1),1,0)</f>
        <v>0</v>
      </c>
      <c r="CD535" s="1656"/>
      <c r="CE535" s="1656"/>
      <c r="CF535" s="1657"/>
      <c r="CG535"/>
      <c r="CH535"/>
      <c r="CI535"/>
      <c r="CJ535"/>
    </row>
    <row r="536" spans="1:101" s="4" customFormat="1" ht="12.75" hidden="1" customHeight="1">
      <c r="A536" s="32"/>
      <c r="B536" s="4" t="s">
        <v>2131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55">
        <f>RANK(T612,$T$609:$X$613,0)+COUNTIF($T$609:$X$613,T612)-1</f>
        <v>1</v>
      </c>
      <c r="AQ536" s="1756"/>
      <c r="AR536" s="1756"/>
      <c r="AS536" s="1756"/>
      <c r="AT536" s="1757"/>
      <c r="AU536" s="1755">
        <f>RANK(Y612,$Y$609:$AC$613,0)+COUNTIF($Y$609:$AC$613,Y612)-1</f>
        <v>1</v>
      </c>
      <c r="AV536" s="1756"/>
      <c r="AW536" s="1756"/>
      <c r="AX536" s="1756"/>
      <c r="AY536" s="1757"/>
      <c r="BM536" s="1655"/>
      <c r="BN536" s="1656"/>
      <c r="BO536" s="1656"/>
      <c r="BP536" s="1657"/>
      <c r="BQ536" s="1655"/>
      <c r="BR536" s="1656"/>
      <c r="BS536" s="1656"/>
      <c r="BT536" s="1657"/>
      <c r="BU536" s="1655"/>
      <c r="BV536" s="1656"/>
      <c r="BW536" s="1656"/>
      <c r="BX536" s="1657"/>
      <c r="BY536" s="1655"/>
      <c r="BZ536" s="1656"/>
      <c r="CA536" s="1656"/>
      <c r="CB536" s="1657"/>
      <c r="CC536" s="1655">
        <f>IF(AND(CC532=2,BM532=1),1,0)</f>
        <v>0</v>
      </c>
      <c r="CD536" s="1656"/>
      <c r="CE536" s="1656"/>
      <c r="CF536" s="1657"/>
      <c r="CG536"/>
      <c r="CH536"/>
      <c r="CI536"/>
      <c r="CJ536"/>
    </row>
    <row r="537" spans="1:101" s="4" customFormat="1" ht="12.75" hidden="1" customHeight="1">
      <c r="A537" s="32"/>
      <c r="B537" s="4" t="s">
        <v>2132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55">
        <f>RANK(T613,$T$609:$X$613,0)+COUNTIF($T$609:$X$613,T613)-1</f>
        <v>5</v>
      </c>
      <c r="AQ537" s="1756"/>
      <c r="AR537" s="1756"/>
      <c r="AS537" s="1756"/>
      <c r="AT537" s="1757"/>
      <c r="AU537" s="1755">
        <f>RANK(Y613,$Y$609:$AC$613,0)+COUNTIF($Y$609:$AC$613,Y613)-1</f>
        <v>5</v>
      </c>
      <c r="AV537" s="1756"/>
      <c r="AW537" s="1756"/>
      <c r="AX537" s="1756"/>
      <c r="AY537" s="1757"/>
      <c r="BM537" s="1655">
        <f>SUM(BM533:BP536)</f>
        <v>0</v>
      </c>
      <c r="BN537" s="1656"/>
      <c r="BO537" s="1656"/>
      <c r="BP537" s="1657"/>
      <c r="BQ537" s="1655">
        <f>SUM(BQ533:BT536)</f>
        <v>0</v>
      </c>
      <c r="BR537" s="1656"/>
      <c r="BS537" s="1656"/>
      <c r="BT537" s="1657"/>
      <c r="BU537" s="1655">
        <f>SUM(BU533:BX536)</f>
        <v>0</v>
      </c>
      <c r="BV537" s="1656"/>
      <c r="BW537" s="1656"/>
      <c r="BX537" s="1657"/>
      <c r="BY537" s="1655">
        <f>SUM(BY533:CB536)</f>
        <v>0</v>
      </c>
      <c r="BZ537" s="1656"/>
      <c r="CA537" s="1656"/>
      <c r="CB537" s="1657"/>
      <c r="CC537" s="1655">
        <f>SUM(CC533:CF536)</f>
        <v>0</v>
      </c>
      <c r="CD537" s="1656"/>
      <c r="CE537" s="1656"/>
      <c r="CF537" s="1657"/>
      <c r="CG537" s="1655">
        <f>SUM(BM537:CF537)</f>
        <v>0</v>
      </c>
      <c r="CH537" s="1656"/>
      <c r="CI537" s="1656"/>
      <c r="CJ537" s="1657"/>
    </row>
    <row r="538" spans="1:101" s="4" customFormat="1" ht="12.75" hidden="1" customHeight="1">
      <c r="A538" s="32"/>
      <c r="B538" s="4" t="s">
        <v>2133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07"/>
      <c r="AD540" s="104"/>
      <c r="AE540" s="104"/>
      <c r="AF540" s="104"/>
      <c r="AG540" s="104"/>
      <c r="AH540" s="77"/>
      <c r="AI540" s="53"/>
      <c r="AJ540" s="53" t="s">
        <v>2134</v>
      </c>
      <c r="AK540" s="1018">
        <f>SUM(AG484:AG529)</f>
        <v>0</v>
      </c>
      <c r="AL540" s="1019"/>
      <c r="AM540" s="1021"/>
      <c r="AN540" s="243"/>
      <c r="AP540" s="123" t="s">
        <v>2135</v>
      </c>
      <c r="AQ540" s="124"/>
      <c r="AR540" s="124"/>
      <c r="AS540" s="124"/>
      <c r="AT540" s="124"/>
      <c r="AU540" s="124"/>
      <c r="AV540" s="124"/>
      <c r="AW540" s="124"/>
      <c r="AX540" s="124"/>
      <c r="AY540" s="124"/>
      <c r="AZ540" s="125"/>
      <c r="CH540" s="56" t="s">
        <v>2117</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2136</v>
      </c>
      <c r="AQ541" s="127"/>
      <c r="AR541" s="127"/>
      <c r="AS541" s="127"/>
      <c r="AT541" s="127"/>
      <c r="AU541" s="127"/>
      <c r="AV541" s="127"/>
      <c r="AW541" s="127"/>
      <c r="AX541" s="127"/>
      <c r="AY541" s="1645">
        <f>SUM(O609:S613)</f>
        <v>22</v>
      </c>
      <c r="AZ541" s="1646"/>
      <c r="CG541"/>
      <c r="CH541" s="1687" t="s">
        <v>2137</v>
      </c>
      <c r="CI541" s="1383"/>
      <c r="CJ541" s="1383"/>
      <c r="CK541" s="1384"/>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2138</v>
      </c>
      <c r="AQ542" s="129"/>
      <c r="AR542" s="129"/>
      <c r="AS542" s="1645" t="str">
        <f>IF(AY541=BK568,"passed","failed")</f>
        <v>passed</v>
      </c>
      <c r="AT542" s="1650"/>
      <c r="AU542" s="1646"/>
      <c r="AV542" s="129"/>
      <c r="AW542" s="129"/>
      <c r="AX542" s="129"/>
      <c r="AY542" s="129"/>
      <c r="AZ542" s="130"/>
      <c r="CG542"/>
      <c r="CH542" s="1385"/>
      <c r="CI542" s="1386"/>
      <c r="CJ542" s="1386"/>
      <c r="CK542" s="1387"/>
    </row>
    <row r="543" spans="1:101" s="4" customFormat="1" ht="12.75" customHeight="1">
      <c r="A543" s="3" t="s">
        <v>2139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85" t="s">
        <v>2140</v>
      </c>
      <c r="AF543" s="1585"/>
      <c r="AG543" s="1585"/>
      <c r="AH543" s="1585"/>
      <c r="AI543" s="1585"/>
      <c r="AJ543" s="1585"/>
      <c r="AK543" s="1585"/>
      <c r="AL543" s="18"/>
      <c r="AM543" s="21"/>
      <c r="AN543" s="243"/>
      <c r="BE543"/>
      <c r="BF543"/>
      <c r="BG543"/>
      <c r="BH543"/>
      <c r="BI543"/>
      <c r="BJ543"/>
      <c r="BK543"/>
      <c r="BL543"/>
      <c r="BM543"/>
      <c r="BN543"/>
      <c r="BO543"/>
      <c r="BP543"/>
      <c r="BQ543"/>
      <c r="BR543" s="55" t="s">
        <v>2117</v>
      </c>
      <c r="BS543"/>
      <c r="BT543"/>
      <c r="BU543"/>
      <c r="BV543"/>
      <c r="BW543"/>
      <c r="BX543"/>
      <c r="BY543"/>
      <c r="BZ543"/>
      <c r="CA543"/>
      <c r="CB543"/>
      <c r="CC543"/>
      <c r="CG543"/>
      <c r="CH543" s="1385"/>
      <c r="CI543" s="1386"/>
      <c r="CJ543" s="1386"/>
      <c r="CK543" s="1387"/>
    </row>
    <row r="544" spans="1:101" s="4" customFormat="1" ht="12.75" customHeight="1">
      <c r="B544" s="107" t="s">
        <v>2141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93" t="s">
        <v>2142</v>
      </c>
      <c r="AH544" s="1593"/>
      <c r="AI544" s="1593"/>
      <c r="AJ544" s="1593"/>
      <c r="AK544" s="18"/>
      <c r="AL544" s="18"/>
      <c r="AM544" s="21"/>
      <c r="AN544" s="243"/>
      <c r="BE544" s="1655" t="s">
        <v>2143</v>
      </c>
      <c r="BF544" s="1656"/>
      <c r="BG544" s="1656"/>
      <c r="BH544" s="1657"/>
      <c r="BI544" s="1655" t="s">
        <v>2144</v>
      </c>
      <c r="BJ544" s="1656"/>
      <c r="BK544" s="1656"/>
      <c r="BL544" s="1657"/>
      <c r="BM544" s="1655" t="s">
        <v>2145</v>
      </c>
      <c r="BN544" s="1656"/>
      <c r="BO544" s="1656"/>
      <c r="BP544" s="1657"/>
      <c r="BQ544" s="1655" t="s">
        <v>2146</v>
      </c>
      <c r="BR544" s="1656"/>
      <c r="BS544" s="1656"/>
      <c r="BT544" s="1657"/>
      <c r="BU544" s="1655" t="s">
        <v>2147</v>
      </c>
      <c r="BV544" s="1656"/>
      <c r="BW544" s="1656"/>
      <c r="BX544" s="1657"/>
      <c r="BY544" s="1655" t="s">
        <v>2148</v>
      </c>
      <c r="BZ544" s="1656"/>
      <c r="CA544" s="1656"/>
      <c r="CB544" s="1657"/>
      <c r="CC544"/>
      <c r="CG544"/>
      <c r="CH544" s="1385"/>
      <c r="CI544" s="1386"/>
      <c r="CJ544" s="1386"/>
      <c r="CK544" s="1387"/>
    </row>
    <row r="545" spans="1:89" s="4" customFormat="1" ht="12.75" customHeight="1">
      <c r="A545" s="3"/>
      <c r="B545" s="1767" t="s">
        <v>2149</v>
      </c>
      <c r="C545" s="1767"/>
      <c r="D545" s="1767"/>
      <c r="E545" s="1767"/>
      <c r="F545" s="1767"/>
      <c r="G545" s="1767"/>
      <c r="H545" s="1767"/>
      <c r="I545" s="1767"/>
      <c r="J545" s="1767"/>
      <c r="K545" s="1767"/>
      <c r="L545" s="1767"/>
      <c r="M545" s="1767"/>
      <c r="N545" s="1767"/>
      <c r="O545" s="1767"/>
      <c r="P545" s="1767"/>
      <c r="Q545" s="1767"/>
      <c r="R545" s="1767"/>
      <c r="S545" s="1767"/>
      <c r="T545" s="1767"/>
      <c r="U545" s="1767"/>
      <c r="V545" s="1767"/>
      <c r="W545" s="1767"/>
      <c r="X545" s="1767"/>
      <c r="Y545" s="1767"/>
      <c r="Z545" s="1767"/>
      <c r="AA545" s="1767"/>
      <c r="AB545" s="1767"/>
      <c r="AC545" s="1767"/>
      <c r="AD545" s="1767"/>
      <c r="AE545" s="1767"/>
      <c r="AF545" s="1767"/>
      <c r="AG545" s="1767"/>
      <c r="AK545" s="21"/>
      <c r="AL545" s="21"/>
      <c r="AN545" s="243"/>
      <c r="AP545" s="354" t="s">
        <v>2150</v>
      </c>
      <c r="AQ545" s="355"/>
      <c r="AR545" s="355"/>
      <c r="AS545" s="355"/>
      <c r="AT545" s="355"/>
      <c r="AU545" s="355"/>
      <c r="AV545" s="356"/>
      <c r="AW545" s="355"/>
      <c r="AX545" s="355"/>
      <c r="AY545" s="356"/>
      <c r="BE545" s="1645">
        <f>IF(CH546=1,0,1)</f>
        <v>0</v>
      </c>
      <c r="BF545" s="1650"/>
      <c r="BG545" s="1650"/>
      <c r="BH545" s="1646"/>
      <c r="BI545" s="1645"/>
      <c r="BJ545" s="1650"/>
      <c r="BK545" s="1650"/>
      <c r="BL545" s="1646"/>
      <c r="BM545" s="1645"/>
      <c r="BN545" s="1650"/>
      <c r="BO545" s="1650"/>
      <c r="BP545" s="1646"/>
      <c r="BQ545" s="1645"/>
      <c r="BR545" s="1650"/>
      <c r="BS545" s="1650"/>
      <c r="BT545" s="1646"/>
      <c r="BU545" s="1655"/>
      <c r="BV545" s="1656"/>
      <c r="BW545" s="1656"/>
      <c r="BX545" s="1657"/>
      <c r="BY545" s="1655"/>
      <c r="BZ545" s="1656"/>
      <c r="CA545" s="1656"/>
      <c r="CB545" s="1657"/>
      <c r="CC545"/>
      <c r="CG545"/>
      <c r="CH545" s="1426"/>
      <c r="CI545" s="1427"/>
      <c r="CJ545" s="1427"/>
      <c r="CK545" s="1428"/>
    </row>
    <row r="546" spans="1:89" s="4" customFormat="1" ht="12.75" customHeight="1">
      <c r="A546" s="20"/>
      <c r="B546" s="1767"/>
      <c r="C546" s="1767"/>
      <c r="D546" s="1767"/>
      <c r="E546" s="1767"/>
      <c r="F546" s="1767"/>
      <c r="G546" s="1767"/>
      <c r="H546" s="1767"/>
      <c r="I546" s="1767"/>
      <c r="J546" s="1767"/>
      <c r="K546" s="1767"/>
      <c r="L546" s="1767"/>
      <c r="M546" s="1767"/>
      <c r="N546" s="1767"/>
      <c r="O546" s="1767"/>
      <c r="P546" s="1767"/>
      <c r="Q546" s="1767"/>
      <c r="R546" s="1767"/>
      <c r="S546" s="1767"/>
      <c r="T546" s="1767"/>
      <c r="U546" s="1767"/>
      <c r="V546" s="1767"/>
      <c r="W546" s="1767"/>
      <c r="X546" s="1767"/>
      <c r="Y546" s="1767"/>
      <c r="Z546" s="1767"/>
      <c r="AA546" s="1767"/>
      <c r="AB546" s="1767"/>
      <c r="AC546" s="1767"/>
      <c r="AD546" s="1767"/>
      <c r="AE546" s="1767"/>
      <c r="AF546" s="1767"/>
      <c r="AG546" s="1767"/>
      <c r="AK546" s="141"/>
      <c r="AL546" s="141"/>
      <c r="AM546" s="141"/>
      <c r="AN546" s="243"/>
      <c r="AP546" s="357" t="s">
        <v>2151</v>
      </c>
      <c r="AQ546" s="358"/>
      <c r="AR546" s="358"/>
      <c r="AS546" s="358"/>
      <c r="AT546" s="358"/>
      <c r="AU546" s="1677">
        <f>ROUNDUP(BK568*0.1,0)</f>
        <v>3</v>
      </c>
      <c r="AV546" s="1679"/>
      <c r="AW546" s="358"/>
      <c r="AX546" s="358">
        <f>AU546-AP548</f>
        <v>0</v>
      </c>
      <c r="AY546" s="359"/>
      <c r="BE546" s="1645"/>
      <c r="BF546" s="1650"/>
      <c r="BG546" s="1650"/>
      <c r="BH546" s="1646"/>
      <c r="BI546" s="1645">
        <f>IF(AND(CH547=1,BE545=0),0,1)</f>
        <v>0</v>
      </c>
      <c r="BJ546" s="1650"/>
      <c r="BK546" s="1650"/>
      <c r="BL546" s="1646"/>
      <c r="BM546" s="1645"/>
      <c r="BN546" s="1650"/>
      <c r="BO546" s="1650"/>
      <c r="BP546" s="1646"/>
      <c r="BQ546" s="1645"/>
      <c r="BR546" s="1650"/>
      <c r="BS546" s="1650"/>
      <c r="BT546" s="1646"/>
      <c r="BU546" s="1655"/>
      <c r="BV546" s="1656"/>
      <c r="BW546" s="1656"/>
      <c r="BX546" s="1657"/>
      <c r="BY546" s="1655"/>
      <c r="BZ546" s="1656"/>
      <c r="CA546" s="1656"/>
      <c r="CB546" s="1657"/>
      <c r="CC546"/>
      <c r="CG546"/>
      <c r="CH546" s="1655">
        <f>IF(OR(Y609=0,Y609&gt;=0.1),1,0)</f>
        <v>1</v>
      </c>
      <c r="CI546" s="1656"/>
      <c r="CJ546" s="1656"/>
      <c r="CK546" s="1657"/>
    </row>
    <row r="547" spans="1:89" s="4" customFormat="1" ht="12.75" customHeight="1">
      <c r="B547" s="1767"/>
      <c r="C547" s="1767"/>
      <c r="D547" s="1767"/>
      <c r="E547" s="1767"/>
      <c r="F547" s="1767"/>
      <c r="G547" s="1767"/>
      <c r="H547" s="1767"/>
      <c r="I547" s="1767"/>
      <c r="J547" s="1767"/>
      <c r="K547" s="1767"/>
      <c r="L547" s="1767"/>
      <c r="M547" s="1767"/>
      <c r="N547" s="1767"/>
      <c r="O547" s="1767"/>
      <c r="P547" s="1767"/>
      <c r="Q547" s="1767"/>
      <c r="R547" s="1767"/>
      <c r="S547" s="1767"/>
      <c r="T547" s="1767"/>
      <c r="U547" s="1767"/>
      <c r="V547" s="1767"/>
      <c r="W547" s="1767"/>
      <c r="X547" s="1767"/>
      <c r="Y547" s="1767"/>
      <c r="Z547" s="1767"/>
      <c r="AA547" s="1767"/>
      <c r="AB547" s="1767"/>
      <c r="AC547" s="1767"/>
      <c r="AD547" s="1767"/>
      <c r="AE547" s="1767"/>
      <c r="AF547" s="1767"/>
      <c r="AG547" s="1767"/>
      <c r="AH547" s="140"/>
      <c r="AI547" s="140"/>
      <c r="AJ547" s="140"/>
      <c r="AK547" s="141"/>
      <c r="AL547" s="141"/>
      <c r="AM547" s="141"/>
      <c r="AN547" s="243"/>
      <c r="AP547" s="357"/>
      <c r="AQ547" s="358"/>
      <c r="AR547" s="358"/>
      <c r="AS547" s="358"/>
      <c r="AT547" s="358"/>
      <c r="AU547" s="358"/>
      <c r="AV547" s="359"/>
      <c r="AW547" s="358"/>
      <c r="AX547" s="358"/>
      <c r="AY547" s="359"/>
      <c r="BE547" s="1645"/>
      <c r="BF547" s="1650"/>
      <c r="BG547" s="1650"/>
      <c r="BH547" s="1646"/>
      <c r="BI547" s="1645"/>
      <c r="BJ547" s="1650"/>
      <c r="BK547" s="1650"/>
      <c r="BL547" s="1646"/>
      <c r="BM547" s="1645">
        <f>IF(AND(AND(CH548=1,BI546=0,BE545=0)),0,1)</f>
        <v>0</v>
      </c>
      <c r="BN547" s="1650"/>
      <c r="BO547" s="1650"/>
      <c r="BP547" s="1646"/>
      <c r="BQ547" s="1645"/>
      <c r="BR547" s="1650"/>
      <c r="BS547" s="1650"/>
      <c r="BT547" s="1646"/>
      <c r="BU547" s="1655"/>
      <c r="BV547" s="1656"/>
      <c r="BW547" s="1656"/>
      <c r="BX547" s="1657"/>
      <c r="BY547" s="1655"/>
      <c r="BZ547" s="1656"/>
      <c r="CA547" s="1656"/>
      <c r="CB547" s="1657"/>
      <c r="CC547"/>
      <c r="CG547"/>
      <c r="CH547" s="1655">
        <f>IF(OR(Y610=0,Y610&gt;=0.1),1,0)</f>
        <v>1</v>
      </c>
      <c r="CI547" s="1656"/>
      <c r="CJ547" s="1656"/>
      <c r="CK547" s="1657"/>
    </row>
    <row r="548" spans="1:89" s="4" customFormat="1" ht="12.75" customHeight="1">
      <c r="B548" s="1767"/>
      <c r="C548" s="1767"/>
      <c r="D548" s="1767"/>
      <c r="E548" s="1767"/>
      <c r="F548" s="1767"/>
      <c r="G548" s="1767"/>
      <c r="H548" s="1767"/>
      <c r="I548" s="1767"/>
      <c r="J548" s="1767"/>
      <c r="K548" s="1767"/>
      <c r="L548" s="1767"/>
      <c r="M548" s="1767"/>
      <c r="N548" s="1767"/>
      <c r="O548" s="1767"/>
      <c r="P548" s="1767"/>
      <c r="Q548" s="1767"/>
      <c r="R548" s="1767"/>
      <c r="S548" s="1767"/>
      <c r="T548" s="1767"/>
      <c r="U548" s="1767"/>
      <c r="V548" s="1767"/>
      <c r="W548" s="1767"/>
      <c r="X548" s="1767"/>
      <c r="Y548" s="1767"/>
      <c r="Z548" s="1767"/>
      <c r="AA548" s="1767"/>
      <c r="AB548" s="1767"/>
      <c r="AC548" s="1767"/>
      <c r="AD548" s="1767"/>
      <c r="AE548" s="1767"/>
      <c r="AF548" s="1767"/>
      <c r="AG548" s="1767"/>
      <c r="AH548" s="140"/>
      <c r="AI548" s="140"/>
      <c r="AJ548" s="140"/>
      <c r="AK548" s="141"/>
      <c r="AL548" s="141"/>
      <c r="AM548" s="141"/>
      <c r="AN548" s="243"/>
      <c r="AP548" s="1735">
        <f>SUM(T609:X613)</f>
        <v>3</v>
      </c>
      <c r="AQ548" s="1736"/>
      <c r="AR548" s="1736"/>
      <c r="AS548" s="1736"/>
      <c r="AT548" s="1737"/>
      <c r="AU548" s="358"/>
      <c r="AV548" s="359"/>
      <c r="AW548" s="358"/>
      <c r="AX548" s="358"/>
      <c r="AY548" s="359"/>
      <c r="BE548" s="1645"/>
      <c r="BF548" s="1650"/>
      <c r="BG548" s="1650"/>
      <c r="BH548" s="1646"/>
      <c r="BI548" s="1645"/>
      <c r="BJ548" s="1650"/>
      <c r="BK548" s="1650"/>
      <c r="BL548" s="1646"/>
      <c r="BM548" s="1645"/>
      <c r="BN548" s="1650"/>
      <c r="BO548" s="1650"/>
      <c r="BP548" s="1646"/>
      <c r="BQ548" s="1645">
        <f>IF(AND(AND(AND(CH549=1,BM547=0,BI546=0,BE545=0))),0,1)</f>
        <v>0</v>
      </c>
      <c r="BR548" s="1650"/>
      <c r="BS548" s="1650"/>
      <c r="BT548" s="1646"/>
      <c r="BU548" s="1655"/>
      <c r="BV548" s="1656"/>
      <c r="BW548" s="1656"/>
      <c r="BX548" s="1657"/>
      <c r="BY548" s="1655"/>
      <c r="BZ548" s="1656"/>
      <c r="CA548" s="1656"/>
      <c r="CB548" s="1657"/>
      <c r="CC548"/>
      <c r="CG548"/>
      <c r="CH548" s="1655">
        <f>IF(OR(Y611=0,Y611&gt;=0.1),1,0)</f>
        <v>1</v>
      </c>
      <c r="CI548" s="1656"/>
      <c r="CJ548" s="1656"/>
      <c r="CK548" s="1657"/>
    </row>
    <row r="549" spans="1:89" s="4" customFormat="1" ht="12.75" customHeight="1">
      <c r="B549" s="1767"/>
      <c r="C549" s="1767"/>
      <c r="D549" s="1767"/>
      <c r="E549" s="1767"/>
      <c r="F549" s="1767"/>
      <c r="G549" s="1767"/>
      <c r="H549" s="1767"/>
      <c r="I549" s="1767"/>
      <c r="J549" s="1767"/>
      <c r="K549" s="1767"/>
      <c r="L549" s="1767"/>
      <c r="M549" s="1767"/>
      <c r="N549" s="1767"/>
      <c r="O549" s="1767"/>
      <c r="P549" s="1767"/>
      <c r="Q549" s="1767"/>
      <c r="R549" s="1767"/>
      <c r="S549" s="1767"/>
      <c r="T549" s="1767"/>
      <c r="U549" s="1767"/>
      <c r="V549" s="1767"/>
      <c r="W549" s="1767"/>
      <c r="X549" s="1767"/>
      <c r="Y549" s="1767"/>
      <c r="Z549" s="1767"/>
      <c r="AA549" s="1767"/>
      <c r="AB549" s="1767"/>
      <c r="AC549" s="1767"/>
      <c r="AD549" s="1767"/>
      <c r="AE549" s="1767"/>
      <c r="AF549" s="1767"/>
      <c r="AG549" s="1767"/>
      <c r="AH549" s="140"/>
      <c r="AI549" s="140"/>
      <c r="AJ549" s="140"/>
      <c r="AK549" s="141"/>
      <c r="AL549" s="141"/>
      <c r="AM549" s="141"/>
      <c r="AN549" s="243"/>
      <c r="AP549" s="360"/>
      <c r="AQ549" s="361"/>
      <c r="AR549" s="361"/>
      <c r="AS549" s="361"/>
      <c r="AT549" s="362" t="s">
        <v>2138</v>
      </c>
      <c r="AU549" s="1677" t="str">
        <f>IF(AP548&gt;=AU546,"passed","failed")</f>
        <v>passed</v>
      </c>
      <c r="AV549" s="1678"/>
      <c r="AW549" s="1679"/>
      <c r="AX549" s="363"/>
      <c r="AY549" s="364"/>
      <c r="BE549" s="1645"/>
      <c r="BF549" s="1650"/>
      <c r="BG549" s="1650"/>
      <c r="BH549" s="1646"/>
      <c r="BI549" s="1645"/>
      <c r="BJ549" s="1650"/>
      <c r="BK549" s="1650"/>
      <c r="BL549" s="1646"/>
      <c r="BM549" s="1645"/>
      <c r="BN549" s="1650"/>
      <c r="BO549" s="1650"/>
      <c r="BP549" s="1646"/>
      <c r="BQ549" s="1645"/>
      <c r="BR549" s="1650"/>
      <c r="BS549" s="1650"/>
      <c r="BT549" s="1646"/>
      <c r="BU549" s="1645">
        <f>IF(AND(AND(AND(AND(CH550=1,BQ548=0,BM547=0,BI546=0,BE545=0)))),0,1)</f>
        <v>0</v>
      </c>
      <c r="BV549" s="1650"/>
      <c r="BW549" s="1650"/>
      <c r="BX549" s="1646"/>
      <c r="BY549" s="1655"/>
      <c r="BZ549" s="1656"/>
      <c r="CA549" s="1656"/>
      <c r="CB549" s="1657"/>
      <c r="CC549"/>
      <c r="CD549"/>
      <c r="CE549"/>
      <c r="CF549"/>
      <c r="CG549"/>
      <c r="CH549" s="1655">
        <f>IF(OR(Y612=0,Y612&gt;=0.1),1,0)</f>
        <v>1</v>
      </c>
      <c r="CI549" s="1656"/>
      <c r="CJ549" s="1656"/>
      <c r="CK549" s="1657"/>
    </row>
    <row r="550" spans="1:89" s="4" customFormat="1" ht="13.65" customHeight="1">
      <c r="B550" s="1767"/>
      <c r="C550" s="1767"/>
      <c r="D550" s="1767"/>
      <c r="E550" s="1767"/>
      <c r="F550" s="1767"/>
      <c r="G550" s="1767"/>
      <c r="H550" s="1767"/>
      <c r="I550" s="1767"/>
      <c r="J550" s="1767"/>
      <c r="K550" s="1767"/>
      <c r="L550" s="1767"/>
      <c r="M550" s="1767"/>
      <c r="N550" s="1767"/>
      <c r="O550" s="1767"/>
      <c r="P550" s="1767"/>
      <c r="Q550" s="1767"/>
      <c r="R550" s="1767"/>
      <c r="S550" s="1767"/>
      <c r="T550" s="1767"/>
      <c r="U550" s="1767"/>
      <c r="V550" s="1767"/>
      <c r="W550" s="1767"/>
      <c r="X550" s="1767"/>
      <c r="Y550" s="1767"/>
      <c r="Z550" s="1767"/>
      <c r="AA550" s="1767"/>
      <c r="AB550" s="1767"/>
      <c r="AC550" s="1767"/>
      <c r="AD550" s="1767"/>
      <c r="AE550" s="1767"/>
      <c r="AF550" s="1767"/>
      <c r="AG550" s="1767"/>
      <c r="AH550" s="140"/>
      <c r="AI550" s="140"/>
      <c r="AJ550" s="140"/>
      <c r="AK550" s="141"/>
      <c r="AL550" s="141"/>
      <c r="AM550" s="141"/>
      <c r="AN550" s="243"/>
      <c r="BE550" s="1645">
        <f>SUM(BE545:BH549)</f>
        <v>0</v>
      </c>
      <c r="BF550" s="1650"/>
      <c r="BG550" s="1650"/>
      <c r="BH550" s="1646"/>
      <c r="BI550" s="1645">
        <f>SUM(BI545:BL549)</f>
        <v>0</v>
      </c>
      <c r="BJ550" s="1650"/>
      <c r="BK550" s="1650"/>
      <c r="BL550" s="1646"/>
      <c r="BM550" s="1645">
        <f>SUM(BM545:BP549)</f>
        <v>0</v>
      </c>
      <c r="BN550" s="1650"/>
      <c r="BO550" s="1650"/>
      <c r="BP550" s="1646"/>
      <c r="BQ550" s="1645">
        <f>SUM(BQ545:BT549)</f>
        <v>0</v>
      </c>
      <c r="BR550" s="1650"/>
      <c r="BS550" s="1650"/>
      <c r="BT550" s="1646"/>
      <c r="BU550" s="1645">
        <f>SUM(BU545:BX549)</f>
        <v>0</v>
      </c>
      <c r="BV550" s="1650"/>
      <c r="BW550" s="1650"/>
      <c r="BX550" s="1646"/>
      <c r="BY550" s="1645">
        <f>SUM(BY545:CB549)</f>
        <v>0</v>
      </c>
      <c r="BZ550" s="1650"/>
      <c r="CA550" s="1650"/>
      <c r="CB550" s="1646"/>
      <c r="CC550" s="1655">
        <f>IF(AND(CH546=1,T609&gt;0),0,SUM(BE550:CB550))</f>
        <v>0</v>
      </c>
      <c r="CD550" s="1656"/>
      <c r="CE550" s="1656"/>
      <c r="CF550" s="1657"/>
      <c r="CG550"/>
      <c r="CH550" s="1655">
        <f>IF(OR(Y613=0,Y613&gt;=0.1),1,0)</f>
        <v>1</v>
      </c>
      <c r="CI550" s="1656"/>
      <c r="CJ550" s="1656"/>
      <c r="CK550" s="1657"/>
    </row>
    <row r="551" spans="1:89" s="4" customFormat="1" ht="12.6" customHeight="1">
      <c r="B551" s="1658" t="s">
        <v>2152</v>
      </c>
      <c r="C551" s="1658"/>
      <c r="D551" s="1658"/>
      <c r="E551" s="1658"/>
      <c r="F551" s="1658"/>
      <c r="G551" s="1658"/>
      <c r="H551" s="1658"/>
      <c r="I551" s="1658"/>
      <c r="J551" s="1658"/>
      <c r="K551" s="1658"/>
      <c r="L551" s="1658"/>
      <c r="M551" s="1658"/>
      <c r="N551" s="1658"/>
      <c r="O551" s="1658"/>
      <c r="P551" s="1658"/>
      <c r="Q551" s="1658"/>
      <c r="R551" s="1658"/>
      <c r="S551" s="1658"/>
      <c r="T551" s="1658"/>
      <c r="U551" s="1658"/>
      <c r="V551" s="1658"/>
      <c r="W551" s="1658"/>
      <c r="X551" s="1658"/>
      <c r="Y551" s="1658"/>
      <c r="Z551" s="1658"/>
      <c r="AA551" s="1658"/>
      <c r="AB551" s="1658"/>
      <c r="AC551" s="1658"/>
      <c r="AD551" s="1658"/>
      <c r="AE551" s="1658"/>
      <c r="AF551" s="1658"/>
      <c r="AG551" s="1658"/>
      <c r="AH551" s="140"/>
      <c r="AI551" s="140"/>
      <c r="AJ551" s="140"/>
      <c r="AK551" s="141"/>
      <c r="AL551" s="141"/>
      <c r="AM551" s="141"/>
      <c r="AN551" s="243"/>
    </row>
    <row r="552" spans="1:89" s="4" customFormat="1" ht="21" customHeight="1">
      <c r="B552" s="1658"/>
      <c r="C552" s="1658"/>
      <c r="D552" s="1658"/>
      <c r="E552" s="1658"/>
      <c r="F552" s="1658"/>
      <c r="G552" s="1658"/>
      <c r="H552" s="1658"/>
      <c r="I552" s="1658"/>
      <c r="J552" s="1658"/>
      <c r="K552" s="1658"/>
      <c r="L552" s="1658"/>
      <c r="M552" s="1658"/>
      <c r="N552" s="1658"/>
      <c r="O552" s="1658"/>
      <c r="P552" s="1658"/>
      <c r="Q552" s="1658"/>
      <c r="R552" s="1658"/>
      <c r="S552" s="1658"/>
      <c r="T552" s="1658"/>
      <c r="U552" s="1658"/>
      <c r="V552" s="1658"/>
      <c r="W552" s="1658"/>
      <c r="X552" s="1658"/>
      <c r="Y552" s="1658"/>
      <c r="Z552" s="1658"/>
      <c r="AA552" s="1658"/>
      <c r="AB552" s="1658"/>
      <c r="AC552" s="1658"/>
      <c r="AD552" s="1658"/>
      <c r="AE552" s="1658"/>
      <c r="AF552" s="1658"/>
      <c r="AG552" s="1658"/>
      <c r="AH552" s="140"/>
      <c r="AI552" s="140"/>
      <c r="AJ552" s="140"/>
      <c r="AK552" s="141"/>
      <c r="AL552" s="141"/>
      <c r="AM552" s="141"/>
      <c r="AN552" s="243"/>
      <c r="AP552" s="123" t="s">
        <v>2153</v>
      </c>
      <c r="AQ552" s="124"/>
      <c r="AR552" s="124"/>
      <c r="AS552" s="124"/>
      <c r="AT552" s="124"/>
      <c r="AU552" s="124"/>
      <c r="AV552" s="124"/>
      <c r="AW552" s="124"/>
      <c r="AX552" s="124"/>
      <c r="AY552" s="125"/>
    </row>
    <row r="553" spans="1:89" s="4" customFormat="1" ht="12.75" customHeight="1">
      <c r="B553" s="1658" t="s">
        <v>2154</v>
      </c>
      <c r="C553" s="1658"/>
      <c r="D553" s="1658"/>
      <c r="E553" s="1658"/>
      <c r="F553" s="1658"/>
      <c r="G553" s="1658"/>
      <c r="H553" s="1658"/>
      <c r="I553" s="1658"/>
      <c r="J553" s="1658"/>
      <c r="K553" s="1658"/>
      <c r="L553" s="1658"/>
      <c r="M553" s="1658"/>
      <c r="N553" s="1658"/>
      <c r="O553" s="1658"/>
      <c r="P553" s="1658"/>
      <c r="Q553" s="1658"/>
      <c r="R553" s="1658"/>
      <c r="S553" s="1658"/>
      <c r="T553" s="1658"/>
      <c r="U553" s="1658"/>
      <c r="V553" s="1658"/>
      <c r="W553" s="1658"/>
      <c r="X553" s="1658"/>
      <c r="Y553" s="1658"/>
      <c r="Z553" s="1658"/>
      <c r="AA553" s="1658"/>
      <c r="AB553" s="1658"/>
      <c r="AC553" s="1658"/>
      <c r="AD553" s="1658"/>
      <c r="AE553" s="1658"/>
      <c r="AF553" s="1658"/>
      <c r="AG553" s="579"/>
      <c r="AH553" s="140"/>
      <c r="AI553" s="140"/>
      <c r="AJ553" s="140"/>
      <c r="AK553" s="141"/>
      <c r="AL553" s="141"/>
      <c r="AM553" s="141"/>
      <c r="AN553" s="243"/>
      <c r="AP553" s="126" t="s">
        <v>2155</v>
      </c>
      <c r="AQ553" s="127"/>
      <c r="AR553" s="127"/>
      <c r="AS553" s="127"/>
      <c r="AT553" s="127"/>
      <c r="AU553" s="127"/>
      <c r="AV553" s="127"/>
      <c r="AW553" s="127"/>
      <c r="AX553" s="134"/>
      <c r="AY553" s="134"/>
    </row>
    <row r="554" spans="1:89" s="4" customFormat="1" ht="12.75" customHeight="1">
      <c r="B554" s="1658"/>
      <c r="C554" s="1658"/>
      <c r="D554" s="1658"/>
      <c r="E554" s="1658"/>
      <c r="F554" s="1658"/>
      <c r="G554" s="1658"/>
      <c r="H554" s="1658"/>
      <c r="I554" s="1658"/>
      <c r="J554" s="1658"/>
      <c r="K554" s="1658"/>
      <c r="L554" s="1658"/>
      <c r="M554" s="1658"/>
      <c r="N554" s="1658"/>
      <c r="O554" s="1658"/>
      <c r="P554" s="1658"/>
      <c r="Q554" s="1658"/>
      <c r="R554" s="1658"/>
      <c r="S554" s="1658"/>
      <c r="T554" s="1658"/>
      <c r="U554" s="1658"/>
      <c r="V554" s="1658"/>
      <c r="W554" s="1658"/>
      <c r="X554" s="1658"/>
      <c r="Y554" s="1658"/>
      <c r="Z554" s="1658"/>
      <c r="AA554" s="1658"/>
      <c r="AB554" s="1658"/>
      <c r="AC554" s="1658"/>
      <c r="AD554" s="1658"/>
      <c r="AE554" s="1658"/>
      <c r="AF554" s="1658"/>
      <c r="AG554" s="140"/>
      <c r="AH554" s="140"/>
      <c r="AI554" s="140"/>
      <c r="AJ554" s="140"/>
      <c r="AK554" s="141"/>
      <c r="AL554" s="141"/>
      <c r="AM554" s="141"/>
      <c r="AN554" s="243"/>
      <c r="AP554" s="128"/>
      <c r="AQ554" s="129"/>
      <c r="AR554" s="129"/>
      <c r="AS554" s="129"/>
      <c r="AT554" s="135" t="s">
        <v>2138</v>
      </c>
      <c r="AU554" s="129"/>
      <c r="AV554" s="1645" t="str">
        <f>IF(BJ590&gt;0,"failed","passed")</f>
        <v>passed</v>
      </c>
      <c r="AW554" s="1650"/>
      <c r="AX554" s="1650"/>
      <c r="AY554" s="1646"/>
    </row>
    <row r="555" spans="1:89" s="4" customFormat="1" ht="12.6" customHeight="1">
      <c r="B555" s="580" t="s">
        <v>2156</v>
      </c>
      <c r="C555" s="581"/>
      <c r="D555" s="581"/>
      <c r="E555" s="581"/>
      <c r="F555" s="581"/>
      <c r="G555" s="581"/>
      <c r="H555" s="581"/>
      <c r="I555" s="581"/>
      <c r="J555" s="581"/>
      <c r="K555" s="581"/>
      <c r="L555" s="581"/>
      <c r="M555" s="581"/>
      <c r="N555" s="581"/>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2157</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596" t="s">
        <v>2158</v>
      </c>
      <c r="R557" s="1596"/>
      <c r="S557" s="1596"/>
      <c r="T557" s="1596"/>
      <c r="U557" s="1596"/>
      <c r="V557" s="1596"/>
      <c r="W557" s="1596"/>
      <c r="X557" s="1596"/>
      <c r="Y557" s="1596"/>
      <c r="Z557" s="1596"/>
      <c r="AA557" s="1596"/>
      <c r="AB557" s="1596"/>
      <c r="AC557" s="1596"/>
      <c r="AD557" s="1596"/>
      <c r="AE557" s="1596"/>
      <c r="AF557" s="1596"/>
      <c r="AG557" s="140"/>
      <c r="AH557" s="140"/>
      <c r="AI557" s="140"/>
      <c r="AN557" s="243"/>
      <c r="AP557" s="6" t="s">
        <v>2159</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596"/>
      <c r="R558" s="1596"/>
      <c r="S558" s="1596"/>
      <c r="T558" s="1596"/>
      <c r="U558" s="1596"/>
      <c r="V558" s="1596"/>
      <c r="W558" s="1596"/>
      <c r="X558" s="1596"/>
      <c r="Y558" s="1596"/>
      <c r="Z558" s="1596"/>
      <c r="AA558" s="1596"/>
      <c r="AB558" s="1596"/>
      <c r="AC558" s="1596"/>
      <c r="AD558" s="1596"/>
      <c r="AE558" s="1596"/>
      <c r="AF558" s="1596"/>
      <c r="AN558" s="243"/>
      <c r="AP558" s="46" t="s">
        <v>2160</v>
      </c>
      <c r="AQ558" s="47"/>
      <c r="AR558" s="47"/>
      <c r="AS558" s="47"/>
      <c r="AT558" s="47"/>
      <c r="AU558" s="47"/>
      <c r="AV558" s="47"/>
      <c r="AW558" s="47"/>
      <c r="AX558" s="47"/>
      <c r="AY558" s="47"/>
      <c r="AZ558" s="47"/>
      <c r="BA558" s="47"/>
      <c r="BB558" s="47"/>
      <c r="BC558" s="8"/>
      <c r="BD558" s="343" t="str">
        <f>IF(CN577=0,"passed","failed")</f>
        <v>passed</v>
      </c>
      <c r="BE558" s="344"/>
      <c r="BF558" s="344"/>
      <c r="BG558" s="34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4"/>
      <c r="O559" s="334"/>
      <c r="P559" s="389"/>
      <c r="Q559" s="1581" t="s">
        <v>2161</v>
      </c>
      <c r="R559" s="1582"/>
      <c r="S559" s="1743" t="s">
        <v>2162</v>
      </c>
      <c r="T559" s="1743"/>
      <c r="U559" s="1581">
        <v>0.5</v>
      </c>
      <c r="V559" s="1582"/>
      <c r="W559" s="1581">
        <v>0.45</v>
      </c>
      <c r="X559" s="1582"/>
      <c r="Y559" s="1581">
        <v>0.4</v>
      </c>
      <c r="Z559" s="1582"/>
      <c r="AA559" s="1581">
        <v>0.35</v>
      </c>
      <c r="AB559" s="1582"/>
      <c r="AC559" s="1675">
        <v>0.3</v>
      </c>
      <c r="AD559" s="1676"/>
      <c r="AE559" s="1581">
        <v>0.2</v>
      </c>
      <c r="AF559" s="1582"/>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60"/>
      <c r="P560" s="1561"/>
      <c r="Q560" s="1579"/>
      <c r="R560" s="1580"/>
      <c r="S560" s="1659"/>
      <c r="T560" s="1659"/>
      <c r="U560" s="1580"/>
      <c r="V560" s="1580"/>
      <c r="W560" s="1580"/>
      <c r="X560" s="1580"/>
      <c r="Y560" s="1580"/>
      <c r="Z560" s="1580"/>
      <c r="AA560" s="1651"/>
      <c r="AB560" s="1651"/>
      <c r="AC560" s="1580"/>
      <c r="AD560" s="1580"/>
      <c r="AE560" s="1673"/>
      <c r="AF560" s="1674"/>
      <c r="AN560" s="243"/>
      <c r="AP560" s="122" t="s">
        <v>2163</v>
      </c>
      <c r="AQ560" s="9"/>
      <c r="AR560" s="9"/>
      <c r="AS560" s="9"/>
      <c r="AT560" s="1655" t="str">
        <f>IF(OR(AV554="passed",BD558="passed"),"passed","failed")</f>
        <v>passed</v>
      </c>
      <c r="AU560" s="1656"/>
      <c r="AV560" s="1656"/>
      <c r="AW560" s="1656"/>
      <c r="AX560" s="1657"/>
    </row>
    <row r="561" spans="1:96" s="4" customFormat="1" ht="12.75" customHeight="1">
      <c r="B561" s="56"/>
      <c r="I561" s="186"/>
      <c r="J561" s="140"/>
      <c r="N561" s="37"/>
      <c r="O561" s="1560"/>
      <c r="P561" s="1561"/>
      <c r="Q561" s="1562"/>
      <c r="R561" s="1563"/>
      <c r="S561" s="1563"/>
      <c r="T561" s="1563"/>
      <c r="U561" s="1563"/>
      <c r="V561" s="1563"/>
      <c r="W561" s="1563"/>
      <c r="X561" s="1563"/>
      <c r="Y561" s="1577"/>
      <c r="Z561" s="1577"/>
      <c r="AA561" s="1563"/>
      <c r="AB561" s="1563"/>
      <c r="AC561" s="1577"/>
      <c r="AD561" s="1577"/>
      <c r="AE561" s="1597"/>
      <c r="AF561" s="1598"/>
      <c r="AN561" s="243"/>
      <c r="AP561"/>
      <c r="AQ561"/>
      <c r="AR561"/>
      <c r="AS561"/>
      <c r="AT561"/>
      <c r="AU561"/>
      <c r="AV561"/>
      <c r="AW561"/>
      <c r="AX561"/>
      <c r="AY561"/>
    </row>
    <row r="562" spans="1:96" s="4" customFormat="1" ht="12.75" customHeight="1">
      <c r="B562" s="56"/>
      <c r="I562" s="186"/>
      <c r="J562" s="140"/>
      <c r="N562" s="37"/>
      <c r="O562" s="1560"/>
      <c r="P562" s="1561"/>
      <c r="Q562" s="1562"/>
      <c r="R562" s="1563"/>
      <c r="S562" s="1563"/>
      <c r="T562" s="1563"/>
      <c r="U562" s="1563"/>
      <c r="V562" s="1563"/>
      <c r="W562" s="1563"/>
      <c r="X562" s="1563"/>
      <c r="Y562" s="1563"/>
      <c r="Z562" s="1563"/>
      <c r="AA562" s="1577"/>
      <c r="AB562" s="1577"/>
      <c r="AC562" s="1563"/>
      <c r="AD562" s="1563"/>
      <c r="AE562" s="1683"/>
      <c r="AF562" s="1684"/>
      <c r="AN562" s="243"/>
      <c r="AP562" s="131" t="s">
        <v>2164</v>
      </c>
      <c r="AQ562" s="132"/>
      <c r="AR562" s="132"/>
      <c r="AS562" s="132"/>
      <c r="AT562" s="132"/>
      <c r="AU562" s="132"/>
      <c r="AV562" s="133"/>
      <c r="AW562" s="1680" t="str">
        <f>IF(AND(AND(AND(AND(AS542="passed",AU549="passed",BD558="passed",SUM(T609:X613)&gt;1)))),"YES","NO")</f>
        <v>YES</v>
      </c>
      <c r="AX562" s="1681"/>
      <c r="AY562" s="1682"/>
      <c r="AZ562" s="36"/>
      <c r="BA562" s="36"/>
      <c r="BB562" s="36"/>
      <c r="BC562" s="36"/>
      <c r="BD562" s="36"/>
      <c r="BE562" s="21"/>
      <c r="BF562" s="21"/>
      <c r="BG562" s="21"/>
    </row>
    <row r="563" spans="1:96" s="4" customFormat="1" ht="12.75" customHeight="1">
      <c r="B563" s="56"/>
      <c r="I563" s="186"/>
      <c r="J563" s="140"/>
      <c r="N563" s="37"/>
      <c r="O563" s="1560"/>
      <c r="P563" s="1561"/>
      <c r="Q563" s="1562"/>
      <c r="R563" s="1563"/>
      <c r="S563" s="1563"/>
      <c r="T563" s="1563"/>
      <c r="U563" s="1563"/>
      <c r="V563" s="1563"/>
      <c r="W563" s="1563"/>
      <c r="X563" s="1563"/>
      <c r="Y563" s="1577"/>
      <c r="Z563" s="1577"/>
      <c r="AA563" s="1563"/>
      <c r="AB563" s="1563"/>
      <c r="AC563" s="1577"/>
      <c r="AD563" s="1577"/>
      <c r="AE563" s="1597"/>
      <c r="AF563" s="1598"/>
      <c r="AN563" s="243"/>
    </row>
    <row r="564" spans="1:96" s="4" customFormat="1" ht="12.75" customHeight="1">
      <c r="B564" s="56"/>
      <c r="I564" s="186"/>
      <c r="J564" s="140"/>
      <c r="N564" s="37"/>
      <c r="O564" s="1560"/>
      <c r="P564" s="1561"/>
      <c r="Q564" s="1562"/>
      <c r="R564" s="1563"/>
      <c r="S564" s="1563"/>
      <c r="T564" s="1563"/>
      <c r="U564" s="1563"/>
      <c r="V564" s="1563"/>
      <c r="W564" s="1577"/>
      <c r="X564" s="1577"/>
      <c r="Y564" s="1563"/>
      <c r="Z564" s="1563"/>
      <c r="AA564" s="1577"/>
      <c r="AB564" s="1577"/>
      <c r="AC564" s="1563"/>
      <c r="AD564" s="1563"/>
      <c r="AE564" s="1683"/>
      <c r="AF564" s="1684"/>
      <c r="AN564" s="243"/>
    </row>
    <row r="565" spans="1:96" s="4" customFormat="1" ht="12.75" customHeight="1">
      <c r="B565" s="56"/>
      <c r="I565" s="186"/>
      <c r="J565" s="140"/>
      <c r="N565" s="37"/>
      <c r="O565" s="1560"/>
      <c r="P565" s="1561"/>
      <c r="Q565" s="1562"/>
      <c r="R565" s="1563"/>
      <c r="S565" s="1563"/>
      <c r="T565" s="1563"/>
      <c r="U565" s="1563"/>
      <c r="V565" s="1563"/>
      <c r="W565" s="1563"/>
      <c r="X565" s="1563"/>
      <c r="Y565" s="1577"/>
      <c r="Z565" s="1577"/>
      <c r="AA565" s="1563"/>
      <c r="AB565" s="1563"/>
      <c r="AC565" s="1577"/>
      <c r="AD565" s="1577"/>
      <c r="AE565" s="1597"/>
      <c r="AF565" s="1598"/>
      <c r="AN565" s="243"/>
      <c r="AU565" s="21"/>
      <c r="AV565" s="21"/>
      <c r="AW565" s="8"/>
      <c r="AX565" s="9"/>
      <c r="AY565" s="9"/>
      <c r="AZ565" s="53" t="s">
        <v>2165</v>
      </c>
      <c r="BA565" s="1688" t="s">
        <v>2166</v>
      </c>
      <c r="BB565" s="1689"/>
      <c r="BC565" s="1689"/>
      <c r="BD565" s="1689"/>
      <c r="BE565" s="1690"/>
      <c r="BF565" s="1564">
        <f>SUM(O609:S613)</f>
        <v>22</v>
      </c>
      <c r="BG565" s="1565"/>
      <c r="BH565" s="1565"/>
      <c r="BI565" s="1565"/>
      <c r="BJ565" s="1566"/>
      <c r="BK565" s="1564">
        <f>SUM(T609:X613)</f>
        <v>3</v>
      </c>
      <c r="BL565" s="1565"/>
      <c r="BM565" s="1565"/>
      <c r="BN565" s="1565"/>
      <c r="BO565" s="1566"/>
    </row>
    <row r="566" spans="1:96" s="4" customFormat="1" ht="12.75" customHeight="1">
      <c r="B566" s="32"/>
      <c r="I566" s="1227" t="s">
        <v>2103</v>
      </c>
      <c r="J566" s="1228"/>
      <c r="K566" s="1228"/>
      <c r="L566" s="1228"/>
      <c r="M566" s="1228"/>
      <c r="N566" s="1229"/>
      <c r="O566" s="1560">
        <v>0.5</v>
      </c>
      <c r="P566" s="1561"/>
      <c r="Q566" s="1573"/>
      <c r="R566" s="1574"/>
      <c r="S566" s="1563"/>
      <c r="T566" s="1563"/>
      <c r="U566" s="1595" t="s">
        <v>2167</v>
      </c>
      <c r="V566" s="1595"/>
      <c r="W566" s="1576">
        <v>37.5</v>
      </c>
      <c r="X566" s="1576"/>
      <c r="Y566" s="1574"/>
      <c r="Z566" s="1574"/>
      <c r="AA566" s="1576"/>
      <c r="AB566" s="1576"/>
      <c r="AC566" s="1574"/>
      <c r="AD566" s="1574"/>
      <c r="AE566" s="1685"/>
      <c r="AF566" s="1686"/>
      <c r="AN566" s="243"/>
      <c r="CL566"/>
      <c r="CM566"/>
    </row>
    <row r="567" spans="1:96" s="4" customFormat="1" ht="12.75" customHeight="1">
      <c r="B567" s="99"/>
      <c r="C567" s="54"/>
      <c r="I567" s="1227"/>
      <c r="J567" s="1228"/>
      <c r="K567" s="1228"/>
      <c r="L567" s="1228"/>
      <c r="M567" s="1228"/>
      <c r="N567" s="1229"/>
      <c r="O567" s="1560">
        <v>0.45</v>
      </c>
      <c r="P567" s="1561"/>
      <c r="Q567" s="1562"/>
      <c r="R567" s="1563"/>
      <c r="S567" s="1563"/>
      <c r="T567" s="1563"/>
      <c r="U567" s="1575" t="s">
        <v>2168</v>
      </c>
      <c r="V567" s="1575"/>
      <c r="W567" s="1577">
        <v>33.799999999999997</v>
      </c>
      <c r="X567" s="1577"/>
      <c r="Y567" s="1577"/>
      <c r="Z567" s="1577"/>
      <c r="AA567" s="1563"/>
      <c r="AB567" s="1563"/>
      <c r="AC567" s="1577"/>
      <c r="AD567" s="1577"/>
      <c r="AE567" s="1597"/>
      <c r="AF567" s="1598"/>
      <c r="AN567" s="243"/>
      <c r="CL567"/>
      <c r="CM567"/>
    </row>
    <row r="568" spans="1:96" s="4" customFormat="1" ht="12.75" customHeight="1">
      <c r="B568" s="37"/>
      <c r="C568" s="37"/>
      <c r="D568" s="37"/>
      <c r="E568" s="37"/>
      <c r="I568" s="1227"/>
      <c r="J568" s="1228"/>
      <c r="K568" s="1228"/>
      <c r="L568" s="1228"/>
      <c r="M568" s="1228"/>
      <c r="N568" s="1229"/>
      <c r="O568" s="1560">
        <v>0.4</v>
      </c>
      <c r="P568" s="1561"/>
      <c r="Q568" s="1562"/>
      <c r="R568" s="1563"/>
      <c r="S568" s="1575" t="s">
        <v>2169</v>
      </c>
      <c r="T568" s="1575"/>
      <c r="U568" s="1577">
        <v>20</v>
      </c>
      <c r="V568" s="1577"/>
      <c r="W568" s="1577">
        <v>30</v>
      </c>
      <c r="X568" s="1577"/>
      <c r="Y568" s="1577"/>
      <c r="Z568" s="1577"/>
      <c r="AA568" s="1577"/>
      <c r="AB568" s="1577"/>
      <c r="AC568" s="1577"/>
      <c r="AD568" s="1577"/>
      <c r="AE568" s="1597"/>
      <c r="AF568" s="1598"/>
      <c r="AN568" s="243"/>
      <c r="AP568" s="1744" t="s">
        <v>2170</v>
      </c>
      <c r="AQ568" s="1745"/>
      <c r="AR568" s="1745"/>
      <c r="AS568" s="1745"/>
      <c r="AT568" s="1745"/>
      <c r="AU568" s="1745"/>
      <c r="AV568" s="1745"/>
      <c r="AW568" s="1745"/>
      <c r="AX568" s="1745"/>
      <c r="AY568" s="1745"/>
      <c r="AZ568" s="1745"/>
      <c r="BA568" s="1745"/>
      <c r="BB568" s="1745"/>
      <c r="BC568" s="1745"/>
      <c r="BD568" s="1745"/>
      <c r="BE568" s="1745"/>
      <c r="BF568" s="1745"/>
      <c r="BG568" s="1745"/>
      <c r="BH568" s="1745"/>
      <c r="BI568" s="1745"/>
      <c r="BJ568" s="1746"/>
      <c r="BK568" s="1667">
        <f>BF565</f>
        <v>22</v>
      </c>
      <c r="BL568" s="1668"/>
      <c r="BM568" s="1668"/>
      <c r="BN568" s="1668"/>
      <c r="BO568" s="166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27"/>
      <c r="J569" s="1228"/>
      <c r="K569" s="1228"/>
      <c r="L569" s="1228"/>
      <c r="M569" s="1228"/>
      <c r="N569" s="1229"/>
      <c r="O569" s="1560">
        <v>0.35</v>
      </c>
      <c r="P569" s="1561"/>
      <c r="Q569" s="1562"/>
      <c r="R569" s="1563"/>
      <c r="S569" s="1575" t="s">
        <v>2171</v>
      </c>
      <c r="T569" s="1575"/>
      <c r="U569" s="1577">
        <v>17.5</v>
      </c>
      <c r="V569" s="1577"/>
      <c r="W569" s="1577">
        <v>26.3</v>
      </c>
      <c r="X569" s="1577"/>
      <c r="Y569" s="1577">
        <v>35</v>
      </c>
      <c r="Z569" s="1577"/>
      <c r="AA569" s="1577"/>
      <c r="AB569" s="1577"/>
      <c r="AC569" s="1577">
        <v>50</v>
      </c>
      <c r="AD569" s="1577"/>
      <c r="AE569" s="1597"/>
      <c r="AF569" s="1598"/>
      <c r="AN569" s="243"/>
      <c r="AP569" s="1747"/>
      <c r="AQ569" s="1748"/>
      <c r="AR569" s="1748"/>
      <c r="AS569" s="1748"/>
      <c r="AT569" s="1748"/>
      <c r="AU569" s="1748"/>
      <c r="AV569" s="1748"/>
      <c r="AW569" s="1748"/>
      <c r="AX569" s="1748"/>
      <c r="AY569" s="1748"/>
      <c r="AZ569" s="1748"/>
      <c r="BA569" s="1748"/>
      <c r="BB569" s="1748"/>
      <c r="BC569" s="1748"/>
      <c r="BD569" s="1748"/>
      <c r="BE569" s="1748"/>
      <c r="BF569" s="1748"/>
      <c r="BG569" s="1748"/>
      <c r="BH569" s="1748"/>
      <c r="BI569" s="1748"/>
      <c r="BJ569" s="1749"/>
      <c r="BK569" s="1670"/>
      <c r="BL569" s="1671"/>
      <c r="BM569" s="1671"/>
      <c r="BN569" s="1671"/>
      <c r="BO569" s="167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27"/>
      <c r="J570" s="1228"/>
      <c r="K570" s="1228"/>
      <c r="L570" s="1228"/>
      <c r="M570" s="1228"/>
      <c r="N570" s="1229"/>
      <c r="O570" s="1560">
        <v>0.3</v>
      </c>
      <c r="P570" s="1561"/>
      <c r="Q570" s="1562"/>
      <c r="R570" s="1563"/>
      <c r="S570" s="1575" t="s">
        <v>2172</v>
      </c>
      <c r="T570" s="1575"/>
      <c r="U570" s="1577">
        <v>15</v>
      </c>
      <c r="V570" s="1577"/>
      <c r="W570" s="1577">
        <v>22.5</v>
      </c>
      <c r="X570" s="1577"/>
      <c r="Y570" s="1577">
        <v>30</v>
      </c>
      <c r="Z570" s="1577"/>
      <c r="AA570" s="1577">
        <v>37.5</v>
      </c>
      <c r="AB570" s="1577"/>
      <c r="AC570" s="1577">
        <v>45</v>
      </c>
      <c r="AD570" s="1577"/>
      <c r="AE570" s="1597"/>
      <c r="AF570" s="159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197">
        <v>5</v>
      </c>
      <c r="BK570" s="1198"/>
      <c r="BL570" s="1198"/>
      <c r="BM570" s="1198"/>
      <c r="BN570" s="1199"/>
      <c r="BO570" s="1197">
        <v>4</v>
      </c>
      <c r="BP570" s="1198"/>
      <c r="BQ570" s="1198"/>
      <c r="BR570" s="1198"/>
      <c r="BS570" s="1199"/>
      <c r="BT570" s="1197">
        <v>3</v>
      </c>
      <c r="BU570" s="1198"/>
      <c r="BV570" s="1198"/>
      <c r="BW570" s="1198"/>
      <c r="BX570" s="1199"/>
      <c r="BY570" s="1197">
        <v>2</v>
      </c>
      <c r="BZ570" s="1198"/>
      <c r="CA570" s="1198"/>
      <c r="CB570" s="1198"/>
      <c r="CC570" s="1199"/>
      <c r="CD570" s="1197">
        <v>1</v>
      </c>
      <c r="CE570" s="1198"/>
      <c r="CF570" s="1198"/>
      <c r="CG570" s="1198"/>
      <c r="CH570" s="1199"/>
      <c r="CI570" s="1197">
        <v>0</v>
      </c>
      <c r="CJ570" s="1198"/>
      <c r="CK570" s="1198"/>
      <c r="CL570" s="1198"/>
      <c r="CM570" s="1199"/>
      <c r="CN570" s="21"/>
      <c r="CO570" s="21"/>
      <c r="CP570" s="21"/>
      <c r="CQ570" s="21"/>
      <c r="CR570" s="21"/>
    </row>
    <row r="571" spans="1:96" s="4" customFormat="1" ht="12.75" customHeight="1">
      <c r="B571" s="37"/>
      <c r="C571" s="37"/>
      <c r="D571" s="37"/>
      <c r="E571" s="37"/>
      <c r="I571" s="1227"/>
      <c r="J571" s="1228"/>
      <c r="K571" s="1228"/>
      <c r="L571" s="1228"/>
      <c r="M571" s="1228"/>
      <c r="N571" s="1229"/>
      <c r="O571" s="1560">
        <v>0.25</v>
      </c>
      <c r="P571" s="1561"/>
      <c r="Q571" s="1562"/>
      <c r="R571" s="1563"/>
      <c r="S571" s="1575" t="s">
        <v>2173</v>
      </c>
      <c r="T571" s="1575"/>
      <c r="U571" s="1577">
        <v>12.5</v>
      </c>
      <c r="V571" s="1577"/>
      <c r="W571" s="1577">
        <v>18.8</v>
      </c>
      <c r="X571" s="1577"/>
      <c r="Y571" s="1577">
        <v>25</v>
      </c>
      <c r="Z571" s="1577"/>
      <c r="AA571" s="1577">
        <v>31.3</v>
      </c>
      <c r="AB571" s="1577"/>
      <c r="AC571" s="1577">
        <v>37.5</v>
      </c>
      <c r="AD571" s="1577"/>
      <c r="AE571" s="1597">
        <v>50</v>
      </c>
      <c r="AF571" s="1598"/>
      <c r="AN571" s="243"/>
      <c r="AP571" s="1652" t="str">
        <f t="shared" ref="AP571:AP577" si="0">J608</f>
        <v>5 BR</v>
      </c>
      <c r="AQ571" s="1653"/>
      <c r="AR571" s="1653"/>
      <c r="AS571" s="1653"/>
      <c r="AT571" s="1654"/>
      <c r="AU571" s="1304">
        <f t="shared" ref="AU571:AU576" si="1">O608</f>
        <v>0</v>
      </c>
      <c r="AV571" s="1305"/>
      <c r="AW571" s="1305"/>
      <c r="AX571" s="1305"/>
      <c r="AY571" s="1306"/>
      <c r="AZ571" s="1304">
        <f t="shared" ref="AZ571:AZ576" si="2">T608</f>
        <v>0</v>
      </c>
      <c r="BA571" s="1305"/>
      <c r="BB571" s="1305"/>
      <c r="BC571" s="1305"/>
      <c r="BD571" s="1306"/>
      <c r="BE571" s="1647">
        <f t="shared" ref="BE571:BE576" si="3">Y608</f>
        <v>0</v>
      </c>
      <c r="BF571" s="1648"/>
      <c r="BG571" s="1648"/>
      <c r="BH571" s="1648"/>
      <c r="BI571" s="1649"/>
      <c r="BJ571" s="1197">
        <f>IF(OR(AP581=0,BE571&gt;=0.1),0,1)</f>
        <v>0</v>
      </c>
      <c r="BK571" s="1198"/>
      <c r="BL571" s="1198"/>
      <c r="BM571" s="1198"/>
      <c r="BN571" s="1199"/>
      <c r="BO571" s="1197"/>
      <c r="BP571" s="1198"/>
      <c r="BQ571" s="1198"/>
      <c r="BR571" s="1198"/>
      <c r="BS571" s="1199"/>
      <c r="BT571" s="1197"/>
      <c r="BU571" s="1198"/>
      <c r="BV571" s="1198"/>
      <c r="BW571" s="1198"/>
      <c r="BX571" s="1199"/>
      <c r="BY571" s="1197"/>
      <c r="BZ571" s="1198"/>
      <c r="CA571" s="1198"/>
      <c r="CB571" s="1198"/>
      <c r="CC571" s="1199"/>
      <c r="CD571" s="1197"/>
      <c r="CE571" s="1198"/>
      <c r="CF571" s="1198"/>
      <c r="CG571" s="1198"/>
      <c r="CH571" s="1199"/>
      <c r="CI571" s="1197"/>
      <c r="CJ571" s="1198"/>
      <c r="CK571" s="1198"/>
      <c r="CL571" s="1198"/>
      <c r="CM571" s="1199"/>
      <c r="CN571" s="21"/>
      <c r="CO571" s="21"/>
      <c r="CP571" s="21"/>
      <c r="CQ571" s="21"/>
      <c r="CR571" s="21"/>
    </row>
    <row r="572" spans="1:96" s="4" customFormat="1" ht="12.75" customHeight="1">
      <c r="A572" s="99"/>
      <c r="B572" s="37"/>
      <c r="C572" s="37"/>
      <c r="D572" s="37"/>
      <c r="E572" s="37"/>
      <c r="I572" s="1227"/>
      <c r="J572" s="1228"/>
      <c r="K572" s="1228"/>
      <c r="L572" s="1228"/>
      <c r="M572" s="1228"/>
      <c r="N572" s="1229"/>
      <c r="O572" s="1560">
        <v>0.2</v>
      </c>
      <c r="P572" s="1561"/>
      <c r="Q572" s="1562"/>
      <c r="R572" s="1563"/>
      <c r="S572" s="1591" t="s">
        <v>2174</v>
      </c>
      <c r="T572" s="1591"/>
      <c r="U572" s="1577">
        <v>10</v>
      </c>
      <c r="V572" s="1577"/>
      <c r="W572" s="1577">
        <v>15</v>
      </c>
      <c r="X572" s="1577"/>
      <c r="Y572" s="1577">
        <v>20</v>
      </c>
      <c r="Z572" s="1577"/>
      <c r="AA572" s="1577">
        <v>25</v>
      </c>
      <c r="AB572" s="1577"/>
      <c r="AC572" s="1577">
        <v>30</v>
      </c>
      <c r="AD572" s="1577"/>
      <c r="AE572" s="1597">
        <v>40</v>
      </c>
      <c r="AF572" s="1598"/>
      <c r="AN572" s="243"/>
      <c r="AP572" s="1652" t="str">
        <f t="shared" si="0"/>
        <v>4 BR</v>
      </c>
      <c r="AQ572" s="1653"/>
      <c r="AR572" s="1653"/>
      <c r="AS572" s="1653"/>
      <c r="AT572" s="1654"/>
      <c r="AU572" s="1304">
        <f t="shared" si="1"/>
        <v>0</v>
      </c>
      <c r="AV572" s="1305"/>
      <c r="AW572" s="1305"/>
      <c r="AX572" s="1305"/>
      <c r="AY572" s="1306"/>
      <c r="AZ572" s="1304">
        <f t="shared" si="2"/>
        <v>0</v>
      </c>
      <c r="BA572" s="1305"/>
      <c r="BB572" s="1305"/>
      <c r="BC572" s="1305"/>
      <c r="BD572" s="1306"/>
      <c r="BE572" s="1647">
        <f t="shared" si="3"/>
        <v>0</v>
      </c>
      <c r="BF572" s="1648"/>
      <c r="BG572" s="1648"/>
      <c r="BH572" s="1648"/>
      <c r="BI572" s="1649"/>
      <c r="BJ572" s="1197"/>
      <c r="BK572" s="1198"/>
      <c r="BL572" s="1198"/>
      <c r="BM572" s="1198"/>
      <c r="BN572" s="1199"/>
      <c r="BO572" s="1197">
        <f>IF(AND(AND(AZ571=0,BJ571=0,AP582=1)),1,0)</f>
        <v>0</v>
      </c>
      <c r="BP572" s="1198"/>
      <c r="BQ572" s="1198"/>
      <c r="BR572" s="1198"/>
      <c r="BS572" s="1199"/>
      <c r="BT572" s="1197"/>
      <c r="BU572" s="1198"/>
      <c r="BV572" s="1198"/>
      <c r="BW572" s="1198"/>
      <c r="BX572" s="1199"/>
      <c r="BY572" s="1197"/>
      <c r="BZ572" s="1198"/>
      <c r="CA572" s="1198"/>
      <c r="CB572" s="1198"/>
      <c r="CC572" s="1199"/>
      <c r="CD572" s="1197"/>
      <c r="CE572" s="1198"/>
      <c r="CF572" s="1198"/>
      <c r="CG572" s="1198"/>
      <c r="CH572" s="1199"/>
      <c r="CI572" s="1197"/>
      <c r="CJ572" s="1198"/>
      <c r="CK572" s="1198"/>
      <c r="CL572" s="1198"/>
      <c r="CM572" s="1199"/>
      <c r="CN572" s="21"/>
      <c r="CO572" s="21"/>
      <c r="CP572" s="21"/>
      <c r="CQ572" s="21"/>
      <c r="CR572" s="21"/>
    </row>
    <row r="573" spans="1:96" s="4" customFormat="1" ht="12.75" customHeight="1">
      <c r="A573" s="99"/>
      <c r="B573" s="37"/>
      <c r="C573" s="37"/>
      <c r="D573" s="37"/>
      <c r="E573" s="37"/>
      <c r="I573" s="1227"/>
      <c r="J573" s="1228"/>
      <c r="K573" s="1228"/>
      <c r="L573" s="1228"/>
      <c r="M573" s="1228"/>
      <c r="N573" s="1229"/>
      <c r="O573" s="1560">
        <v>0.15</v>
      </c>
      <c r="P573" s="1561"/>
      <c r="Q573" s="1562"/>
      <c r="R573" s="1563"/>
      <c r="S573" s="1575" t="s">
        <v>2175</v>
      </c>
      <c r="T573" s="1575"/>
      <c r="U573" s="1577">
        <v>7.5</v>
      </c>
      <c r="V573" s="1577"/>
      <c r="W573" s="1577">
        <v>11.3</v>
      </c>
      <c r="X573" s="1577"/>
      <c r="Y573" s="1577">
        <v>15</v>
      </c>
      <c r="Z573" s="1577"/>
      <c r="AA573" s="1577">
        <v>18.8</v>
      </c>
      <c r="AB573" s="1577"/>
      <c r="AC573" s="1577">
        <v>22.5</v>
      </c>
      <c r="AD573" s="1577"/>
      <c r="AE573" s="1597">
        <v>30</v>
      </c>
      <c r="AF573" s="1598"/>
      <c r="AN573" s="243"/>
      <c r="AP573" s="1652" t="str">
        <f t="shared" si="0"/>
        <v>3 BR</v>
      </c>
      <c r="AQ573" s="1653"/>
      <c r="AR573" s="1653"/>
      <c r="AS573" s="1653"/>
      <c r="AT573" s="1654"/>
      <c r="AU573" s="1304">
        <f t="shared" si="1"/>
        <v>0</v>
      </c>
      <c r="AV573" s="1305"/>
      <c r="AW573" s="1305"/>
      <c r="AX573" s="1305"/>
      <c r="AY573" s="1306"/>
      <c r="AZ573" s="1304">
        <f t="shared" si="2"/>
        <v>0</v>
      </c>
      <c r="BA573" s="1305"/>
      <c r="BB573" s="1305"/>
      <c r="BC573" s="1305"/>
      <c r="BD573" s="1306"/>
      <c r="BE573" s="1647">
        <f t="shared" si="3"/>
        <v>0</v>
      </c>
      <c r="BF573" s="1648"/>
      <c r="BG573" s="1648"/>
      <c r="BH573" s="1648"/>
      <c r="BI573" s="1649"/>
      <c r="BJ573" s="1197"/>
      <c r="BK573" s="1198"/>
      <c r="BL573" s="1198"/>
      <c r="BM573" s="1198"/>
      <c r="BN573" s="1199"/>
      <c r="BO573" s="1197"/>
      <c r="BP573" s="1198"/>
      <c r="BQ573" s="1198"/>
      <c r="BR573" s="1198"/>
      <c r="BS573" s="1199"/>
      <c r="BT573" s="1197">
        <f>IF(AND(AND(AZ571+AZ572=0,BJ571+BO572=0,AP583=1)),1,0)</f>
        <v>0</v>
      </c>
      <c r="BU573" s="1198"/>
      <c r="BV573" s="1198"/>
      <c r="BW573" s="1198"/>
      <c r="BX573" s="1199"/>
      <c r="BY573" s="1197"/>
      <c r="BZ573" s="1198"/>
      <c r="CA573" s="1198"/>
      <c r="CB573" s="1198"/>
      <c r="CC573" s="1199"/>
      <c r="CD573" s="1197"/>
      <c r="CE573" s="1198"/>
      <c r="CF573" s="1198"/>
      <c r="CG573" s="1198"/>
      <c r="CH573" s="1199"/>
      <c r="CI573" s="1197"/>
      <c r="CJ573" s="1198"/>
      <c r="CK573" s="1198"/>
      <c r="CL573" s="1198"/>
      <c r="CM573" s="1199"/>
      <c r="CN573" s="21"/>
      <c r="CO573" s="21"/>
      <c r="CP573" s="21"/>
      <c r="CQ573" s="21"/>
      <c r="CR573" s="21"/>
    </row>
    <row r="574" spans="1:96" s="4" customFormat="1" ht="12.75" customHeight="1" thickBot="1">
      <c r="B574" s="37"/>
      <c r="C574" s="37"/>
      <c r="D574" s="37"/>
      <c r="E574" s="37"/>
      <c r="I574" s="1230"/>
      <c r="J574" s="1231"/>
      <c r="K574" s="1231"/>
      <c r="L574" s="1231"/>
      <c r="M574" s="1231"/>
      <c r="N574" s="1232"/>
      <c r="O574" s="1560">
        <v>0.1</v>
      </c>
      <c r="P574" s="1561"/>
      <c r="Q574" s="1589"/>
      <c r="R574" s="1590"/>
      <c r="S574" s="1575" t="s">
        <v>2176</v>
      </c>
      <c r="T574" s="1575"/>
      <c r="U574" s="1578">
        <v>5</v>
      </c>
      <c r="V574" s="1578"/>
      <c r="W574" s="1578">
        <v>7.5</v>
      </c>
      <c r="X574" s="1578"/>
      <c r="Y574" s="1578">
        <v>10</v>
      </c>
      <c r="Z574" s="1578"/>
      <c r="AA574" s="1578">
        <v>12.5</v>
      </c>
      <c r="AB574" s="1578"/>
      <c r="AC574" s="1578">
        <v>15</v>
      </c>
      <c r="AD574" s="1578"/>
      <c r="AE574" s="1771">
        <v>20</v>
      </c>
      <c r="AF574" s="1772"/>
      <c r="AK574" s="145"/>
      <c r="AL574" s="145"/>
      <c r="AM574" s="37"/>
      <c r="AN574" s="243"/>
      <c r="AP574" s="1652" t="str">
        <f t="shared" si="0"/>
        <v>2 BR</v>
      </c>
      <c r="AQ574" s="1653"/>
      <c r="AR574" s="1653"/>
      <c r="AS574" s="1653"/>
      <c r="AT574" s="1654"/>
      <c r="AU574" s="1304">
        <f t="shared" si="1"/>
        <v>0</v>
      </c>
      <c r="AV574" s="1305"/>
      <c r="AW574" s="1305"/>
      <c r="AX574" s="1305"/>
      <c r="AY574" s="1306"/>
      <c r="AZ574" s="1304">
        <f t="shared" si="2"/>
        <v>0</v>
      </c>
      <c r="BA574" s="1305"/>
      <c r="BB574" s="1305"/>
      <c r="BC574" s="1305"/>
      <c r="BD574" s="1306"/>
      <c r="BE574" s="1647">
        <f t="shared" si="3"/>
        <v>0</v>
      </c>
      <c r="BF574" s="1648"/>
      <c r="BG574" s="1648"/>
      <c r="BH574" s="1648"/>
      <c r="BI574" s="1649"/>
      <c r="BJ574" s="1197"/>
      <c r="BK574" s="1198"/>
      <c r="BL574" s="1198"/>
      <c r="BM574" s="1198"/>
      <c r="BN574" s="1199"/>
      <c r="BO574" s="1197"/>
      <c r="BP574" s="1198"/>
      <c r="BQ574" s="1198"/>
      <c r="BR574" s="1198"/>
      <c r="BS574" s="1199"/>
      <c r="BT574" s="1197"/>
      <c r="BU574" s="1198"/>
      <c r="BV574" s="1198"/>
      <c r="BW574" s="1198"/>
      <c r="BX574" s="1199"/>
      <c r="BY574" s="1197">
        <f>IF(AND(AND(AZ571+AZ572+AZ573=0,BO572+BT573+BJ571=0,AP584=1)),1,0)</f>
        <v>0</v>
      </c>
      <c r="BZ574" s="1198"/>
      <c r="CA574" s="1198"/>
      <c r="CB574" s="1198"/>
      <c r="CC574" s="1199"/>
      <c r="CD574" s="1197"/>
      <c r="CE574" s="1198"/>
      <c r="CF574" s="1198"/>
      <c r="CG574" s="1198"/>
      <c r="CH574" s="1199"/>
      <c r="CI574" s="1197"/>
      <c r="CJ574" s="1198"/>
      <c r="CK574" s="1198"/>
      <c r="CL574" s="1198"/>
      <c r="CM574" s="1199"/>
      <c r="CN574" s="21"/>
      <c r="CO574" s="21"/>
      <c r="CP574" s="21"/>
      <c r="CQ574" s="21"/>
      <c r="CR574" s="21"/>
    </row>
    <row r="575" spans="1:96" s="4" customFormat="1" ht="12.75" customHeight="1">
      <c r="B575" s="37"/>
      <c r="C575" s="37"/>
      <c r="D575" s="37"/>
      <c r="E575" s="1113" t="s">
        <v>2177</v>
      </c>
      <c r="F575" s="1168"/>
      <c r="G575" s="1168"/>
      <c r="H575" s="1168"/>
      <c r="I575" s="1168"/>
      <c r="J575" s="1168"/>
      <c r="K575" s="1168"/>
      <c r="L575" s="1168"/>
      <c r="M575" s="1168"/>
      <c r="N575" s="1168"/>
      <c r="O575" s="1168"/>
      <c r="P575" s="1168"/>
      <c r="Q575" s="1168"/>
      <c r="R575" s="1168"/>
      <c r="S575" s="1168"/>
      <c r="T575" s="1168"/>
      <c r="U575" s="1168"/>
      <c r="V575" s="1168"/>
      <c r="W575" s="1168"/>
      <c r="X575" s="1168"/>
      <c r="Y575" s="1168"/>
      <c r="Z575" s="1168"/>
      <c r="AA575" s="1168"/>
      <c r="AB575" s="1168"/>
      <c r="AC575" s="1168"/>
      <c r="AD575" s="1168"/>
      <c r="AE575" s="1168"/>
      <c r="AF575" s="1168"/>
      <c r="AG575" s="1168"/>
      <c r="AH575" s="1169"/>
      <c r="AK575" s="145"/>
      <c r="AL575" s="145"/>
      <c r="AM575" s="37"/>
      <c r="AN575" s="243"/>
      <c r="AP575" s="1652" t="str">
        <f t="shared" si="0"/>
        <v>1 BR</v>
      </c>
      <c r="AQ575" s="1653"/>
      <c r="AR575" s="1653"/>
      <c r="AS575" s="1653"/>
      <c r="AT575" s="1654"/>
      <c r="AU575" s="1304">
        <f t="shared" si="1"/>
        <v>22</v>
      </c>
      <c r="AV575" s="1305"/>
      <c r="AW575" s="1305"/>
      <c r="AX575" s="1305"/>
      <c r="AY575" s="1306"/>
      <c r="AZ575" s="1304">
        <f t="shared" si="2"/>
        <v>3</v>
      </c>
      <c r="BA575" s="1305"/>
      <c r="BB575" s="1305"/>
      <c r="BC575" s="1305"/>
      <c r="BD575" s="1306"/>
      <c r="BE575" s="1647">
        <f t="shared" si="3"/>
        <v>0.13636363636363635</v>
      </c>
      <c r="BF575" s="1648"/>
      <c r="BG575" s="1648"/>
      <c r="BH575" s="1648"/>
      <c r="BI575" s="1649"/>
      <c r="BJ575" s="1197"/>
      <c r="BK575" s="1198"/>
      <c r="BL575" s="1198"/>
      <c r="BM575" s="1198"/>
      <c r="BN575" s="1199"/>
      <c r="BO575" s="1197"/>
      <c r="BP575" s="1198"/>
      <c r="BQ575" s="1198"/>
      <c r="BR575" s="1198"/>
      <c r="BS575" s="1199"/>
      <c r="BT575" s="1197"/>
      <c r="BU575" s="1198"/>
      <c r="BV575" s="1198"/>
      <c r="BW575" s="1198"/>
      <c r="BX575" s="1199"/>
      <c r="BY575" s="1197"/>
      <c r="BZ575" s="1198"/>
      <c r="CA575" s="1198"/>
      <c r="CB575" s="1198"/>
      <c r="CC575" s="1199"/>
      <c r="CD575" s="1197">
        <f>IF(AND(AND(BE572+BE573+BE574+BE571=0,BT573+BY574+BO572+BJ571=0,AP585=1)),1,0)</f>
        <v>0</v>
      </c>
      <c r="CE575" s="1198"/>
      <c r="CF575" s="1198"/>
      <c r="CG575" s="1198"/>
      <c r="CH575" s="1199"/>
      <c r="CI575" s="1197"/>
      <c r="CJ575" s="1198"/>
      <c r="CK575" s="1198"/>
      <c r="CL575" s="1198"/>
      <c r="CM575" s="1199"/>
      <c r="CN575" s="21"/>
      <c r="CO575" s="21"/>
      <c r="CP575" s="21"/>
      <c r="CQ575" s="21"/>
      <c r="CR575" s="21"/>
    </row>
    <row r="576" spans="1:96" s="4" customFormat="1" ht="12.75" customHeight="1">
      <c r="E576" s="1738"/>
      <c r="F576" s="1453"/>
      <c r="G576" s="1453"/>
      <c r="H576" s="1453"/>
      <c r="I576" s="1453"/>
      <c r="J576" s="1453"/>
      <c r="K576" s="1453"/>
      <c r="L576" s="1453"/>
      <c r="M576" s="1453"/>
      <c r="N576" s="1453"/>
      <c r="O576" s="1453"/>
      <c r="P576" s="1453"/>
      <c r="Q576" s="1453"/>
      <c r="R576" s="1453"/>
      <c r="S576" s="1453"/>
      <c r="T576" s="1453"/>
      <c r="U576" s="1453"/>
      <c r="V576" s="1453"/>
      <c r="W576" s="1453"/>
      <c r="X576" s="1453"/>
      <c r="Y576" s="1453"/>
      <c r="Z576" s="1453"/>
      <c r="AA576" s="1453"/>
      <c r="AB576" s="1453"/>
      <c r="AC576" s="1453"/>
      <c r="AD576" s="1453"/>
      <c r="AE576" s="1453"/>
      <c r="AF576" s="1453"/>
      <c r="AG576" s="1453"/>
      <c r="AH576" s="1739"/>
      <c r="AN576" s="243"/>
      <c r="AP576" s="1652" t="str">
        <f t="shared" si="0"/>
        <v>SRO</v>
      </c>
      <c r="AQ576" s="1653"/>
      <c r="AR576" s="1653"/>
      <c r="AS576" s="1653"/>
      <c r="AT576" s="1654"/>
      <c r="AU576" s="1304">
        <f t="shared" si="1"/>
        <v>0</v>
      </c>
      <c r="AV576" s="1305"/>
      <c r="AW576" s="1305"/>
      <c r="AX576" s="1305"/>
      <c r="AY576" s="1306"/>
      <c r="AZ576" s="1304">
        <f t="shared" si="2"/>
        <v>0</v>
      </c>
      <c r="BA576" s="1305"/>
      <c r="BB576" s="1305"/>
      <c r="BC576" s="1305"/>
      <c r="BD576" s="1306"/>
      <c r="BE576" s="1647">
        <f t="shared" si="3"/>
        <v>0</v>
      </c>
      <c r="BF576" s="1648"/>
      <c r="BG576" s="1648"/>
      <c r="BH576" s="1648"/>
      <c r="BI576" s="1649"/>
      <c r="BJ576" s="1197"/>
      <c r="BK576" s="1198"/>
      <c r="BL576" s="1198"/>
      <c r="BM576" s="1198"/>
      <c r="BN576" s="1199"/>
      <c r="BO576" s="1197"/>
      <c r="BP576" s="1198"/>
      <c r="BQ576" s="1198"/>
      <c r="BR576" s="1198"/>
      <c r="BS576" s="1199"/>
      <c r="BT576" s="1197"/>
      <c r="BU576" s="1198"/>
      <c r="BV576" s="1198"/>
      <c r="BW576" s="1198"/>
      <c r="BX576" s="1199"/>
      <c r="BY576" s="1197"/>
      <c r="BZ576" s="1198"/>
      <c r="CA576" s="1198"/>
      <c r="CB576" s="1198"/>
      <c r="CC576" s="1199"/>
      <c r="CD576" s="1197"/>
      <c r="CE576" s="1198"/>
      <c r="CF576" s="1198"/>
      <c r="CG576" s="1198"/>
      <c r="CH576" s="1199"/>
      <c r="CI576" s="1197">
        <f>IF(AND(AND(AZ573+AZ574+AZ575+AZ572+AZ571=0,BY574+CD575+BT573+BO572+BJ571=0,AP586=1)),1,0)</f>
        <v>0</v>
      </c>
      <c r="CJ576" s="1198"/>
      <c r="CK576" s="1198"/>
      <c r="CL576" s="1198"/>
      <c r="CM576" s="1199"/>
      <c r="CN576" s="21"/>
      <c r="CO576" s="21"/>
      <c r="CP576" s="21"/>
      <c r="CQ576" s="21"/>
      <c r="CR576" s="21"/>
    </row>
    <row r="577" spans="5:96" s="4" customFormat="1" ht="12.75" customHeight="1">
      <c r="E577" s="1778" t="s">
        <v>2178</v>
      </c>
      <c r="F577" s="1779"/>
      <c r="G577" s="1779"/>
      <c r="H577" s="1779"/>
      <c r="I577" s="1779"/>
      <c r="J577" s="1780"/>
      <c r="K577" s="1778" t="s">
        <v>2179</v>
      </c>
      <c r="L577" s="1779"/>
      <c r="M577" s="1779"/>
      <c r="N577" s="1779"/>
      <c r="O577" s="1779"/>
      <c r="P577" s="1780"/>
      <c r="Q577" s="1224" t="s">
        <v>2180</v>
      </c>
      <c r="R577" s="1225"/>
      <c r="S577" s="1225"/>
      <c r="T577" s="1225"/>
      <c r="U577" s="1225"/>
      <c r="V577" s="1226"/>
      <c r="W577" s="1224" t="str">
        <f>I566</f>
        <v>Percent of Low-Income Units (exclusive of manager’s units)</v>
      </c>
      <c r="X577" s="1225"/>
      <c r="Y577" s="1225"/>
      <c r="Z577" s="1225"/>
      <c r="AA577" s="1225"/>
      <c r="AB577" s="1226"/>
      <c r="AC577" s="1224" t="s">
        <v>2181</v>
      </c>
      <c r="AD577" s="1225"/>
      <c r="AE577" s="1225"/>
      <c r="AF577" s="1225"/>
      <c r="AG577" s="1225"/>
      <c r="AH577" s="1226"/>
      <c r="AN577" s="243"/>
      <c r="AP577" s="1652" t="str">
        <f t="shared" si="0"/>
        <v>Total:</v>
      </c>
      <c r="AQ577" s="1653"/>
      <c r="AR577" s="1653"/>
      <c r="AS577" s="1653"/>
      <c r="AT577" s="1654"/>
      <c r="AU577" s="1652"/>
      <c r="AV577" s="1653"/>
      <c r="AW577" s="1653"/>
      <c r="AX577" s="1653"/>
      <c r="AY577" s="1654"/>
      <c r="AZ577" s="1652"/>
      <c r="BA577" s="1653"/>
      <c r="BB577" s="1653"/>
      <c r="BC577" s="1653"/>
      <c r="BD577" s="1654"/>
      <c r="BE577" s="1652"/>
      <c r="BF577" s="1653"/>
      <c r="BG577" s="1653"/>
      <c r="BH577" s="1653"/>
      <c r="BI577" s="1654"/>
      <c r="BJ577" s="1197">
        <f>SUM(BJ571:BN576)</f>
        <v>0</v>
      </c>
      <c r="BK577" s="1198"/>
      <c r="BL577" s="1198"/>
      <c r="BM577" s="1198"/>
      <c r="BN577" s="1199"/>
      <c r="BO577" s="1197">
        <f>SUM(BO571:BS576)</f>
        <v>0</v>
      </c>
      <c r="BP577" s="1198"/>
      <c r="BQ577" s="1198"/>
      <c r="BR577" s="1198"/>
      <c r="BS577" s="1199"/>
      <c r="BT577" s="1197">
        <f>SUM(BT571:BX576)</f>
        <v>0</v>
      </c>
      <c r="BU577" s="1198"/>
      <c r="BV577" s="1198"/>
      <c r="BW577" s="1198"/>
      <c r="BX577" s="1199"/>
      <c r="BY577" s="1197">
        <f>SUM(BY571:CC576)</f>
        <v>0</v>
      </c>
      <c r="BZ577" s="1198"/>
      <c r="CA577" s="1198"/>
      <c r="CB577" s="1198"/>
      <c r="CC577" s="1199"/>
      <c r="CD577" s="1197">
        <f>SUM(CD571:CH576)</f>
        <v>0</v>
      </c>
      <c r="CE577" s="1198"/>
      <c r="CF577" s="1198"/>
      <c r="CG577" s="1198"/>
      <c r="CH577" s="1199"/>
      <c r="CI577" s="1197">
        <f>SUM(CI571:CM576)</f>
        <v>0</v>
      </c>
      <c r="CJ577" s="1198"/>
      <c r="CK577" s="1198"/>
      <c r="CL577" s="1198"/>
      <c r="CM577" s="1199"/>
      <c r="CN577" s="1197">
        <f>SUM(BJ577:CM577)</f>
        <v>0</v>
      </c>
      <c r="CO577" s="1198"/>
      <c r="CP577" s="1198"/>
      <c r="CQ577" s="1198"/>
      <c r="CR577" s="1199"/>
    </row>
    <row r="578" spans="5:96" s="4" customFormat="1" ht="12.75" customHeight="1">
      <c r="E578" s="1781"/>
      <c r="F578" s="1782"/>
      <c r="G578" s="1782"/>
      <c r="H578" s="1782"/>
      <c r="I578" s="1782"/>
      <c r="J578" s="1783"/>
      <c r="K578" s="1781"/>
      <c r="L578" s="1782"/>
      <c r="M578" s="1782"/>
      <c r="N578" s="1782"/>
      <c r="O578" s="1782"/>
      <c r="P578" s="1783"/>
      <c r="Q578" s="1227"/>
      <c r="R578" s="1228"/>
      <c r="S578" s="1228"/>
      <c r="T578" s="1228"/>
      <c r="U578" s="1228"/>
      <c r="V578" s="1229"/>
      <c r="W578" s="1227"/>
      <c r="X578" s="1228"/>
      <c r="Y578" s="1228"/>
      <c r="Z578" s="1228"/>
      <c r="AA578" s="1228"/>
      <c r="AB578" s="1229"/>
      <c r="AC578" s="1227"/>
      <c r="AD578" s="1228"/>
      <c r="AE578" s="1228"/>
      <c r="AF578" s="1228"/>
      <c r="AG578" s="1228"/>
      <c r="AH578" s="1229"/>
      <c r="AN578" s="243"/>
    </row>
    <row r="579" spans="5:96" s="4" customFormat="1" ht="12.75" customHeight="1">
      <c r="E579" s="1781"/>
      <c r="F579" s="1782"/>
      <c r="G579" s="1782"/>
      <c r="H579" s="1782"/>
      <c r="I579" s="1782"/>
      <c r="J579" s="1783"/>
      <c r="K579" s="1781"/>
      <c r="L579" s="1782"/>
      <c r="M579" s="1782"/>
      <c r="N579" s="1782"/>
      <c r="O579" s="1782"/>
      <c r="P579" s="1783"/>
      <c r="Q579" s="1227"/>
      <c r="R579" s="1228"/>
      <c r="S579" s="1228"/>
      <c r="T579" s="1228"/>
      <c r="U579" s="1228"/>
      <c r="V579" s="1229"/>
      <c r="W579" s="1227"/>
      <c r="X579" s="1228"/>
      <c r="Y579" s="1228"/>
      <c r="Z579" s="1228"/>
      <c r="AA579" s="1228"/>
      <c r="AB579" s="1229"/>
      <c r="AC579" s="1227"/>
      <c r="AD579" s="1228"/>
      <c r="AE579" s="1228"/>
      <c r="AF579" s="1228"/>
      <c r="AG579" s="1228"/>
      <c r="AH579" s="1229"/>
      <c r="AN579" s="243"/>
    </row>
    <row r="580" spans="5:96" s="4" customFormat="1" ht="12.75" customHeight="1">
      <c r="E580" s="1781"/>
      <c r="F580" s="1782"/>
      <c r="G580" s="1782"/>
      <c r="H580" s="1782"/>
      <c r="I580" s="1782"/>
      <c r="J580" s="1783"/>
      <c r="K580" s="1781"/>
      <c r="L580" s="1782"/>
      <c r="M580" s="1782"/>
      <c r="N580" s="1782"/>
      <c r="O580" s="1782"/>
      <c r="P580" s="1783"/>
      <c r="Q580" s="1227"/>
      <c r="R580" s="1228"/>
      <c r="S580" s="1228"/>
      <c r="T580" s="1228"/>
      <c r="U580" s="1228"/>
      <c r="V580" s="1229"/>
      <c r="W580" s="1227"/>
      <c r="X580" s="1228"/>
      <c r="Y580" s="1228"/>
      <c r="Z580" s="1228"/>
      <c r="AA580" s="1228"/>
      <c r="AB580" s="1229"/>
      <c r="AC580" s="1227"/>
      <c r="AD580" s="1228"/>
      <c r="AE580" s="1228"/>
      <c r="AF580" s="1228"/>
      <c r="AG580" s="1228"/>
      <c r="AH580" s="1229"/>
      <c r="AN580" s="243"/>
      <c r="AP580" s="3" t="s">
        <v>2182</v>
      </c>
      <c r="BH580" s="3" t="s">
        <v>2183</v>
      </c>
    </row>
    <row r="581" spans="5:96" s="4" customFormat="1" ht="12.75" customHeight="1">
      <c r="E581" s="1548"/>
      <c r="F581" s="1549"/>
      <c r="G581" s="1549"/>
      <c r="H581" s="1549"/>
      <c r="I581" s="1549"/>
      <c r="J581" s="1550"/>
      <c r="K581" s="1564">
        <v>20</v>
      </c>
      <c r="L581" s="1565"/>
      <c r="M581" s="1565"/>
      <c r="N581" s="1565"/>
      <c r="O581" s="1565"/>
      <c r="P581" s="1566"/>
      <c r="Q581" s="1567">
        <f>IF(ISERROR(IF((((E581/$BJ$528)*100)&gt;100),"EXCESSIVE VALUE",(E581/$BJ$528)*100)),0,IF((((E581/$BJ$528)*100)&gt;100),"EXCESSIVE VALUE",(E581/$BJ$528)*100))</f>
        <v>0</v>
      </c>
      <c r="R581" s="1568"/>
      <c r="S581" s="1568"/>
      <c r="T581" s="1568"/>
      <c r="U581" s="1568"/>
      <c r="V581" s="1569"/>
      <c r="W581" s="1570">
        <f>IF(FLOOR(Q581,5)&gt;80,80,FLOOR(Q581,5))</f>
        <v>0</v>
      </c>
      <c r="X581" s="1571"/>
      <c r="Y581" s="1571"/>
      <c r="Z581" s="1571"/>
      <c r="AA581" s="1571"/>
      <c r="AB581" s="1572"/>
      <c r="AC581" s="1570">
        <f t="shared" ref="AC581:AC586" si="4">IFERROR(IF(W581&gt;0,INDEX($BI$507:$BP$521,MATCH(W581,$BH$507:$BH$521,0),MATCH(K581,$BI$506:$BP$506,0)),0),0)</f>
        <v>0</v>
      </c>
      <c r="AD581" s="1571"/>
      <c r="AE581" s="1571"/>
      <c r="AF581" s="1571"/>
      <c r="AG581" s="1571"/>
      <c r="AH581" s="1572"/>
      <c r="AN581" s="243"/>
      <c r="AO581" s="4">
        <v>5</v>
      </c>
      <c r="AP581" s="1564">
        <f t="shared" ref="AP581:AP586" si="5">IF(OR(BE571&gt;=0.1,BE571=0),0,1)</f>
        <v>0</v>
      </c>
      <c r="AQ581" s="1565"/>
      <c r="AR581" s="1565"/>
      <c r="AS581" s="1565"/>
      <c r="AT581" s="1566"/>
      <c r="AX581" s="1645" t="s">
        <v>2184</v>
      </c>
      <c r="AY581" s="1650"/>
      <c r="AZ581" s="1650"/>
      <c r="BA581" s="1650"/>
      <c r="BB581" s="1650"/>
      <c r="BC581" s="1650"/>
      <c r="BD581" s="1650"/>
      <c r="BE581" s="1650"/>
      <c r="BF581" s="1650"/>
      <c r="BG581" s="1650"/>
      <c r="BH581" s="1650"/>
      <c r="BI581" s="1650"/>
      <c r="BJ581" s="1650"/>
      <c r="BK581" s="1650"/>
      <c r="BL581" s="1650"/>
      <c r="BM581" s="1650"/>
      <c r="BN581" s="1650"/>
      <c r="BO581" s="1650"/>
      <c r="BP581" s="1650"/>
      <c r="BQ581" s="1646"/>
    </row>
    <row r="582" spans="5:96" s="4" customFormat="1" ht="12.75" customHeight="1">
      <c r="E582" s="1548">
        <v>3</v>
      </c>
      <c r="F582" s="1549"/>
      <c r="G582" s="1549"/>
      <c r="H582" s="1549"/>
      <c r="I582" s="1549"/>
      <c r="J582" s="1550"/>
      <c r="K582" s="1564">
        <v>30</v>
      </c>
      <c r="L582" s="1565"/>
      <c r="M582" s="1565"/>
      <c r="N582" s="1565"/>
      <c r="O582" s="1565"/>
      <c r="P582" s="1566"/>
      <c r="Q582" s="1567">
        <f>IF(ISERROR(IF((((E582/$BJ$528)*100)&gt;100),"EXCESSIVE VALUE",(E582/$BJ$528)*100)),0,IF((((E582/$BJ$528)*100)&gt;100),"EXCESSIVE VALUE",(E582/$BJ$528)*100))</f>
        <v>13.636363636363635</v>
      </c>
      <c r="R582" s="1568"/>
      <c r="S582" s="1568"/>
      <c r="T582" s="1568"/>
      <c r="U582" s="1568"/>
      <c r="V582" s="1569"/>
      <c r="W582" s="1570">
        <f>IF(FLOOR(Q582,5)&gt;80,80,FLOOR(Q582,5))</f>
        <v>10</v>
      </c>
      <c r="X582" s="1571"/>
      <c r="Y582" s="1571"/>
      <c r="Z582" s="1571"/>
      <c r="AA582" s="1571"/>
      <c r="AB582" s="1572"/>
      <c r="AC582" s="1570">
        <f t="shared" si="4"/>
        <v>15</v>
      </c>
      <c r="AD582" s="1571"/>
      <c r="AE582" s="1571"/>
      <c r="AF582" s="1571"/>
      <c r="AG582" s="1571"/>
      <c r="AH582" s="1572"/>
      <c r="AN582" s="243"/>
      <c r="AO582" s="4">
        <v>4</v>
      </c>
      <c r="AP582" s="1564">
        <f t="shared" si="5"/>
        <v>0</v>
      </c>
      <c r="AQ582" s="1565"/>
      <c r="AR582" s="1565"/>
      <c r="AS582" s="1565"/>
      <c r="AT582" s="1566"/>
      <c r="AX582" s="1665" t="s">
        <v>2185</v>
      </c>
      <c r="AY582" s="1666"/>
      <c r="AZ582" s="1018" t="s">
        <v>2185</v>
      </c>
      <c r="BA582" s="1021"/>
      <c r="BB582" s="1665" t="s">
        <v>1425</v>
      </c>
      <c r="BC582" s="1666"/>
      <c r="BD582" s="1655" t="s">
        <v>1425</v>
      </c>
      <c r="BE582" s="1657"/>
      <c r="BF582" s="1665" t="s">
        <v>1424</v>
      </c>
      <c r="BG582" s="1666"/>
      <c r="BH582" s="1655" t="s">
        <v>1424</v>
      </c>
      <c r="BI582" s="1657"/>
      <c r="BJ582" s="1665" t="s">
        <v>1423</v>
      </c>
      <c r="BK582" s="1666"/>
      <c r="BL582" s="1655" t="s">
        <v>1423</v>
      </c>
      <c r="BM582" s="1657"/>
      <c r="BN582" s="1665" t="s">
        <v>860</v>
      </c>
      <c r="BO582" s="1666"/>
      <c r="BP582" s="1655" t="s">
        <v>860</v>
      </c>
      <c r="BQ582" s="1657"/>
    </row>
    <row r="583" spans="5:96" s="4" customFormat="1" ht="12.75" customHeight="1">
      <c r="E583" s="1548"/>
      <c r="F583" s="1549"/>
      <c r="G583" s="1549"/>
      <c r="H583" s="1549"/>
      <c r="I583" s="1549"/>
      <c r="J583" s="1550"/>
      <c r="K583" s="1564">
        <v>35</v>
      </c>
      <c r="L583" s="1565"/>
      <c r="M583" s="1565"/>
      <c r="N583" s="1565"/>
      <c r="O583" s="1565"/>
      <c r="P583" s="1566"/>
      <c r="Q583" s="1567">
        <f t="shared" ref="Q583:Q589" si="6">IF(ISERROR(IF((((E583/$BJ$528)*100)&gt;100),"EXCESSIVE VALUE",(E583/$BJ$528)*100)),0,IF((((E583/$BJ$528)*100)&gt;100),"EXCESSIVE VALUE",(E583/$BJ$528)*100))</f>
        <v>0</v>
      </c>
      <c r="R583" s="1568"/>
      <c r="S583" s="1568"/>
      <c r="T583" s="1568"/>
      <c r="U583" s="1568"/>
      <c r="V583" s="1569"/>
      <c r="W583" s="1570">
        <f t="shared" ref="W583:W589" si="7">IF(FLOOR(Q583,5)&gt;80,80,FLOOR(Q583,5))</f>
        <v>0</v>
      </c>
      <c r="X583" s="1571"/>
      <c r="Y583" s="1571"/>
      <c r="Z583" s="1571"/>
      <c r="AA583" s="1571"/>
      <c r="AB583" s="1572"/>
      <c r="AC583" s="1570">
        <f t="shared" si="4"/>
        <v>0</v>
      </c>
      <c r="AD583" s="1571"/>
      <c r="AE583" s="1571"/>
      <c r="AF583" s="1571"/>
      <c r="AG583" s="1571"/>
      <c r="AH583" s="1572"/>
      <c r="AN583" s="243"/>
      <c r="AO583" s="4">
        <v>3</v>
      </c>
      <c r="AP583" s="1564">
        <f t="shared" si="5"/>
        <v>0</v>
      </c>
      <c r="AQ583" s="1565"/>
      <c r="AR583" s="1565"/>
      <c r="AS583" s="1565"/>
      <c r="AT583" s="1566"/>
      <c r="AX583" s="1665">
        <f>IF(AP533=1,1,0)</f>
        <v>0</v>
      </c>
      <c r="AY583" s="1666"/>
      <c r="AZ583" s="1645"/>
      <c r="BA583" s="1646"/>
      <c r="BB583" s="1663"/>
      <c r="BC583" s="1664"/>
      <c r="BD583" s="1655">
        <f>IF(AND(T609&gt;0,AP533&gt;0),1,0)</f>
        <v>0</v>
      </c>
      <c r="BE583" s="1657"/>
      <c r="BF583" s="1663"/>
      <c r="BG583" s="1664"/>
      <c r="BH583" s="1655">
        <f>IF(AND(T609&gt;0,AP533&gt;0),1,0)</f>
        <v>0</v>
      </c>
      <c r="BI583" s="1657"/>
      <c r="BJ583" s="1663"/>
      <c r="BK583" s="1664"/>
      <c r="BL583" s="1655">
        <f>IF(AND(T609&gt;0,AP533&gt;0),1,0)</f>
        <v>0</v>
      </c>
      <c r="BM583" s="1657"/>
      <c r="BN583" s="1663"/>
      <c r="BO583" s="1664"/>
      <c r="BP583" s="1655">
        <f>IF(AND(T609&gt;0,AP533&gt;0),1,0)</f>
        <v>0</v>
      </c>
      <c r="BQ583" s="1657"/>
    </row>
    <row r="584" spans="5:96" s="4" customFormat="1" ht="12.75" customHeight="1">
      <c r="E584" s="1548">
        <v>4</v>
      </c>
      <c r="F584" s="1549"/>
      <c r="G584" s="1549"/>
      <c r="H584" s="1549"/>
      <c r="I584" s="1549"/>
      <c r="J584" s="1550"/>
      <c r="K584" s="1564">
        <v>40</v>
      </c>
      <c r="L584" s="1565"/>
      <c r="M584" s="1565"/>
      <c r="N584" s="1565"/>
      <c r="O584" s="1565"/>
      <c r="P584" s="1566"/>
      <c r="Q584" s="1567">
        <f t="shared" si="6"/>
        <v>18.181818181818183</v>
      </c>
      <c r="R584" s="1568"/>
      <c r="S584" s="1568"/>
      <c r="T584" s="1568"/>
      <c r="U584" s="1568"/>
      <c r="V584" s="1569"/>
      <c r="W584" s="1570">
        <f t="shared" si="7"/>
        <v>15</v>
      </c>
      <c r="X584" s="1571"/>
      <c r="Y584" s="1571"/>
      <c r="Z584" s="1571"/>
      <c r="AA584" s="1571"/>
      <c r="AB584" s="1572"/>
      <c r="AC584" s="1570">
        <f t="shared" si="4"/>
        <v>15</v>
      </c>
      <c r="AD584" s="1571"/>
      <c r="AE584" s="1571"/>
      <c r="AF584" s="1571"/>
      <c r="AG584" s="1571"/>
      <c r="AH584" s="1572"/>
      <c r="AN584" s="243"/>
      <c r="AO584" s="4">
        <v>2</v>
      </c>
      <c r="AP584" s="1564">
        <f t="shared" si="5"/>
        <v>0</v>
      </c>
      <c r="AQ584" s="1565"/>
      <c r="AR584" s="1565"/>
      <c r="AS584" s="1565"/>
      <c r="AT584" s="1566"/>
      <c r="AX584" s="1663"/>
      <c r="AY584" s="1664"/>
      <c r="AZ584" s="1645"/>
      <c r="BA584" s="1646"/>
      <c r="BB584" s="1665">
        <f>IF(AP534=1,1,0)</f>
        <v>0</v>
      </c>
      <c r="BC584" s="1666"/>
      <c r="BD584" s="1645"/>
      <c r="BE584" s="1646"/>
      <c r="BF584" s="1663"/>
      <c r="BG584" s="1664"/>
      <c r="BH584" s="1655">
        <f>IF(AND(T610&gt;0,AP534&gt;0),1,0)</f>
        <v>0</v>
      </c>
      <c r="BI584" s="1657"/>
      <c r="BJ584" s="1663"/>
      <c r="BK584" s="1664"/>
      <c r="BL584" s="1655">
        <f>IF(AND(T610&gt;0,AP534&gt;0),1,0)</f>
        <v>0</v>
      </c>
      <c r="BM584" s="1657"/>
      <c r="BN584" s="1663"/>
      <c r="BO584" s="1664"/>
      <c r="BP584" s="1655">
        <f>IF(AND(T610&gt;0,AP534&gt;0),1,0)</f>
        <v>0</v>
      </c>
      <c r="BQ584" s="1657"/>
    </row>
    <row r="585" spans="5:96" s="4" customFormat="1" ht="12.75" customHeight="1">
      <c r="E585" s="1548"/>
      <c r="F585" s="1549"/>
      <c r="G585" s="1549"/>
      <c r="H585" s="1549"/>
      <c r="I585" s="1549"/>
      <c r="J585" s="1550"/>
      <c r="K585" s="1564">
        <v>45</v>
      </c>
      <c r="L585" s="1565"/>
      <c r="M585" s="1565"/>
      <c r="N585" s="1565"/>
      <c r="O585" s="1565"/>
      <c r="P585" s="1566"/>
      <c r="Q585" s="1567">
        <f t="shared" si="6"/>
        <v>0</v>
      </c>
      <c r="R585" s="1568"/>
      <c r="S585" s="1568"/>
      <c r="T585" s="1568"/>
      <c r="U585" s="1568"/>
      <c r="V585" s="1569"/>
      <c r="W585" s="1570">
        <f>IF(FLOOR(Q585,5)&gt;65,65,FLOOR(Q585,5))</f>
        <v>0</v>
      </c>
      <c r="X585" s="1571"/>
      <c r="Y585" s="1571"/>
      <c r="Z585" s="1571"/>
      <c r="AA585" s="1571"/>
      <c r="AB585" s="1572"/>
      <c r="AC585" s="1570">
        <f t="shared" si="4"/>
        <v>0</v>
      </c>
      <c r="AD585" s="1571"/>
      <c r="AE585" s="1571"/>
      <c r="AF585" s="1571"/>
      <c r="AG585" s="1571"/>
      <c r="AH585" s="1572"/>
      <c r="AN585" s="243"/>
      <c r="AO585" s="4">
        <v>1</v>
      </c>
      <c r="AP585" s="1564">
        <f t="shared" si="5"/>
        <v>0</v>
      </c>
      <c r="AQ585" s="1565"/>
      <c r="AR585" s="1565"/>
      <c r="AS585" s="1565"/>
      <c r="AT585" s="1566"/>
      <c r="AX585" s="1663"/>
      <c r="AY585" s="1664"/>
      <c r="AZ585" s="1645"/>
      <c r="BA585" s="1646"/>
      <c r="BB585" s="1663"/>
      <c r="BC585" s="1664"/>
      <c r="BD585" s="1645"/>
      <c r="BE585" s="1646"/>
      <c r="BF585" s="1665">
        <f>IF(AP535=1,1,0)</f>
        <v>0</v>
      </c>
      <c r="BG585" s="1666"/>
      <c r="BH585" s="1645"/>
      <c r="BI585" s="1646"/>
      <c r="BJ585" s="1663"/>
      <c r="BK585" s="1664"/>
      <c r="BL585" s="1655">
        <f>IF(AND(T611&gt;0,AP535&gt;0),1,0)</f>
        <v>0</v>
      </c>
      <c r="BM585" s="1657"/>
      <c r="BN585" s="1663"/>
      <c r="BO585" s="1664"/>
      <c r="BP585" s="1655">
        <f>IF(AND(T611&gt;0,AP535&gt;0),1,0)</f>
        <v>0</v>
      </c>
      <c r="BQ585" s="1657"/>
    </row>
    <row r="586" spans="5:96" s="4" customFormat="1" ht="12.75" customHeight="1">
      <c r="E586" s="1548"/>
      <c r="F586" s="1549"/>
      <c r="G586" s="1549"/>
      <c r="H586" s="1549"/>
      <c r="I586" s="1549"/>
      <c r="J586" s="1550"/>
      <c r="K586" s="1564" t="str">
        <f>IF(OR(Application!D211="Rural",Application!D211="Rural apportionment (Section 514)",Application!D211="Rural apportionment (Section 515)",Application!D211="Rural apportionment (CDBG-DR)",Application!D211="Rural apportionment (HOME)",Application!D211="Rural (Native American apportionment)"),"",50)</f>
        <v/>
      </c>
      <c r="L586" s="1565"/>
      <c r="M586" s="1565"/>
      <c r="N586" s="1565"/>
      <c r="O586" s="1565"/>
      <c r="P586" s="1566"/>
      <c r="Q586" s="1567">
        <f t="shared" si="6"/>
        <v>0</v>
      </c>
      <c r="R586" s="1568"/>
      <c r="S586" s="1568"/>
      <c r="T586" s="1568"/>
      <c r="U586" s="1568"/>
      <c r="V586" s="1569"/>
      <c r="W586" s="1570">
        <f>IF(FLOOR(Q586,5)&gt;40,40,FLOOR(Q586,5))</f>
        <v>0</v>
      </c>
      <c r="X586" s="1571"/>
      <c r="Y586" s="1571"/>
      <c r="Z586" s="1571"/>
      <c r="AA586" s="1571"/>
      <c r="AB586" s="1572"/>
      <c r="AC586" s="1570">
        <f t="shared" si="4"/>
        <v>0</v>
      </c>
      <c r="AD586" s="1571"/>
      <c r="AE586" s="1571"/>
      <c r="AF586" s="1571"/>
      <c r="AG586" s="1571"/>
      <c r="AH586" s="1572"/>
      <c r="AN586" s="243"/>
      <c r="AO586" s="4">
        <v>0</v>
      </c>
      <c r="AP586" s="1564">
        <f t="shared" si="5"/>
        <v>0</v>
      </c>
      <c r="AQ586" s="1565"/>
      <c r="AR586" s="1565"/>
      <c r="AS586" s="1565"/>
      <c r="AT586" s="1566"/>
      <c r="AX586" s="1663"/>
      <c r="AY586" s="1664"/>
      <c r="AZ586" s="1645"/>
      <c r="BA586" s="1646"/>
      <c r="BB586" s="1663"/>
      <c r="BC586" s="1664"/>
      <c r="BD586" s="1645"/>
      <c r="BE586" s="1646"/>
      <c r="BF586" s="1663"/>
      <c r="BG586" s="1664"/>
      <c r="BH586" s="1645"/>
      <c r="BI586" s="1646"/>
      <c r="BJ586" s="1665">
        <f>IF(AP536=1,1,0)</f>
        <v>1</v>
      </c>
      <c r="BK586" s="1666"/>
      <c r="BL586" s="1663"/>
      <c r="BM586" s="1664"/>
      <c r="BN586" s="1663"/>
      <c r="BO586" s="1664"/>
      <c r="BP586" s="1655">
        <f>IF(AND(T612&gt;0,AP536&gt;0),1,0)</f>
        <v>1</v>
      </c>
      <c r="BQ586" s="1657"/>
    </row>
    <row r="587" spans="5:96" s="4" customFormat="1" ht="12.75" customHeight="1">
      <c r="E587" s="1638">
        <v>15</v>
      </c>
      <c r="F587" s="1639"/>
      <c r="G587" s="1639"/>
      <c r="H587" s="1639"/>
      <c r="I587" s="1639"/>
      <c r="J587" s="1640"/>
      <c r="K587" s="1634">
        <f>IF(OR(Application!D211="Rural",Application!D211="Rural apportionment (Section 514)",Application!D211="Rural apportionment (Section 515)",Application!D211="Rural apportionment (HOME)",Application!D211="Rural apportionment (CDBG-DR)",Application!D211="Rural (Native American apportionment)"),50,"")</f>
        <v>50</v>
      </c>
      <c r="L587" s="1635"/>
      <c r="M587" s="1636" t="s">
        <v>2186</v>
      </c>
      <c r="N587" s="1636"/>
      <c r="O587" s="1636"/>
      <c r="P587" s="1637"/>
      <c r="Q587" s="1567">
        <f t="shared" si="6"/>
        <v>68.181818181818173</v>
      </c>
      <c r="R587" s="1568"/>
      <c r="S587" s="1568"/>
      <c r="T587" s="1568"/>
      <c r="U587" s="1568"/>
      <c r="V587" s="1569"/>
      <c r="W587" s="1570">
        <f>IF(FLOOR(Q587,5)&gt;50,50,FLOOR(Q587,5))</f>
        <v>50</v>
      </c>
      <c r="X587" s="1571"/>
      <c r="Y587" s="1571"/>
      <c r="Z587" s="1571"/>
      <c r="AA587" s="1571"/>
      <c r="AB587" s="1572"/>
      <c r="AC587" s="1570">
        <f>IFERROR(IF(W587&gt;0,INDEX($AT$507:$BA$521,MATCH(W587,$AS$507:$AS$521,0),MATCH(K587,$AT$506:$BA$506,0)),0),0)</f>
        <v>25</v>
      </c>
      <c r="AD587" s="1571"/>
      <c r="AE587" s="1571"/>
      <c r="AF587" s="1571"/>
      <c r="AG587" s="1571"/>
      <c r="AH587" s="1572"/>
      <c r="AN587" s="243"/>
      <c r="AP587" s="1564"/>
      <c r="AQ587" s="1565"/>
      <c r="AR587" s="1565"/>
      <c r="AS587" s="1565"/>
      <c r="AT587" s="1566"/>
      <c r="AX587" s="1663"/>
      <c r="AY587" s="1664"/>
      <c r="AZ587" s="1645"/>
      <c r="BA587" s="1646"/>
      <c r="BB587" s="1663"/>
      <c r="BC587" s="1664"/>
      <c r="BD587" s="1645"/>
      <c r="BE587" s="1646"/>
      <c r="BF587" s="1663"/>
      <c r="BG587" s="1664"/>
      <c r="BH587" s="1645"/>
      <c r="BI587" s="1646"/>
      <c r="BJ587" s="1663"/>
      <c r="BK587" s="1664"/>
      <c r="BL587" s="1663"/>
      <c r="BM587" s="1664"/>
      <c r="BN587" s="1665">
        <f>IF(AP537=1,1,0)</f>
        <v>0</v>
      </c>
      <c r="BO587" s="1666"/>
      <c r="BP587" s="1645"/>
      <c r="BQ587" s="1646"/>
    </row>
    <row r="588" spans="5:96" s="4" customFormat="1" ht="12.75" customHeight="1">
      <c r="E588" s="1638"/>
      <c r="F588" s="1639"/>
      <c r="G588" s="1639"/>
      <c r="H588" s="1639"/>
      <c r="I588" s="1639"/>
      <c r="J588" s="1640"/>
      <c r="K588" s="1634">
        <f>IF(OR(Application!D211="Rural",Application!D211="Rural apportionment (Section 514)",Application!D211="Rural apportionment (Section 515)",Application!D211="Rural apportionment (HOME)",Application!D211="Rural apportionment (CDBG-DR)",Application!D211="Rural (Native American apportionment)"),55,"")</f>
        <v>55</v>
      </c>
      <c r="L588" s="1635"/>
      <c r="M588" s="1636" t="s">
        <v>2186</v>
      </c>
      <c r="N588" s="1636"/>
      <c r="O588" s="1636"/>
      <c r="P588" s="1637"/>
      <c r="Q588" s="1567">
        <f t="shared" si="6"/>
        <v>0</v>
      </c>
      <c r="R588" s="1568"/>
      <c r="S588" s="1568"/>
      <c r="T588" s="1568"/>
      <c r="U588" s="1568"/>
      <c r="V588" s="1569"/>
      <c r="W588" s="1570">
        <f>IF(FLOOR(Q588,5)&gt;40,40,FLOOR(Q588,5))</f>
        <v>0</v>
      </c>
      <c r="X588" s="1571"/>
      <c r="Y588" s="1571"/>
      <c r="Z588" s="1571"/>
      <c r="AA588" s="1571"/>
      <c r="AB588" s="1572"/>
      <c r="AC588" s="1570">
        <f>IFERROR(IF(W588&gt;0,INDEX($AT$507:$BA$521,MATCH(W588,$AS$507:$AS$521,0),MATCH(K588,$AT$506:$BA$506,0)),0),0)</f>
        <v>0</v>
      </c>
      <c r="AD588" s="1571"/>
      <c r="AE588" s="1571"/>
      <c r="AF588" s="1571"/>
      <c r="AG588" s="1571"/>
      <c r="AH588" s="1572"/>
      <c r="AN588" s="243"/>
      <c r="AX588" s="1665">
        <f>SUM(AX583:AY587)</f>
        <v>0</v>
      </c>
      <c r="AY588" s="1666"/>
      <c r="AZ588" s="1655">
        <f>SUM(AZ584:BA587)</f>
        <v>0</v>
      </c>
      <c r="BA588" s="1657"/>
      <c r="BB588" s="1665">
        <f>SUM(BB584:BC587)</f>
        <v>0</v>
      </c>
      <c r="BC588" s="1666"/>
      <c r="BD588" s="1655">
        <f>SUM(BD583:BE587)</f>
        <v>0</v>
      </c>
      <c r="BE588" s="1657"/>
      <c r="BF588" s="1665">
        <f>SUM(BF585:BG587)</f>
        <v>0</v>
      </c>
      <c r="BG588" s="1666"/>
      <c r="BH588" s="1655">
        <f>SUM(BH583:BI587)</f>
        <v>0</v>
      </c>
      <c r="BI588" s="1657"/>
      <c r="BJ588" s="1665">
        <f>SUM(BJ583:BK587)</f>
        <v>1</v>
      </c>
      <c r="BK588" s="1666"/>
      <c r="BL588" s="1655">
        <f>SUM(BL583:BM587)</f>
        <v>0</v>
      </c>
      <c r="BM588" s="1657"/>
      <c r="BN588" s="1665">
        <f>SUM(BN583:BO587)</f>
        <v>0</v>
      </c>
      <c r="BO588" s="1666"/>
      <c r="BP588" s="1655">
        <f>SUM(BP583:BQ587)</f>
        <v>1</v>
      </c>
      <c r="BQ588" s="1657"/>
    </row>
    <row r="589" spans="5:96" s="4" customFormat="1" ht="12.75" customHeight="1">
      <c r="E589" s="1548"/>
      <c r="F589" s="1549"/>
      <c r="G589" s="1549"/>
      <c r="H589" s="1549"/>
      <c r="I589" s="1549"/>
      <c r="J589" s="1550"/>
      <c r="K589" s="1564" t="s">
        <v>2187</v>
      </c>
      <c r="L589" s="1565"/>
      <c r="M589" s="1565"/>
      <c r="N589" s="1565"/>
      <c r="O589" s="1565"/>
      <c r="P589" s="1566"/>
      <c r="Q589" s="1567">
        <f t="shared" si="6"/>
        <v>0</v>
      </c>
      <c r="R589" s="1568"/>
      <c r="S589" s="1568"/>
      <c r="T589" s="1568"/>
      <c r="U589" s="1568"/>
      <c r="V589" s="1569"/>
      <c r="W589" s="1570">
        <f t="shared" si="7"/>
        <v>0</v>
      </c>
      <c r="X589" s="1571"/>
      <c r="Y589" s="1571"/>
      <c r="Z589" s="1571"/>
      <c r="AA589" s="1571"/>
      <c r="AB589" s="1572"/>
      <c r="AC589" s="1570">
        <v>0</v>
      </c>
      <c r="AD589" s="1571"/>
      <c r="AE589" s="1571"/>
      <c r="AF589" s="1571"/>
      <c r="AG589" s="1571"/>
      <c r="AH589" s="1572"/>
      <c r="AN589" s="243"/>
      <c r="AX589" s="1660">
        <f>IF(AND(AX588=1,AZ588&gt;1),1,0)</f>
        <v>0</v>
      </c>
      <c r="AY589" s="1661"/>
      <c r="AZ589" s="1661"/>
      <c r="BA589" s="1662"/>
      <c r="BB589" s="1660">
        <f>IF(AND(BB588=1,BD588&gt;=1),1,0)</f>
        <v>0</v>
      </c>
      <c r="BC589" s="1661"/>
      <c r="BD589" s="1661"/>
      <c r="BE589" s="1662"/>
      <c r="BF589" s="1660">
        <f>IF(AND(BF588=1,BH588&gt;=1),1,0)</f>
        <v>0</v>
      </c>
      <c r="BG589" s="1661"/>
      <c r="BH589" s="1661"/>
      <c r="BI589" s="1662"/>
      <c r="BJ589" s="1660">
        <f>IF(AND(BJ588=1,BL588&gt;=1),1,0)</f>
        <v>0</v>
      </c>
      <c r="BK589" s="1661"/>
      <c r="BL589" s="1661"/>
      <c r="BM589" s="1662"/>
      <c r="BN589" s="1660">
        <f>IF(AND(BN588=1,BP588&gt;=1),1,0)</f>
        <v>0</v>
      </c>
      <c r="BO589" s="1661"/>
      <c r="BP589" s="1661"/>
      <c r="BQ589" s="1662"/>
    </row>
    <row r="590" spans="5:96" s="4" customFormat="1" ht="12.75" customHeight="1">
      <c r="E590" s="1548"/>
      <c r="F590" s="1549"/>
      <c r="G590" s="1549"/>
      <c r="H590" s="1549"/>
      <c r="I590" s="1549"/>
      <c r="J590" s="1550"/>
      <c r="K590" s="1564" t="s">
        <v>2188</v>
      </c>
      <c r="L590" s="1565"/>
      <c r="M590" s="1565"/>
      <c r="N590" s="1565"/>
      <c r="O590" s="1565"/>
      <c r="P590" s="1566"/>
      <c r="Q590" s="1567">
        <f>IF(ISERROR(IF((((E590/$BJ$528)*100)&gt;100),"EXCESSIVE VALUE",(E590/$BJ$528)*100)),0,IF((((E590/$BJ$528)*100)&gt;100),"EXCESSIVE VALUE",(E590/$BJ$528)*100))</f>
        <v>0</v>
      </c>
      <c r="R590" s="1568"/>
      <c r="S590" s="1568"/>
      <c r="T590" s="1568"/>
      <c r="U590" s="1568"/>
      <c r="V590" s="1569"/>
      <c r="W590" s="1570">
        <f>IF(FLOOR(Q590,5)&gt;80,80,FLOOR(Q590,5))</f>
        <v>0</v>
      </c>
      <c r="X590" s="1571"/>
      <c r="Y590" s="1571"/>
      <c r="Z590" s="1571"/>
      <c r="AA590" s="1571"/>
      <c r="AB590" s="1572"/>
      <c r="AC590" s="1570">
        <v>0</v>
      </c>
      <c r="AD590" s="1571"/>
      <c r="AE590" s="1571"/>
      <c r="AF590" s="1571"/>
      <c r="AG590" s="1571"/>
      <c r="AH590" s="1572"/>
      <c r="AN590" s="243"/>
      <c r="AX590"/>
      <c r="AY590"/>
      <c r="AZ590"/>
      <c r="BA590"/>
      <c r="BB590"/>
      <c r="BC590"/>
      <c r="BD590"/>
      <c r="BE590"/>
      <c r="BF590"/>
      <c r="BG590"/>
      <c r="BH590"/>
      <c r="BI590" s="31" t="s">
        <v>2011</v>
      </c>
      <c r="BJ590" s="1660">
        <f>AX589+BB589+BF589+BJ589+BN589</f>
        <v>0</v>
      </c>
      <c r="BK590" s="1661"/>
      <c r="BL590" s="1661"/>
      <c r="BM590" s="1662"/>
      <c r="BN590"/>
      <c r="BO590"/>
      <c r="BP590"/>
      <c r="BQ590"/>
    </row>
    <row r="591" spans="5:96" s="4" customFormat="1" ht="12.75" customHeight="1">
      <c r="E591" s="1548"/>
      <c r="F591" s="1549"/>
      <c r="G591" s="1549"/>
      <c r="H591" s="1549"/>
      <c r="I591" s="1549"/>
      <c r="J591" s="1550"/>
      <c r="K591" s="1564" t="s">
        <v>2189</v>
      </c>
      <c r="L591" s="1565"/>
      <c r="M591" s="1565"/>
      <c r="N591" s="1565"/>
      <c r="O591" s="1565"/>
      <c r="P591" s="1566"/>
      <c r="Q591" s="1567">
        <f>IF(ISERROR(IF((((E591/$BJ$528)*100)&gt;100),"EXCESSIVE VALUE",(E591/$BJ$528)*100)),0,IF((((E591/$BJ$528)*100)&gt;100),"EXCESSIVE VALUE",(E591/$BJ$528)*100))</f>
        <v>0</v>
      </c>
      <c r="R591" s="1568"/>
      <c r="S591" s="1568"/>
      <c r="T591" s="1568"/>
      <c r="U591" s="1568"/>
      <c r="V591" s="1569"/>
      <c r="W591" s="1570">
        <f>IF(FLOOR(Q591,5)&gt;80,80,FLOOR(Q591,5))</f>
        <v>0</v>
      </c>
      <c r="X591" s="1571"/>
      <c r="Y591" s="1571"/>
      <c r="Z591" s="1571"/>
      <c r="AA591" s="1571"/>
      <c r="AB591" s="1572"/>
      <c r="AC591" s="1570">
        <v>0</v>
      </c>
      <c r="AD591" s="1571"/>
      <c r="AE591" s="1571"/>
      <c r="AF591" s="1571"/>
      <c r="AG591" s="1571"/>
      <c r="AH591" s="1572"/>
      <c r="AN591" s="243"/>
      <c r="AX591"/>
      <c r="AY591"/>
      <c r="AZ591"/>
      <c r="BA591"/>
      <c r="BB591"/>
      <c r="BC591"/>
      <c r="BD591"/>
      <c r="BE591"/>
      <c r="BF591"/>
      <c r="BG591"/>
      <c r="BI591"/>
      <c r="BJ591" t="s">
        <v>2190</v>
      </c>
      <c r="BK591"/>
      <c r="BL591"/>
      <c r="BM591"/>
      <c r="BN591"/>
      <c r="BO591"/>
      <c r="BP591"/>
      <c r="BQ591"/>
    </row>
    <row r="592" spans="5:96" s="4" customFormat="1" ht="12.75" customHeight="1">
      <c r="E592" s="1241">
        <f>SUM(E581:J591)</f>
        <v>22</v>
      </c>
      <c r="F592" s="1242"/>
      <c r="G592" s="1242"/>
      <c r="H592" s="1242"/>
      <c r="I592" s="1242"/>
      <c r="J592" s="1243"/>
      <c r="K592" s="335"/>
      <c r="L592" s="335"/>
      <c r="M592" s="335"/>
      <c r="N592" s="335"/>
      <c r="O592" s="335"/>
      <c r="P592" s="335"/>
      <c r="Q592" s="335"/>
      <c r="R592" s="335"/>
      <c r="S592" s="335"/>
      <c r="T592" s="335"/>
      <c r="U592" s="77"/>
      <c r="V592" s="77"/>
      <c r="W592" s="77"/>
      <c r="X592" s="77"/>
      <c r="Y592" s="77"/>
      <c r="Z592" s="335"/>
      <c r="AA592" s="77"/>
      <c r="AB592" s="53" t="s">
        <v>2191</v>
      </c>
      <c r="AC592" s="1740">
        <f>IF(SUM(AC581:AH591)&gt;0,SUM(AC581:AH591),0)</f>
        <v>55</v>
      </c>
      <c r="AD592" s="1741"/>
      <c r="AE592" s="1741"/>
      <c r="AF592" s="1741"/>
      <c r="AG592" s="1741"/>
      <c r="AH592" s="1742"/>
      <c r="AK592" s="37"/>
      <c r="AL592" s="37"/>
      <c r="AM592" s="30"/>
      <c r="AN592" s="243"/>
    </row>
    <row r="593" spans="1:64" s="4" customFormat="1" ht="12.75" customHeight="1">
      <c r="E593" s="807"/>
      <c r="F593" s="807"/>
      <c r="G593" s="807"/>
      <c r="H593" s="807"/>
      <c r="I593" s="807"/>
      <c r="J593" s="807"/>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0" t="str">
        <f>IF(NOT(E592=Application!G730),AP594,"")</f>
        <v/>
      </c>
      <c r="G594" s="807"/>
      <c r="H594" s="807"/>
      <c r="I594" s="807"/>
      <c r="J594" s="807"/>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1" t="s">
        <v>2192</v>
      </c>
      <c r="AQ594" s="840"/>
      <c r="AR594" s="840"/>
      <c r="AS594" s="840"/>
      <c r="AT594" s="840"/>
      <c r="AU594" s="840"/>
      <c r="AV594" s="840"/>
      <c r="AW594" s="840"/>
      <c r="AX594" s="840"/>
      <c r="AY594" s="840"/>
      <c r="AZ594" s="840"/>
      <c r="BA594" s="840"/>
      <c r="BB594" s="840"/>
      <c r="BC594" s="840"/>
      <c r="BD594" s="840"/>
      <c r="BE594" s="840"/>
      <c r="BF594" s="840"/>
      <c r="BG594" s="840"/>
      <c r="BH594" s="840"/>
      <c r="BI594" s="840"/>
      <c r="BJ594" s="840"/>
      <c r="BK594" s="840"/>
      <c r="BL594" s="840"/>
    </row>
    <row r="595" spans="1:64" s="4" customFormat="1" ht="12.75" customHeight="1">
      <c r="AK595" s="37"/>
      <c r="AL595" s="37"/>
      <c r="AM595" s="37"/>
      <c r="AN595" s="243"/>
      <c r="AP595" s="840"/>
      <c r="AQ595" s="840"/>
      <c r="AR595" s="840"/>
      <c r="AS595" s="840"/>
      <c r="AT595" s="840"/>
      <c r="AU595" s="840"/>
      <c r="AV595" s="840"/>
      <c r="AW595" s="840"/>
      <c r="AX595" s="840"/>
      <c r="AY595" s="840"/>
      <c r="AZ595" s="840"/>
      <c r="BA595" s="840"/>
      <c r="BB595" s="840"/>
      <c r="BC595" s="840"/>
      <c r="BD595" s="840"/>
      <c r="BE595" s="840"/>
      <c r="BF595" s="840"/>
      <c r="BG595" s="840"/>
      <c r="BH595" s="840"/>
      <c r="BI595" s="840"/>
      <c r="BJ595" s="840"/>
      <c r="BK595" s="840"/>
      <c r="BL595" s="840"/>
    </row>
    <row r="596" spans="1:64" s="4" customFormat="1" ht="12.75" customHeight="1">
      <c r="B596" s="107" t="s">
        <v>2193</v>
      </c>
      <c r="AG596" s="1593" t="s">
        <v>1889</v>
      </c>
      <c r="AH596" s="1593"/>
      <c r="AI596" s="1593"/>
      <c r="AJ596" s="1593"/>
      <c r="AK596" s="37"/>
      <c r="AL596" s="37"/>
      <c r="AM596" s="37"/>
      <c r="AN596" s="243"/>
    </row>
    <row r="597" spans="1:64" s="4" customFormat="1" ht="12.75" customHeight="1">
      <c r="B597" s="1767" t="s">
        <v>2194</v>
      </c>
      <c r="C597" s="1767"/>
      <c r="D597" s="1767"/>
      <c r="E597" s="1767"/>
      <c r="F597" s="1767"/>
      <c r="G597" s="1767"/>
      <c r="H597" s="1767"/>
      <c r="I597" s="1767"/>
      <c r="J597" s="1767"/>
      <c r="K597" s="1767"/>
      <c r="L597" s="1767"/>
      <c r="M597" s="1767"/>
      <c r="N597" s="1767"/>
      <c r="O597" s="1767"/>
      <c r="P597" s="1767"/>
      <c r="Q597" s="1767"/>
      <c r="R597" s="1767"/>
      <c r="S597" s="1767"/>
      <c r="T597" s="1767"/>
      <c r="U597" s="1767"/>
      <c r="V597" s="1767"/>
      <c r="W597" s="1767"/>
      <c r="X597" s="1767"/>
      <c r="Y597" s="1767"/>
      <c r="Z597" s="1767"/>
      <c r="AA597" s="1767"/>
      <c r="AB597" s="1767"/>
      <c r="AC597" s="1767"/>
      <c r="AD597" s="1767"/>
      <c r="AE597" s="1767"/>
      <c r="AF597" s="1767"/>
      <c r="AG597" s="1767"/>
      <c r="AH597" s="1767"/>
      <c r="AI597" s="21"/>
      <c r="AJ597" s="21"/>
      <c r="AK597"/>
      <c r="AL597"/>
      <c r="AM597"/>
      <c r="AN597" s="243"/>
    </row>
    <row r="598" spans="1:64" s="4" customFormat="1" ht="12.75" customHeight="1">
      <c r="A598" s="21"/>
      <c r="B598" s="1767"/>
      <c r="C598" s="1767"/>
      <c r="D598" s="1767"/>
      <c r="E598" s="1767"/>
      <c r="F598" s="1767"/>
      <c r="G598" s="1767"/>
      <c r="H598" s="1767"/>
      <c r="I598" s="1767"/>
      <c r="J598" s="1767"/>
      <c r="K598" s="1767"/>
      <c r="L598" s="1767"/>
      <c r="M598" s="1767"/>
      <c r="N598" s="1767"/>
      <c r="O598" s="1767"/>
      <c r="P598" s="1767"/>
      <c r="Q598" s="1767"/>
      <c r="R598" s="1767"/>
      <c r="S598" s="1767"/>
      <c r="T598" s="1767"/>
      <c r="U598" s="1767"/>
      <c r="V598" s="1767"/>
      <c r="W598" s="1767"/>
      <c r="X598" s="1767"/>
      <c r="Y598" s="1767"/>
      <c r="Z598" s="1767"/>
      <c r="AA598" s="1767"/>
      <c r="AB598" s="1767"/>
      <c r="AC598" s="1767"/>
      <c r="AD598" s="1767"/>
      <c r="AE598" s="1767"/>
      <c r="AF598" s="1767"/>
      <c r="AG598" s="1767"/>
      <c r="AH598" s="1767"/>
      <c r="AI598" s="21"/>
      <c r="AJ598" s="21"/>
      <c r="AK598"/>
      <c r="AL598"/>
      <c r="AM598"/>
      <c r="AN598" s="243"/>
    </row>
    <row r="599" spans="1:64" s="4" customFormat="1" ht="12.75" customHeight="1">
      <c r="A599" s="21"/>
      <c r="B599" s="1767"/>
      <c r="C599" s="1767"/>
      <c r="D599" s="1767"/>
      <c r="E599" s="1767"/>
      <c r="F599" s="1767"/>
      <c r="G599" s="1767"/>
      <c r="H599" s="1767"/>
      <c r="I599" s="1767"/>
      <c r="J599" s="1767"/>
      <c r="K599" s="1767"/>
      <c r="L599" s="1767"/>
      <c r="M599" s="1767"/>
      <c r="N599" s="1767"/>
      <c r="O599" s="1767"/>
      <c r="P599" s="1767"/>
      <c r="Q599" s="1767"/>
      <c r="R599" s="1767"/>
      <c r="S599" s="1767"/>
      <c r="T599" s="1767"/>
      <c r="U599" s="1767"/>
      <c r="V599" s="1767"/>
      <c r="W599" s="1767"/>
      <c r="X599" s="1767"/>
      <c r="Y599" s="1767"/>
      <c r="Z599" s="1767"/>
      <c r="AA599" s="1767"/>
      <c r="AB599" s="1767"/>
      <c r="AC599" s="1767"/>
      <c r="AD599" s="1767"/>
      <c r="AE599" s="1767"/>
      <c r="AF599" s="1767"/>
      <c r="AG599" s="1767"/>
      <c r="AH599" s="1767"/>
      <c r="AI599" s="21"/>
      <c r="AJ599" s="21"/>
      <c r="AK599"/>
      <c r="AL599"/>
      <c r="AM599"/>
      <c r="AN599" s="243"/>
    </row>
    <row r="600" spans="1:64" s="4" customFormat="1" ht="12.75" customHeight="1">
      <c r="A600" s="21"/>
      <c r="B600" s="1767"/>
      <c r="C600" s="1767"/>
      <c r="D600" s="1767"/>
      <c r="E600" s="1767"/>
      <c r="F600" s="1767"/>
      <c r="G600" s="1767"/>
      <c r="H600" s="1767"/>
      <c r="I600" s="1767"/>
      <c r="J600" s="1767"/>
      <c r="K600" s="1767"/>
      <c r="L600" s="1767"/>
      <c r="M600" s="1767"/>
      <c r="N600" s="1767"/>
      <c r="O600" s="1767"/>
      <c r="P600" s="1767"/>
      <c r="Q600" s="1767"/>
      <c r="R600" s="1767"/>
      <c r="S600" s="1767"/>
      <c r="T600" s="1767"/>
      <c r="U600" s="1767"/>
      <c r="V600" s="1767"/>
      <c r="W600" s="1767"/>
      <c r="X600" s="1767"/>
      <c r="Y600" s="1767"/>
      <c r="Z600" s="1767"/>
      <c r="AA600" s="1767"/>
      <c r="AB600" s="1767"/>
      <c r="AC600" s="1767"/>
      <c r="AD600" s="1767"/>
      <c r="AE600" s="1767"/>
      <c r="AF600" s="1767"/>
      <c r="AG600" s="1767"/>
      <c r="AH600" s="1767"/>
      <c r="AI600" s="21"/>
      <c r="AJ600" s="21"/>
      <c r="AK600"/>
      <c r="AL600"/>
      <c r="AM600"/>
      <c r="AN600" s="569"/>
    </row>
    <row r="601" spans="1:64">
      <c r="B601" s="1767"/>
      <c r="C601" s="1767"/>
      <c r="D601" s="1767"/>
      <c r="E601" s="1767"/>
      <c r="F601" s="1767"/>
      <c r="G601" s="1767"/>
      <c r="H601" s="1767"/>
      <c r="I601" s="1767"/>
      <c r="J601" s="1767"/>
      <c r="K601" s="1767"/>
      <c r="L601" s="1767"/>
      <c r="M601" s="1767"/>
      <c r="N601" s="1767"/>
      <c r="O601" s="1767"/>
      <c r="P601" s="1767"/>
      <c r="Q601" s="1767"/>
      <c r="R601" s="1767"/>
      <c r="S601" s="1767"/>
      <c r="T601" s="1767"/>
      <c r="U601" s="1767"/>
      <c r="V601" s="1767"/>
      <c r="W601" s="1767"/>
      <c r="X601" s="1767"/>
      <c r="Y601" s="1767"/>
      <c r="Z601" s="1767"/>
      <c r="AA601" s="1767"/>
      <c r="AB601" s="1767"/>
      <c r="AC601" s="1767"/>
      <c r="AD601" s="1767"/>
      <c r="AE601" s="1767"/>
      <c r="AF601" s="1767"/>
      <c r="AG601" s="1767"/>
      <c r="AH601" s="1767"/>
      <c r="AK601"/>
      <c r="AL601"/>
      <c r="AM601"/>
      <c r="BD601" s="21"/>
      <c r="BE601" s="21"/>
      <c r="BF601" s="21"/>
      <c r="BG601" s="21"/>
      <c r="BH601" s="21"/>
    </row>
    <row r="602" spans="1:64" ht="12.75" customHeight="1">
      <c r="B602" s="1767"/>
      <c r="C602" s="1767"/>
      <c r="D602" s="1767"/>
      <c r="E602" s="1767"/>
      <c r="F602" s="1767"/>
      <c r="G602" s="1767"/>
      <c r="H602" s="1767"/>
      <c r="I602" s="1767"/>
      <c r="J602" s="1767"/>
      <c r="K602" s="1767"/>
      <c r="L602" s="1767"/>
      <c r="M602" s="1767"/>
      <c r="N602" s="1767"/>
      <c r="O602" s="1767"/>
      <c r="P602" s="1767"/>
      <c r="Q602" s="1767"/>
      <c r="R602" s="1767"/>
      <c r="S602" s="1767"/>
      <c r="T602" s="1767"/>
      <c r="U602" s="1767"/>
      <c r="V602" s="1767"/>
      <c r="W602" s="1767"/>
      <c r="X602" s="1767"/>
      <c r="Y602" s="1767"/>
      <c r="Z602" s="1767"/>
      <c r="AA602" s="1767"/>
      <c r="AB602" s="1767"/>
      <c r="AC602" s="1767"/>
      <c r="AD602" s="1767"/>
      <c r="AE602" s="1767"/>
      <c r="AF602" s="1767"/>
      <c r="AG602" s="1767"/>
      <c r="AH602" s="1767"/>
    </row>
    <row r="603" spans="1:64" ht="12.75" customHeight="1">
      <c r="E603" s="140"/>
    </row>
    <row r="604" spans="1:64">
      <c r="J604" s="1701" t="s">
        <v>2195</v>
      </c>
      <c r="K604" s="1702"/>
      <c r="L604" s="1702"/>
      <c r="M604" s="1702"/>
      <c r="N604" s="1703"/>
      <c r="O604" s="1224" t="s">
        <v>2196</v>
      </c>
      <c r="P604" s="1225"/>
      <c r="Q604" s="1225"/>
      <c r="R604" s="1225"/>
      <c r="S604" s="1226"/>
      <c r="T604" s="1224" t="s">
        <v>2197</v>
      </c>
      <c r="U604" s="1225"/>
      <c r="V604" s="1225"/>
      <c r="W604" s="1225"/>
      <c r="X604" s="1226"/>
      <c r="Y604" s="1224" t="s">
        <v>2198</v>
      </c>
      <c r="Z604" s="1225"/>
      <c r="AA604" s="1225"/>
      <c r="AB604" s="1225"/>
      <c r="AC604" s="1226"/>
      <c r="AF604"/>
      <c r="AG604"/>
      <c r="AH604"/>
      <c r="AI604"/>
      <c r="AJ604"/>
    </row>
    <row r="605" spans="1:64">
      <c r="D605"/>
      <c r="E605"/>
      <c r="F605"/>
      <c r="G605"/>
      <c r="H605"/>
      <c r="I605"/>
      <c r="J605" s="1704"/>
      <c r="K605" s="1705"/>
      <c r="L605" s="1705"/>
      <c r="M605" s="1705"/>
      <c r="N605" s="1706"/>
      <c r="O605" s="1227"/>
      <c r="P605" s="1228"/>
      <c r="Q605" s="1228"/>
      <c r="R605" s="1228"/>
      <c r="S605" s="1229"/>
      <c r="T605" s="1227"/>
      <c r="U605" s="1228"/>
      <c r="V605" s="1228"/>
      <c r="W605" s="1228"/>
      <c r="X605" s="1229"/>
      <c r="Y605" s="1227"/>
      <c r="Z605" s="1228"/>
      <c r="AA605" s="1228"/>
      <c r="AB605" s="1228"/>
      <c r="AC605" s="1229"/>
      <c r="AF605"/>
      <c r="AG605"/>
      <c r="AH605"/>
      <c r="AI605"/>
      <c r="AJ605"/>
      <c r="AO605" s="34" t="s">
        <v>2199</v>
      </c>
      <c r="AR605" s="21" t="b">
        <f>$Y$614&gt;=10%</f>
        <v>1</v>
      </c>
    </row>
    <row r="606" spans="1:64">
      <c r="I606"/>
      <c r="J606" s="1704"/>
      <c r="K606" s="1705"/>
      <c r="L606" s="1705"/>
      <c r="M606" s="1705"/>
      <c r="N606" s="1706"/>
      <c r="O606" s="1227"/>
      <c r="P606" s="1228"/>
      <c r="Q606" s="1228"/>
      <c r="R606" s="1228"/>
      <c r="S606" s="1229"/>
      <c r="T606" s="1227"/>
      <c r="U606" s="1228"/>
      <c r="V606" s="1228"/>
      <c r="W606" s="1228"/>
      <c r="X606" s="1229"/>
      <c r="Y606" s="1227"/>
      <c r="Z606" s="1228"/>
      <c r="AA606" s="1228"/>
      <c r="AB606" s="1228"/>
      <c r="AC606" s="1229"/>
      <c r="AD606"/>
      <c r="AF606"/>
      <c r="AG606"/>
      <c r="AH606"/>
      <c r="AI606"/>
      <c r="AJ606"/>
      <c r="AO606" s="34" t="s">
        <v>2200</v>
      </c>
      <c r="AR606" s="838">
        <f>ROUNDUP(($O$614*10%),0)</f>
        <v>3</v>
      </c>
    </row>
    <row r="607" spans="1:64">
      <c r="D607"/>
      <c r="E607"/>
      <c r="F607"/>
      <c r="G607"/>
      <c r="H607"/>
      <c r="I607"/>
      <c r="J607" s="1704"/>
      <c r="K607" s="1705"/>
      <c r="L607" s="1705"/>
      <c r="M607" s="1705"/>
      <c r="N607" s="1706"/>
      <c r="O607" s="1227"/>
      <c r="P607" s="1228"/>
      <c r="Q607" s="1228"/>
      <c r="R607" s="1228"/>
      <c r="S607" s="1229"/>
      <c r="T607" s="1227"/>
      <c r="U607" s="1228"/>
      <c r="V607" s="1228"/>
      <c r="W607" s="1228"/>
      <c r="X607" s="1229"/>
      <c r="Y607" s="1227"/>
      <c r="Z607" s="1228"/>
      <c r="AA607" s="1228"/>
      <c r="AB607" s="1228"/>
      <c r="AC607" s="1229"/>
      <c r="AD607"/>
      <c r="AF607"/>
      <c r="AG607"/>
      <c r="AH607"/>
      <c r="AI607"/>
      <c r="AJ607"/>
      <c r="AO607" s="34" t="s">
        <v>2201</v>
      </c>
      <c r="AR607" s="21" t="s">
        <v>2202</v>
      </c>
    </row>
    <row r="608" spans="1:64">
      <c r="D608"/>
      <c r="E608"/>
      <c r="F608"/>
      <c r="G608"/>
      <c r="H608"/>
      <c r="I608"/>
      <c r="J608" s="1622" t="s">
        <v>2203</v>
      </c>
      <c r="K608" s="1623"/>
      <c r="L608" s="1623"/>
      <c r="M608" s="1623"/>
      <c r="N608" s="1624"/>
      <c r="O608" s="1564">
        <f>Application!CM626</f>
        <v>0</v>
      </c>
      <c r="P608" s="1565"/>
      <c r="Q608" s="1565"/>
      <c r="R608" s="1565"/>
      <c r="S608" s="1566"/>
      <c r="T608" s="1564">
        <f>Application!DR627</f>
        <v>0</v>
      </c>
      <c r="U608" s="1565"/>
      <c r="V608" s="1565"/>
      <c r="W608" s="1565"/>
      <c r="X608" s="1566"/>
      <c r="Y608" s="1625">
        <f t="shared" ref="Y608:Y612" si="8">IF(T608&gt;0,T608/O608,0)</f>
        <v>0</v>
      </c>
      <c r="Z608" s="1626"/>
      <c r="AA608" s="1626"/>
      <c r="AB608" s="1626"/>
      <c r="AC608" s="1627"/>
      <c r="AD608"/>
      <c r="AF608"/>
      <c r="AG608"/>
      <c r="AH608"/>
      <c r="AI608"/>
      <c r="AJ608"/>
      <c r="AO608" s="838">
        <f>ROUNDUP((O608*10%),0)</f>
        <v>0</v>
      </c>
      <c r="AP608" s="177"/>
      <c r="AR608" s="839" t="b">
        <f>OR(SUM($T$608:T608)&gt;=$AR$606,T608&gt;=AO608)</f>
        <v>1</v>
      </c>
    </row>
    <row r="609" spans="1:60">
      <c r="D609"/>
      <c r="E609"/>
      <c r="F609"/>
      <c r="G609"/>
      <c r="H609"/>
      <c r="I609"/>
      <c r="J609" s="1622" t="s">
        <v>1426</v>
      </c>
      <c r="K609" s="1623"/>
      <c r="L609" s="1623"/>
      <c r="M609" s="1623"/>
      <c r="N609" s="1624"/>
      <c r="O609" s="1564">
        <f>Application!CH626</f>
        <v>0</v>
      </c>
      <c r="P609" s="1565"/>
      <c r="Q609" s="1565"/>
      <c r="R609" s="1565"/>
      <c r="S609" s="1566"/>
      <c r="T609" s="1564">
        <f>Application!DM627</f>
        <v>0</v>
      </c>
      <c r="U609" s="1565"/>
      <c r="V609" s="1565"/>
      <c r="W609" s="1565"/>
      <c r="X609" s="1566"/>
      <c r="Y609" s="1625">
        <f t="shared" si="8"/>
        <v>0</v>
      </c>
      <c r="Z609" s="1626"/>
      <c r="AA609" s="1626"/>
      <c r="AB609" s="1626"/>
      <c r="AC609" s="1627"/>
      <c r="AD609"/>
      <c r="AF609"/>
      <c r="AG609"/>
      <c r="AH609"/>
      <c r="AI609"/>
      <c r="AJ609"/>
      <c r="AO609" s="838">
        <f t="shared" ref="AO609:AO613" si="9">ROUNDUP((O609*10%),0)</f>
        <v>0</v>
      </c>
      <c r="AP609" s="177"/>
      <c r="AR609" s="839" t="b">
        <f>OR(SUM($T$608:T609)&gt;=$AR$606,T609&gt;=AO609)</f>
        <v>1</v>
      </c>
    </row>
    <row r="610" spans="1:60">
      <c r="D610"/>
      <c r="E610"/>
      <c r="F610"/>
      <c r="G610"/>
      <c r="H610"/>
      <c r="I610"/>
      <c r="J610" s="1622" t="s">
        <v>1425</v>
      </c>
      <c r="K610" s="1623"/>
      <c r="L610" s="1623"/>
      <c r="M610" s="1623"/>
      <c r="N610" s="1624"/>
      <c r="O610" s="1564">
        <f>Application!CC626</f>
        <v>0</v>
      </c>
      <c r="P610" s="1565"/>
      <c r="Q610" s="1565"/>
      <c r="R610" s="1565"/>
      <c r="S610" s="1566"/>
      <c r="T610" s="1564">
        <f>Application!DH627</f>
        <v>0</v>
      </c>
      <c r="U610" s="1565"/>
      <c r="V610" s="1565"/>
      <c r="W610" s="1565"/>
      <c r="X610" s="1566"/>
      <c r="Y610" s="1625">
        <f t="shared" si="8"/>
        <v>0</v>
      </c>
      <c r="Z610" s="1626"/>
      <c r="AA610" s="1626"/>
      <c r="AB610" s="1626"/>
      <c r="AC610" s="1627"/>
      <c r="AD610"/>
      <c r="AF610"/>
      <c r="AG610"/>
      <c r="AH610"/>
      <c r="AI610"/>
      <c r="AJ610"/>
      <c r="AO610" s="838">
        <f t="shared" si="9"/>
        <v>0</v>
      </c>
      <c r="AP610" s="177"/>
      <c r="AR610" s="839" t="b">
        <f>OR(SUM($T$608:T610)&gt;=$AR$606,T610&gt;=AO610)</f>
        <v>1</v>
      </c>
    </row>
    <row r="611" spans="1:60">
      <c r="D611"/>
      <c r="E611"/>
      <c r="F611"/>
      <c r="G611"/>
      <c r="H611"/>
      <c r="I611"/>
      <c r="J611" s="1622" t="s">
        <v>1424</v>
      </c>
      <c r="K611" s="1623"/>
      <c r="L611" s="1623"/>
      <c r="M611" s="1623"/>
      <c r="N611" s="1624"/>
      <c r="O611" s="1564">
        <f>Application!BX626</f>
        <v>0</v>
      </c>
      <c r="P611" s="1565"/>
      <c r="Q611" s="1565"/>
      <c r="R611" s="1565"/>
      <c r="S611" s="1566"/>
      <c r="T611" s="1564">
        <f>Application!DC627</f>
        <v>0</v>
      </c>
      <c r="U611" s="1565"/>
      <c r="V611" s="1565"/>
      <c r="W611" s="1565"/>
      <c r="X611" s="1566"/>
      <c r="Y611" s="1625">
        <f t="shared" si="8"/>
        <v>0</v>
      </c>
      <c r="Z611" s="1626"/>
      <c r="AA611" s="1626"/>
      <c r="AB611" s="1626"/>
      <c r="AC611" s="1627"/>
      <c r="AD611"/>
      <c r="AF611"/>
      <c r="AG611"/>
      <c r="AH611"/>
      <c r="AI611"/>
      <c r="AJ611"/>
      <c r="AO611" s="838">
        <f t="shared" si="9"/>
        <v>0</v>
      </c>
      <c r="AP611" s="177"/>
      <c r="AR611" s="839" t="b">
        <f>OR(SUM($T$608:T611)&gt;=$AR$606,T611&gt;=AO611)</f>
        <v>1</v>
      </c>
    </row>
    <row r="612" spans="1:60">
      <c r="D612"/>
      <c r="E612"/>
      <c r="F612"/>
      <c r="G612"/>
      <c r="H612"/>
      <c r="I612"/>
      <c r="J612" s="1622" t="s">
        <v>1423</v>
      </c>
      <c r="K612" s="1623"/>
      <c r="L612" s="1623"/>
      <c r="M612" s="1623"/>
      <c r="N612" s="1624"/>
      <c r="O612" s="1564">
        <f>Application!BS626</f>
        <v>22</v>
      </c>
      <c r="P612" s="1565"/>
      <c r="Q612" s="1565"/>
      <c r="R612" s="1565"/>
      <c r="S612" s="1566"/>
      <c r="T612" s="1564">
        <f>Application!CX627</f>
        <v>3</v>
      </c>
      <c r="U612" s="1565"/>
      <c r="V612" s="1565"/>
      <c r="W612" s="1565"/>
      <c r="X612" s="1566"/>
      <c r="Y612" s="1625">
        <f t="shared" si="8"/>
        <v>0.13636363636363635</v>
      </c>
      <c r="Z612" s="1626"/>
      <c r="AA612" s="1626"/>
      <c r="AB612" s="1626"/>
      <c r="AC612" s="1627"/>
      <c r="AD612"/>
      <c r="AF612"/>
      <c r="AG612"/>
      <c r="AH612"/>
      <c r="AI612"/>
      <c r="AJ612"/>
      <c r="AO612" s="838">
        <f t="shared" si="9"/>
        <v>3</v>
      </c>
      <c r="AP612" s="177"/>
      <c r="AR612" s="839" t="b">
        <f>OR(SUM($T$608:T612)&gt;=$AR$606,T612&gt;=AO612)</f>
        <v>1</v>
      </c>
    </row>
    <row r="613" spans="1:60">
      <c r="D613"/>
      <c r="E613"/>
      <c r="F613"/>
      <c r="G613"/>
      <c r="H613"/>
      <c r="I613"/>
      <c r="J613" s="1622" t="s">
        <v>860</v>
      </c>
      <c r="K613" s="1623"/>
      <c r="L613" s="1623"/>
      <c r="M613" s="1623"/>
      <c r="N613" s="1624"/>
      <c r="O613" s="1564">
        <f>Application!BN626</f>
        <v>0</v>
      </c>
      <c r="P613" s="1565"/>
      <c r="Q613" s="1565"/>
      <c r="R613" s="1565"/>
      <c r="S613" s="1566"/>
      <c r="T613" s="1564">
        <f>Application!CS627</f>
        <v>0</v>
      </c>
      <c r="U613" s="1565"/>
      <c r="V613" s="1565"/>
      <c r="W613" s="1565"/>
      <c r="X613" s="1566"/>
      <c r="Y613" s="1625">
        <f>IF(T613&gt;0,T613/O613,0)</f>
        <v>0</v>
      </c>
      <c r="Z613" s="1626"/>
      <c r="AA613" s="1626"/>
      <c r="AB613" s="1626"/>
      <c r="AC613" s="1627"/>
      <c r="AD613"/>
      <c r="AF613"/>
      <c r="AG613"/>
      <c r="AH613"/>
      <c r="AI613"/>
      <c r="AJ613"/>
      <c r="AO613" s="838">
        <f t="shared" si="9"/>
        <v>0</v>
      </c>
      <c r="AP613" s="177"/>
      <c r="AR613" s="839" t="b">
        <f>OR(SUM($T$608:T613)&gt;=$AR$606,T613&gt;=AO613)</f>
        <v>1</v>
      </c>
    </row>
    <row r="614" spans="1:60">
      <c r="D614"/>
      <c r="E614"/>
      <c r="F614"/>
      <c r="G614"/>
      <c r="H614"/>
      <c r="I614"/>
      <c r="J614" s="1476" t="s">
        <v>1396</v>
      </c>
      <c r="K614" s="1477"/>
      <c r="L614" s="1477"/>
      <c r="M614" s="1477"/>
      <c r="N614" s="1478"/>
      <c r="O614" s="1708">
        <f>SUM(O608:S613)</f>
        <v>22</v>
      </c>
      <c r="P614" s="1709"/>
      <c r="Q614" s="1709"/>
      <c r="R614" s="1709"/>
      <c r="S614" s="1710"/>
      <c r="T614" s="1708">
        <f>SUM(T608:X613)</f>
        <v>3</v>
      </c>
      <c r="U614" s="1709"/>
      <c r="V614" s="1709"/>
      <c r="W614" s="1709"/>
      <c r="X614" s="1710"/>
      <c r="Y614" s="1698">
        <f>IF(T614&gt;0,T614/O614,0)</f>
        <v>0.13636363636363635</v>
      </c>
      <c r="Z614" s="1699"/>
      <c r="AA614" s="1699"/>
      <c r="AB614" s="1699"/>
      <c r="AC614" s="17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0" t="s">
        <v>2204</v>
      </c>
      <c r="B617" s="1051"/>
      <c r="C617" s="1051"/>
      <c r="D617" s="1051"/>
      <c r="E617" s="1051"/>
      <c r="F617" s="1051"/>
      <c r="G617" s="1051"/>
      <c r="H617" s="1051"/>
      <c r="I617" s="1051"/>
      <c r="J617" s="1051"/>
      <c r="K617" s="1051"/>
      <c r="L617" s="1051"/>
      <c r="M617" s="1051"/>
      <c r="N617" s="1051"/>
      <c r="O617" s="1051"/>
      <c r="P617" s="1051"/>
      <c r="Q617" s="1051"/>
      <c r="R617" s="1051"/>
      <c r="S617" s="1051"/>
      <c r="T617" s="1051"/>
      <c r="U617" s="1051"/>
      <c r="V617" s="1051"/>
      <c r="W617" s="1051"/>
      <c r="X617" s="1051"/>
      <c r="Y617" s="1051"/>
      <c r="Z617" s="1051"/>
      <c r="AA617" s="1051"/>
      <c r="AB617" s="1051"/>
      <c r="AC617" s="1051"/>
      <c r="AD617" s="1051"/>
      <c r="AE617" s="1051"/>
      <c r="AF617" s="1051"/>
      <c r="AG617" s="1051"/>
      <c r="AH617" s="1051"/>
      <c r="AI617" s="1053"/>
      <c r="AJ617" s="1728">
        <f>IF(AND(AR605,AR608,AR609,AR610,AR611,AR612,AR613),2,0)</f>
        <v>2</v>
      </c>
      <c r="AK617" s="1729"/>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7" t="s">
        <v>2205</v>
      </c>
      <c r="B619" s="1707"/>
      <c r="C619" s="1707"/>
      <c r="D619" s="1707"/>
      <c r="E619" s="1707"/>
      <c r="F619" s="1707"/>
      <c r="G619" s="1707"/>
      <c r="H619" s="1707"/>
      <c r="I619" s="1707"/>
      <c r="J619" s="1707"/>
      <c r="K619" s="1707"/>
      <c r="L619" s="1707"/>
      <c r="M619" s="1707"/>
      <c r="N619" s="1707"/>
      <c r="O619" s="1707"/>
      <c r="P619" s="1707"/>
      <c r="Q619" s="1707"/>
      <c r="R619" s="1707"/>
      <c r="S619" s="1707"/>
      <c r="T619" s="1707"/>
      <c r="U619" s="1707"/>
      <c r="V619" s="1707"/>
      <c r="W619" s="1707"/>
      <c r="X619" s="1707"/>
      <c r="Y619" s="1707"/>
      <c r="Z619" s="1707"/>
      <c r="AA619" s="1707"/>
      <c r="AB619" s="1707"/>
      <c r="AC619" s="1707"/>
      <c r="AD619" s="1707"/>
      <c r="AE619" s="1707"/>
      <c r="AF619" s="1707"/>
      <c r="AG619" s="1707"/>
      <c r="AH619" s="1707"/>
      <c r="AI619" s="1707"/>
      <c r="AJ619" s="1707"/>
      <c r="AK619" s="1018">
        <f>IF($E$592=Application!G730,$AC$592+$AJ$617,0)</f>
        <v>57</v>
      </c>
      <c r="AL619" s="1019"/>
      <c r="AM619" s="102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2206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47" t="s">
        <v>2207</v>
      </c>
      <c r="C623" s="1547"/>
      <c r="D623" s="1547"/>
      <c r="E623" s="1547"/>
      <c r="F623" s="1547"/>
      <c r="G623" s="1547"/>
      <c r="H623" s="1547"/>
      <c r="I623" s="1547"/>
      <c r="J623" s="1547"/>
      <c r="K623" s="1547"/>
      <c r="L623" s="1547"/>
      <c r="M623" s="1547"/>
      <c r="N623" s="1547"/>
      <c r="O623" s="1547"/>
      <c r="P623" s="1547"/>
      <c r="Q623" s="1547"/>
      <c r="R623" s="1547"/>
      <c r="S623" s="1547"/>
      <c r="T623" s="1547"/>
      <c r="U623" s="1547"/>
      <c r="V623" s="1547"/>
      <c r="W623" s="1547"/>
      <c r="X623" s="1547"/>
      <c r="Y623" s="1547"/>
      <c r="Z623" s="1547"/>
      <c r="AA623" s="1547"/>
      <c r="AB623" s="1547"/>
      <c r="AC623" s="1547"/>
      <c r="AD623" s="1547"/>
      <c r="AE623" s="1547"/>
      <c r="AF623" s="1547"/>
      <c r="AG623" s="1547"/>
      <c r="AH623" s="1547"/>
      <c r="AI623" s="1547"/>
      <c r="AJ623" s="1547"/>
      <c r="AK623" s="4"/>
      <c r="AL623" s="4"/>
      <c r="AM623" s="4"/>
    </row>
    <row r="624" spans="1:60">
      <c r="A624" s="4"/>
      <c r="B624" s="1547"/>
      <c r="C624" s="1547"/>
      <c r="D624" s="1547"/>
      <c r="E624" s="1547"/>
      <c r="F624" s="1547"/>
      <c r="G624" s="1547"/>
      <c r="H624" s="1547"/>
      <c r="I624" s="1547"/>
      <c r="J624" s="1547"/>
      <c r="K624" s="1547"/>
      <c r="L624" s="1547"/>
      <c r="M624" s="1547"/>
      <c r="N624" s="1547"/>
      <c r="O624" s="1547"/>
      <c r="P624" s="1547"/>
      <c r="Q624" s="1547"/>
      <c r="R624" s="1547"/>
      <c r="S624" s="1547"/>
      <c r="T624" s="1547"/>
      <c r="U624" s="1547"/>
      <c r="V624" s="1547"/>
      <c r="W624" s="1547"/>
      <c r="X624" s="1547"/>
      <c r="Y624" s="1547"/>
      <c r="Z624" s="1547"/>
      <c r="AA624" s="1547"/>
      <c r="AB624" s="1547"/>
      <c r="AC624" s="1547"/>
      <c r="AD624" s="1547"/>
      <c r="AE624" s="1547"/>
      <c r="AF624" s="1547"/>
      <c r="AG624" s="1547"/>
      <c r="AH624" s="1547"/>
      <c r="AI624" s="1547"/>
      <c r="AJ624" s="1547"/>
      <c r="AK624" s="4"/>
      <c r="AL624" s="4"/>
      <c r="AM624" s="4"/>
    </row>
    <row r="625" spans="1:44" ht="13.65" customHeight="1">
      <c r="A625" s="4"/>
      <c r="B625" s="32"/>
      <c r="C625" s="152" t="s">
        <v>2208</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1810</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63" t="s">
        <v>708</v>
      </c>
      <c r="D627" s="1063"/>
      <c r="E627" s="163"/>
      <c r="F627" s="1551" t="s">
        <v>2209</v>
      </c>
      <c r="G627" s="1552"/>
      <c r="H627" s="1552"/>
      <c r="I627" s="1552"/>
      <c r="J627" s="1552"/>
      <c r="K627" s="1552"/>
      <c r="L627" s="1552"/>
      <c r="M627" s="1552"/>
      <c r="N627" s="1552"/>
      <c r="O627" s="1552"/>
      <c r="P627" s="1552"/>
      <c r="Q627" s="1552"/>
      <c r="R627" s="1552"/>
      <c r="S627" s="1552"/>
      <c r="T627" s="1552"/>
      <c r="U627" s="1552"/>
      <c r="V627" s="1552"/>
      <c r="W627" s="1552"/>
      <c r="X627" s="1552"/>
      <c r="Y627" s="1552"/>
      <c r="Z627" s="1552"/>
      <c r="AA627" s="1552"/>
      <c r="AB627" s="1552"/>
      <c r="AC627" s="1552"/>
      <c r="AD627" s="1552"/>
      <c r="AE627" s="1553"/>
      <c r="AF627" s="153"/>
      <c r="AG627" s="963" t="s">
        <v>1841</v>
      </c>
      <c r="AH627" s="963"/>
      <c r="AI627" s="963"/>
      <c r="AJ627" s="963"/>
      <c r="AK627" s="4"/>
      <c r="AL627" s="4"/>
      <c r="AM627" s="4"/>
      <c r="AO627" s="4"/>
      <c r="AP627" s="32"/>
    </row>
    <row r="628" spans="1:44">
      <c r="A628" s="4"/>
      <c r="B628" s="20"/>
      <c r="C628" s="38"/>
      <c r="D628" s="4"/>
      <c r="E628" s="163"/>
      <c r="F628" s="1554"/>
      <c r="G628" s="1555"/>
      <c r="H628" s="1555"/>
      <c r="I628" s="1555"/>
      <c r="J628" s="1555"/>
      <c r="K628" s="1555"/>
      <c r="L628" s="1555"/>
      <c r="M628" s="1555"/>
      <c r="N628" s="1555"/>
      <c r="O628" s="1555"/>
      <c r="P628" s="1555"/>
      <c r="Q628" s="1555"/>
      <c r="R628" s="1555"/>
      <c r="S628" s="1555"/>
      <c r="T628" s="1555"/>
      <c r="U628" s="1555"/>
      <c r="V628" s="1555"/>
      <c r="W628" s="1555"/>
      <c r="X628" s="1555"/>
      <c r="Y628" s="1555"/>
      <c r="Z628" s="1555"/>
      <c r="AA628" s="1555"/>
      <c r="AB628" s="1555"/>
      <c r="AC628" s="1555"/>
      <c r="AD628" s="1555"/>
      <c r="AE628" s="1556"/>
      <c r="AF628" s="153"/>
      <c r="AG628" s="153"/>
      <c r="AH628" s="153"/>
      <c r="AI628" s="153"/>
      <c r="AJ628" s="4"/>
      <c r="AK628" s="4"/>
      <c r="AL628" s="4"/>
      <c r="AM628" s="4"/>
    </row>
    <row r="629" spans="1:44" ht="13.65" customHeight="1">
      <c r="A629" s="4"/>
      <c r="B629" s="20"/>
      <c r="C629" s="38"/>
      <c r="D629" s="4"/>
      <c r="E629" s="163"/>
      <c r="F629" s="1557"/>
      <c r="G629" s="1558"/>
      <c r="H629" s="1558"/>
      <c r="I629" s="1558"/>
      <c r="J629" s="1558"/>
      <c r="K629" s="1558"/>
      <c r="L629" s="1558"/>
      <c r="M629" s="1558"/>
      <c r="N629" s="1558"/>
      <c r="O629" s="1558"/>
      <c r="P629" s="1558"/>
      <c r="Q629" s="1558"/>
      <c r="R629" s="1558"/>
      <c r="S629" s="1558"/>
      <c r="T629" s="1558"/>
      <c r="U629" s="1558"/>
      <c r="V629" s="1558"/>
      <c r="W629" s="1558"/>
      <c r="X629" s="1558"/>
      <c r="Y629" s="1558"/>
      <c r="Z629" s="1558"/>
      <c r="AA629" s="1558"/>
      <c r="AB629" s="1558"/>
      <c r="AC629" s="1558"/>
      <c r="AD629" s="1558"/>
      <c r="AE629" s="1559"/>
      <c r="AF629" s="153"/>
      <c r="AG629" s="153"/>
      <c r="AH629" s="153"/>
      <c r="AI629" s="153"/>
      <c r="AJ629" s="4"/>
      <c r="AK629" s="4"/>
      <c r="AL629" s="4"/>
      <c r="AM629" s="4"/>
    </row>
    <row r="630" spans="1:44" ht="13.65" customHeight="1">
      <c r="A630" s="4"/>
      <c r="B630" s="20"/>
      <c r="C630" s="38"/>
      <c r="D630" s="4"/>
      <c r="E630" s="163"/>
      <c r="F630" s="713"/>
      <c r="G630" s="713"/>
      <c r="H630" s="713"/>
      <c r="I630" s="713"/>
      <c r="J630" s="713"/>
      <c r="K630" s="713"/>
      <c r="L630" s="713"/>
      <c r="M630" s="713"/>
      <c r="N630" s="713"/>
      <c r="O630" s="713"/>
      <c r="P630" s="713"/>
      <c r="Q630" s="713"/>
      <c r="R630" s="713"/>
      <c r="S630" s="713"/>
      <c r="T630" s="713"/>
      <c r="U630" s="713"/>
      <c r="V630" s="713"/>
      <c r="W630" s="713"/>
      <c r="X630" s="713"/>
      <c r="Y630" s="713"/>
      <c r="Z630" s="713"/>
      <c r="AA630" s="713"/>
      <c r="AB630" s="713"/>
      <c r="AC630" s="713"/>
      <c r="AD630" s="713"/>
      <c r="AE630" s="4"/>
      <c r="AF630" s="153"/>
      <c r="AG630" s="153"/>
      <c r="AH630" s="153"/>
      <c r="AI630" s="153"/>
      <c r="AJ630" s="4"/>
      <c r="AK630" s="4"/>
      <c r="AL630" s="4"/>
      <c r="AM630" s="4"/>
    </row>
    <row r="631" spans="1:44" ht="13.65" customHeight="1">
      <c r="A631" s="4"/>
      <c r="B631" s="1547" t="s">
        <v>2210</v>
      </c>
      <c r="C631" s="1547"/>
      <c r="D631" s="1547"/>
      <c r="E631" s="1547"/>
      <c r="F631" s="1547"/>
      <c r="G631" s="1547"/>
      <c r="H631" s="1547"/>
      <c r="I631" s="1547"/>
      <c r="J631" s="1547"/>
      <c r="K631" s="1547"/>
      <c r="L631" s="1547"/>
      <c r="M631" s="1547"/>
      <c r="N631" s="1547"/>
      <c r="O631" s="1547"/>
      <c r="P631" s="1547"/>
      <c r="Q631" s="1547"/>
      <c r="R631" s="1547"/>
      <c r="S631" s="1547"/>
      <c r="T631" s="1547"/>
      <c r="U631" s="1547"/>
      <c r="V631" s="1547"/>
      <c r="W631" s="1547"/>
      <c r="X631" s="1547"/>
      <c r="Y631" s="1547"/>
      <c r="Z631" s="1547"/>
      <c r="AA631" s="1547"/>
      <c r="AB631" s="1547"/>
      <c r="AC631" s="1547"/>
      <c r="AD631" s="1547"/>
      <c r="AE631" s="1547"/>
      <c r="AF631" s="1547"/>
      <c r="AG631" s="1547"/>
      <c r="AH631" s="1547"/>
      <c r="AI631" s="153"/>
      <c r="AJ631" s="4"/>
      <c r="AK631" s="4"/>
      <c r="AL631" s="4"/>
      <c r="AM631" s="4"/>
      <c r="AN631" s="65"/>
    </row>
    <row r="632" spans="1:44" ht="13.65" customHeight="1">
      <c r="B632" s="1547"/>
      <c r="C632" s="1547"/>
      <c r="D632" s="1547"/>
      <c r="E632" s="1547"/>
      <c r="F632" s="1547"/>
      <c r="G632" s="1547"/>
      <c r="H632" s="1547"/>
      <c r="I632" s="1547"/>
      <c r="J632" s="1547"/>
      <c r="K632" s="1547"/>
      <c r="L632" s="1547"/>
      <c r="M632" s="1547"/>
      <c r="N632" s="1547"/>
      <c r="O632" s="1547"/>
      <c r="P632" s="1547"/>
      <c r="Q632" s="1547"/>
      <c r="R632" s="1547"/>
      <c r="S632" s="1547"/>
      <c r="T632" s="1547"/>
      <c r="U632" s="1547"/>
      <c r="V632" s="1547"/>
      <c r="W632" s="1547"/>
      <c r="X632" s="1547"/>
      <c r="Y632" s="1547"/>
      <c r="Z632" s="1547"/>
      <c r="AA632" s="1547"/>
      <c r="AB632" s="1547"/>
      <c r="AC632" s="1547"/>
      <c r="AD632" s="1547"/>
      <c r="AE632" s="1547"/>
      <c r="AF632" s="1547"/>
      <c r="AG632" s="1547"/>
      <c r="AH632" s="1547"/>
      <c r="AI632" s="140"/>
      <c r="AJ632" s="4"/>
      <c r="AK632" s="4"/>
      <c r="AL632" s="4"/>
      <c r="AM632" s="4"/>
      <c r="AN632" s="65"/>
      <c r="AR632" s="37"/>
    </row>
    <row r="633" spans="1:44" ht="13.65" customHeight="1">
      <c r="A633" s="4"/>
      <c r="B633" s="1547"/>
      <c r="C633" s="1547"/>
      <c r="D633" s="1547"/>
      <c r="E633" s="1547"/>
      <c r="F633" s="1547"/>
      <c r="G633" s="1547"/>
      <c r="H633" s="1547"/>
      <c r="I633" s="1547"/>
      <c r="J633" s="1547"/>
      <c r="K633" s="1547"/>
      <c r="L633" s="1547"/>
      <c r="M633" s="1547"/>
      <c r="N633" s="1547"/>
      <c r="O633" s="1547"/>
      <c r="P633" s="1547"/>
      <c r="Q633" s="1547"/>
      <c r="R633" s="1547"/>
      <c r="S633" s="1547"/>
      <c r="T633" s="1547"/>
      <c r="U633" s="1547"/>
      <c r="V633" s="1547"/>
      <c r="W633" s="1547"/>
      <c r="X633" s="1547"/>
      <c r="Y633" s="1547"/>
      <c r="Z633" s="1547"/>
      <c r="AA633" s="1547"/>
      <c r="AB633" s="1547"/>
      <c r="AC633" s="1547"/>
      <c r="AD633" s="1547"/>
      <c r="AE633" s="1547"/>
      <c r="AF633" s="1547"/>
      <c r="AG633" s="1547"/>
      <c r="AH633" s="1547"/>
      <c r="AI633" s="140"/>
      <c r="AJ633" s="4"/>
      <c r="AK633" s="4"/>
      <c r="AL633" s="4"/>
      <c r="AM633" s="4"/>
      <c r="AN633" s="65"/>
    </row>
    <row r="634" spans="1:44" ht="13.65" customHeight="1">
      <c r="A634" s="4"/>
      <c r="B634" s="1547"/>
      <c r="C634" s="1547"/>
      <c r="D634" s="1547"/>
      <c r="E634" s="1547"/>
      <c r="F634" s="1547"/>
      <c r="G634" s="1547"/>
      <c r="H634" s="1547"/>
      <c r="I634" s="1547"/>
      <c r="J634" s="1547"/>
      <c r="K634" s="1547"/>
      <c r="L634" s="1547"/>
      <c r="M634" s="1547"/>
      <c r="N634" s="1547"/>
      <c r="O634" s="1547"/>
      <c r="P634" s="1547"/>
      <c r="Q634" s="1547"/>
      <c r="R634" s="1547"/>
      <c r="S634" s="1547"/>
      <c r="T634" s="1547"/>
      <c r="U634" s="1547"/>
      <c r="V634" s="1547"/>
      <c r="W634" s="1547"/>
      <c r="X634" s="1547"/>
      <c r="Y634" s="1547"/>
      <c r="Z634" s="1547"/>
      <c r="AA634" s="1547"/>
      <c r="AB634" s="1547"/>
      <c r="AC634" s="1547"/>
      <c r="AD634" s="1547"/>
      <c r="AE634" s="1547"/>
      <c r="AF634" s="1547"/>
      <c r="AG634" s="1547"/>
      <c r="AH634" s="1547"/>
      <c r="AI634" s="140"/>
      <c r="AJ634" s="4"/>
      <c r="AK634" s="4"/>
      <c r="AL634" s="4"/>
      <c r="AM634" s="4"/>
      <c r="AN634" s="65"/>
    </row>
    <row r="635" spans="1:44" ht="13.65" customHeight="1">
      <c r="A635" s="4"/>
      <c r="B635" s="1547"/>
      <c r="C635" s="1547"/>
      <c r="D635" s="1547"/>
      <c r="E635" s="1547"/>
      <c r="F635" s="1547"/>
      <c r="G635" s="1547"/>
      <c r="H635" s="1547"/>
      <c r="I635" s="1547"/>
      <c r="J635" s="1547"/>
      <c r="K635" s="1547"/>
      <c r="L635" s="1547"/>
      <c r="M635" s="1547"/>
      <c r="N635" s="1547"/>
      <c r="O635" s="1547"/>
      <c r="P635" s="1547"/>
      <c r="Q635" s="1547"/>
      <c r="R635" s="1547"/>
      <c r="S635" s="1547"/>
      <c r="T635" s="1547"/>
      <c r="U635" s="1547"/>
      <c r="V635" s="1547"/>
      <c r="W635" s="1547"/>
      <c r="X635" s="1547"/>
      <c r="Y635" s="1547"/>
      <c r="Z635" s="1547"/>
      <c r="AA635" s="1547"/>
      <c r="AB635" s="1547"/>
      <c r="AC635" s="1547"/>
      <c r="AD635" s="1547"/>
      <c r="AE635" s="1547"/>
      <c r="AF635" s="1547"/>
      <c r="AG635" s="1547"/>
      <c r="AH635" s="1547"/>
      <c r="AI635" s="140"/>
      <c r="AJ635" s="4"/>
      <c r="AK635" s="4"/>
      <c r="AL635" s="4"/>
      <c r="AM635" s="4"/>
      <c r="AN635" s="65"/>
    </row>
    <row r="636" spans="1:44" ht="13.65" customHeight="1">
      <c r="A636" s="4"/>
      <c r="B636" s="1547"/>
      <c r="C636" s="1547"/>
      <c r="D636" s="1547"/>
      <c r="E636" s="1547"/>
      <c r="F636" s="1547"/>
      <c r="G636" s="1547"/>
      <c r="H636" s="1547"/>
      <c r="I636" s="1547"/>
      <c r="J636" s="1547"/>
      <c r="K636" s="1547"/>
      <c r="L636" s="1547"/>
      <c r="M636" s="1547"/>
      <c r="N636" s="1547"/>
      <c r="O636" s="1547"/>
      <c r="P636" s="1547"/>
      <c r="Q636" s="1547"/>
      <c r="R636" s="1547"/>
      <c r="S636" s="1547"/>
      <c r="T636" s="1547"/>
      <c r="U636" s="1547"/>
      <c r="V636" s="1547"/>
      <c r="W636" s="1547"/>
      <c r="X636" s="1547"/>
      <c r="Y636" s="1547"/>
      <c r="Z636" s="1547"/>
      <c r="AA636" s="1547"/>
      <c r="AB636" s="1547"/>
      <c r="AC636" s="1547"/>
      <c r="AD636" s="1547"/>
      <c r="AE636" s="1547"/>
      <c r="AF636" s="1547"/>
      <c r="AG636" s="1547"/>
      <c r="AH636" s="1547"/>
      <c r="AI636" s="140"/>
      <c r="AJ636" s="4"/>
      <c r="AK636" s="4"/>
      <c r="AL636" s="4"/>
      <c r="AM636" s="4"/>
      <c r="AN636" s="65"/>
    </row>
    <row r="637" spans="1:44" ht="13.65" customHeight="1">
      <c r="A637" s="4"/>
      <c r="B637" s="1547"/>
      <c r="C637" s="1547"/>
      <c r="D637" s="1547"/>
      <c r="E637" s="1547"/>
      <c r="F637" s="1547"/>
      <c r="G637" s="1547"/>
      <c r="H637" s="1547"/>
      <c r="I637" s="1547"/>
      <c r="J637" s="1547"/>
      <c r="K637" s="1547"/>
      <c r="L637" s="1547"/>
      <c r="M637" s="1547"/>
      <c r="N637" s="1547"/>
      <c r="O637" s="1547"/>
      <c r="P637" s="1547"/>
      <c r="Q637" s="1547"/>
      <c r="R637" s="1547"/>
      <c r="S637" s="1547"/>
      <c r="T637" s="1547"/>
      <c r="U637" s="1547"/>
      <c r="V637" s="1547"/>
      <c r="W637" s="1547"/>
      <c r="X637" s="1547"/>
      <c r="Y637" s="1547"/>
      <c r="Z637" s="1547"/>
      <c r="AA637" s="1547"/>
      <c r="AB637" s="1547"/>
      <c r="AC637" s="1547"/>
      <c r="AD637" s="1547"/>
      <c r="AE637" s="1547"/>
      <c r="AF637" s="1547"/>
      <c r="AG637" s="1547"/>
      <c r="AH637" s="1547"/>
      <c r="AI637" s="140"/>
      <c r="AJ637" s="4"/>
      <c r="AK637" s="4"/>
      <c r="AL637" s="4"/>
      <c r="AM637" s="4"/>
      <c r="AN637" s="65"/>
    </row>
    <row r="638" spans="1:44">
      <c r="A638" s="4"/>
      <c r="B638" s="1547"/>
      <c r="C638" s="1547"/>
      <c r="D638" s="1547"/>
      <c r="E638" s="1547"/>
      <c r="F638" s="1547"/>
      <c r="G638" s="1547"/>
      <c r="H638" s="1547"/>
      <c r="I638" s="1547"/>
      <c r="J638" s="1547"/>
      <c r="K638" s="1547"/>
      <c r="L638" s="1547"/>
      <c r="M638" s="1547"/>
      <c r="N638" s="1547"/>
      <c r="O638" s="1547"/>
      <c r="P638" s="1547"/>
      <c r="Q638" s="1547"/>
      <c r="R638" s="1547"/>
      <c r="S638" s="1547"/>
      <c r="T638" s="1547"/>
      <c r="U638" s="1547"/>
      <c r="V638" s="1547"/>
      <c r="W638" s="1547"/>
      <c r="X638" s="1547"/>
      <c r="Y638" s="1547"/>
      <c r="Z638" s="1547"/>
      <c r="AA638" s="1547"/>
      <c r="AB638" s="1547"/>
      <c r="AC638" s="1547"/>
      <c r="AD638" s="1547"/>
      <c r="AE638" s="1547"/>
      <c r="AF638" s="1547"/>
      <c r="AG638" s="1547"/>
      <c r="AH638" s="1547"/>
      <c r="AI638" s="140"/>
      <c r="AJ638" s="4"/>
      <c r="AK638" s="4"/>
      <c r="AL638" s="4"/>
      <c r="AM638" s="4"/>
      <c r="AN638" s="65"/>
    </row>
    <row r="639" spans="1:44">
      <c r="A639" s="4"/>
      <c r="B639" s="1547"/>
      <c r="C639" s="1547"/>
      <c r="D639" s="1547"/>
      <c r="E639" s="1547"/>
      <c r="F639" s="1547"/>
      <c r="G639" s="1547"/>
      <c r="H639" s="1547"/>
      <c r="I639" s="1547"/>
      <c r="J639" s="1547"/>
      <c r="K639" s="1547"/>
      <c r="L639" s="1547"/>
      <c r="M639" s="1547"/>
      <c r="N639" s="1547"/>
      <c r="O639" s="1547"/>
      <c r="P639" s="1547"/>
      <c r="Q639" s="1547"/>
      <c r="R639" s="1547"/>
      <c r="S639" s="1547"/>
      <c r="T639" s="1547"/>
      <c r="U639" s="1547"/>
      <c r="V639" s="1547"/>
      <c r="W639" s="1547"/>
      <c r="X639" s="1547"/>
      <c r="Y639" s="1547"/>
      <c r="Z639" s="1547"/>
      <c r="AA639" s="1547"/>
      <c r="AB639" s="1547"/>
      <c r="AC639" s="1547"/>
      <c r="AD639" s="1547"/>
      <c r="AE639" s="1547"/>
      <c r="AF639" s="1547"/>
      <c r="AG639" s="1547"/>
      <c r="AH639" s="1547"/>
      <c r="AI639" s="140"/>
      <c r="AJ639" s="4"/>
      <c r="AK639" s="4"/>
      <c r="AL639" s="4"/>
      <c r="AM639" s="4"/>
      <c r="AN639" s="65"/>
    </row>
    <row r="640" spans="1:44">
      <c r="A640" s="4"/>
      <c r="B640" s="1547"/>
      <c r="C640" s="1547"/>
      <c r="D640" s="1547"/>
      <c r="E640" s="1547"/>
      <c r="F640" s="1547"/>
      <c r="G640" s="1547"/>
      <c r="H640" s="1547"/>
      <c r="I640" s="1547"/>
      <c r="J640" s="1547"/>
      <c r="K640" s="1547"/>
      <c r="L640" s="1547"/>
      <c r="M640" s="1547"/>
      <c r="N640" s="1547"/>
      <c r="O640" s="1547"/>
      <c r="P640" s="1547"/>
      <c r="Q640" s="1547"/>
      <c r="R640" s="1547"/>
      <c r="S640" s="1547"/>
      <c r="T640" s="1547"/>
      <c r="U640" s="1547"/>
      <c r="V640" s="1547"/>
      <c r="W640" s="1547"/>
      <c r="X640" s="1547"/>
      <c r="Y640" s="1547"/>
      <c r="Z640" s="1547"/>
      <c r="AA640" s="1547"/>
      <c r="AB640" s="1547"/>
      <c r="AC640" s="1547"/>
      <c r="AD640" s="1547"/>
      <c r="AE640" s="1547"/>
      <c r="AF640" s="1547"/>
      <c r="AG640" s="1547"/>
      <c r="AH640" s="1547"/>
      <c r="AI640" s="140"/>
      <c r="AJ640" s="4"/>
      <c r="AK640" s="4"/>
      <c r="AL640" s="4"/>
      <c r="AM640" s="4"/>
      <c r="AN640" s="65"/>
    </row>
    <row r="641" spans="1:60">
      <c r="A641" s="4"/>
      <c r="B641" s="1547"/>
      <c r="C641" s="1547"/>
      <c r="D641" s="1547"/>
      <c r="E641" s="1547"/>
      <c r="F641" s="1547"/>
      <c r="G641" s="1547"/>
      <c r="H641" s="1547"/>
      <c r="I641" s="1547"/>
      <c r="J641" s="1547"/>
      <c r="K641" s="1547"/>
      <c r="L641" s="1547"/>
      <c r="M641" s="1547"/>
      <c r="N641" s="1547"/>
      <c r="O641" s="1547"/>
      <c r="P641" s="1547"/>
      <c r="Q641" s="1547"/>
      <c r="R641" s="1547"/>
      <c r="S641" s="1547"/>
      <c r="T641" s="1547"/>
      <c r="U641" s="1547"/>
      <c r="V641" s="1547"/>
      <c r="W641" s="1547"/>
      <c r="X641" s="1547"/>
      <c r="Y641" s="1547"/>
      <c r="Z641" s="1547"/>
      <c r="AA641" s="1547"/>
      <c r="AB641" s="1547"/>
      <c r="AC641" s="1547"/>
      <c r="AD641" s="1547"/>
      <c r="AE641" s="1547"/>
      <c r="AF641" s="1547"/>
      <c r="AG641" s="1547"/>
      <c r="AH641" s="1547"/>
      <c r="AI641" s="140"/>
      <c r="AJ641" s="4"/>
      <c r="AK641" s="4"/>
      <c r="AL641" s="4"/>
      <c r="AM641" s="4"/>
      <c r="AN641" s="65"/>
    </row>
    <row r="642" spans="1:60" s="548" customFormat="1" ht="12.6" customHeight="1">
      <c r="A642" s="4"/>
      <c r="B642" s="1547"/>
      <c r="C642" s="1547"/>
      <c r="D642" s="1547"/>
      <c r="E642" s="1547"/>
      <c r="F642" s="1547"/>
      <c r="G642" s="1547"/>
      <c r="H642" s="1547"/>
      <c r="I642" s="1547"/>
      <c r="J642" s="1547"/>
      <c r="K642" s="1547"/>
      <c r="L642" s="1547"/>
      <c r="M642" s="1547"/>
      <c r="N642" s="1547"/>
      <c r="O642" s="1547"/>
      <c r="P642" s="1547"/>
      <c r="Q642" s="1547"/>
      <c r="R642" s="1547"/>
      <c r="S642" s="1547"/>
      <c r="T642" s="1547"/>
      <c r="U642" s="1547"/>
      <c r="V642" s="1547"/>
      <c r="W642" s="1547"/>
      <c r="X642" s="1547"/>
      <c r="Y642" s="1547"/>
      <c r="Z642" s="1547"/>
      <c r="AA642" s="1547"/>
      <c r="AB642" s="1547"/>
      <c r="AC642" s="1547"/>
      <c r="AD642" s="1547"/>
      <c r="AE642" s="1547"/>
      <c r="AF642" s="1547"/>
      <c r="AG642" s="1547"/>
      <c r="AH642" s="1547"/>
      <c r="AI642" s="140"/>
      <c r="AJ642" s="4"/>
      <c r="AK642" s="4"/>
      <c r="AL642" s="4"/>
      <c r="AM642" s="4"/>
      <c r="AN642" s="577"/>
      <c r="BD642" s="550"/>
      <c r="BE642" s="550"/>
      <c r="BF642" s="550"/>
      <c r="BG642" s="550"/>
      <c r="BH642" s="550"/>
    </row>
    <row r="643" spans="1:60">
      <c r="A643" s="4"/>
      <c r="B643" s="1547"/>
      <c r="C643" s="1547"/>
      <c r="D643" s="1547"/>
      <c r="E643" s="1547"/>
      <c r="F643" s="1547"/>
      <c r="G643" s="1547"/>
      <c r="H643" s="1547"/>
      <c r="I643" s="1547"/>
      <c r="J643" s="1547"/>
      <c r="K643" s="1547"/>
      <c r="L643" s="1547"/>
      <c r="M643" s="1547"/>
      <c r="N643" s="1547"/>
      <c r="O643" s="1547"/>
      <c r="P643" s="1547"/>
      <c r="Q643" s="1547"/>
      <c r="R643" s="1547"/>
      <c r="S643" s="1547"/>
      <c r="T643" s="1547"/>
      <c r="U643" s="1547"/>
      <c r="V643" s="1547"/>
      <c r="W643" s="1547"/>
      <c r="X643" s="1547"/>
      <c r="Y643" s="1547"/>
      <c r="Z643" s="1547"/>
      <c r="AA643" s="1547"/>
      <c r="AB643" s="1547"/>
      <c r="AC643" s="1547"/>
      <c r="AD643" s="1547"/>
      <c r="AE643" s="1547"/>
      <c r="AF643" s="1547"/>
      <c r="AG643" s="1547"/>
      <c r="AH643" s="1547"/>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2211</v>
      </c>
      <c r="AK645" s="1018">
        <f>IF($C$627="yes",10,0)</f>
        <v>10</v>
      </c>
      <c r="AL645" s="1019"/>
      <c r="AM645" s="1021"/>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46"/>
      <c r="AR647"/>
      <c r="AS647"/>
      <c r="AT647"/>
      <c r="AU647"/>
      <c r="AV647" s="36"/>
      <c r="AW647" s="36"/>
    </row>
    <row r="648" spans="1:60">
      <c r="A648" s="107" t="s">
        <v>2212</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2213</v>
      </c>
      <c r="AI648" s="3"/>
      <c r="AJ648" s="3"/>
      <c r="AK648" s="4"/>
      <c r="AL648" s="4"/>
      <c r="AM648" s="4"/>
      <c r="AN648" s="65"/>
      <c r="AO648" s="4">
        <f>IF($C$650="yes",2,0)</f>
        <v>2</v>
      </c>
      <c r="AQ648" s="546"/>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3" t="s">
        <v>708</v>
      </c>
      <c r="D650" s="1063"/>
      <c r="E650" s="163" t="s">
        <v>18</v>
      </c>
      <c r="F650" s="19" t="s">
        <v>2214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1889</v>
      </c>
      <c r="AH650" s="4"/>
      <c r="AI650" s="4"/>
      <c r="AJ650" s="4"/>
      <c r="AK650" s="4"/>
      <c r="AL650" s="4"/>
      <c r="AM650" s="4"/>
      <c r="AN650" s="65"/>
      <c r="AO650" s="4">
        <f>IF($C$659="yes",2,0)</f>
        <v>2</v>
      </c>
      <c r="AQ650"/>
      <c r="AR650"/>
      <c r="AS650"/>
      <c r="AT650"/>
      <c r="AU650"/>
      <c r="AV650" s="36"/>
      <c r="AW650" s="36"/>
    </row>
    <row r="651" spans="1:60">
      <c r="A651" s="107"/>
      <c r="B651" s="20"/>
      <c r="F651" s="19" t="s">
        <v>2215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2217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63" t="s">
        <v>325</v>
      </c>
      <c r="D655" s="1063"/>
      <c r="E655" s="163" t="s">
        <v>23</v>
      </c>
      <c r="F655" s="19" t="s">
        <v>2218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1889</v>
      </c>
      <c r="AH655" s="19"/>
      <c r="AI655" s="19"/>
      <c r="AJ655" s="4"/>
      <c r="AK655" s="4"/>
      <c r="AL655" s="4"/>
      <c r="AM655" s="4"/>
      <c r="AO655" s="25">
        <f>SUM(AO648:AO654)</f>
        <v>4</v>
      </c>
      <c r="AP655" s="549" t="s">
        <v>2219</v>
      </c>
    </row>
    <row r="656" spans="1:60">
      <c r="A656" s="4"/>
      <c r="B656" s="19"/>
      <c r="C656" s="4"/>
      <c r="D656" s="19"/>
      <c r="E656" s="4"/>
      <c r="F656" s="19" t="s">
        <v>2220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3" t="s">
        <v>708</v>
      </c>
      <c r="D659" s="1063"/>
      <c r="E659" s="163" t="s">
        <v>43</v>
      </c>
      <c r="F659" s="413" t="s">
        <v>2222</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1889</v>
      </c>
      <c r="AH659" s="19"/>
      <c r="AI659" s="19"/>
      <c r="AJ659" s="4"/>
      <c r="AK659" s="4"/>
      <c r="AL659" s="4"/>
      <c r="AM659" s="4"/>
      <c r="AN659" s="65"/>
      <c r="AO659" s="21"/>
    </row>
    <row r="660" spans="1:41">
      <c r="A660" s="4"/>
      <c r="B660" s="19"/>
      <c r="C660" s="4"/>
      <c r="D660" s="19"/>
      <c r="E660" s="4"/>
      <c r="F660" s="19" t="s">
        <v>2223</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2224</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3" t="s">
        <v>325</v>
      </c>
      <c r="D663" s="1063"/>
      <c r="E663" s="163" t="s">
        <v>1864</v>
      </c>
      <c r="F663" s="19" t="s">
        <v>2225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1908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3" t="s">
        <v>325</v>
      </c>
      <c r="D665" s="1063"/>
      <c r="E665" s="163" t="s">
        <v>1866</v>
      </c>
      <c r="F665" s="19" t="s">
        <v>2226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1889</v>
      </c>
      <c r="AH665" s="19"/>
      <c r="AI665" s="19"/>
      <c r="AJ665" s="4"/>
      <c r="AK665" s="4"/>
      <c r="AL665" s="4"/>
      <c r="AM665" s="4"/>
    </row>
    <row r="666" spans="1:41">
      <c r="A666" s="4"/>
      <c r="B666" s="19"/>
      <c r="C666" s="4"/>
      <c r="D666" s="19"/>
      <c r="E666" s="4"/>
      <c r="F666" s="414" t="s">
        <v>2227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4" t="s">
        <v>2228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2229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3" t="s">
        <v>325</v>
      </c>
      <c r="D670" s="1063"/>
      <c r="E670" s="163" t="s">
        <v>1904</v>
      </c>
      <c r="F670" s="19" t="s">
        <v>2230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1908</v>
      </c>
      <c r="AH670" s="19"/>
      <c r="AI670" s="19"/>
      <c r="AJ670" s="4"/>
      <c r="AK670" s="4"/>
      <c r="AL670" s="4"/>
      <c r="AM670" s="4"/>
      <c r="AN670" s="65"/>
      <c r="AO670" s="21"/>
    </row>
    <row r="671" spans="1:41">
      <c r="A671" s="4"/>
      <c r="B671" s="19"/>
      <c r="C671" s="19"/>
      <c r="D671" s="19"/>
      <c r="E671" s="19"/>
      <c r="F671" s="19" t="s">
        <v>2231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3" t="s">
        <v>325</v>
      </c>
      <c r="D673" s="1063"/>
      <c r="E673" s="163" t="s">
        <v>1906</v>
      </c>
      <c r="F673" s="1547" t="s">
        <v>2232</v>
      </c>
      <c r="G673" s="1547"/>
      <c r="H673" s="1547"/>
      <c r="I673" s="1547"/>
      <c r="J673" s="1547"/>
      <c r="K673" s="1547"/>
      <c r="L673" s="1547"/>
      <c r="M673" s="1547"/>
      <c r="N673" s="1547"/>
      <c r="O673" s="1547"/>
      <c r="P673" s="1547"/>
      <c r="Q673" s="1547"/>
      <c r="R673" s="1547"/>
      <c r="S673" s="1547"/>
      <c r="T673" s="1547"/>
      <c r="U673" s="1547"/>
      <c r="V673" s="1547"/>
      <c r="W673" s="1547"/>
      <c r="X673" s="1547"/>
      <c r="Y673" s="1547"/>
      <c r="Z673" s="1547"/>
      <c r="AA673" s="1547"/>
      <c r="AB673" s="1547"/>
      <c r="AC673" s="1547"/>
      <c r="AD673" s="1547"/>
      <c r="AE673" s="19"/>
      <c r="AF673" s="19"/>
      <c r="AG673" s="3" t="s">
        <v>1889</v>
      </c>
      <c r="AH673" s="19"/>
      <c r="AI673" s="19"/>
      <c r="AJ673" s="4"/>
      <c r="AK673" s="4"/>
      <c r="AL673" s="4"/>
      <c r="AM673" s="4"/>
      <c r="AN673" s="65"/>
      <c r="AO673" s="21"/>
    </row>
    <row r="674" spans="1:60">
      <c r="A674" s="4"/>
      <c r="B674" s="19"/>
      <c r="C674" s="19"/>
      <c r="D674" s="19"/>
      <c r="E674" s="19"/>
      <c r="F674" s="1547"/>
      <c r="G674" s="1547"/>
      <c r="H674" s="1547"/>
      <c r="I674" s="1547"/>
      <c r="J674" s="1547"/>
      <c r="K674" s="1547"/>
      <c r="L674" s="1547"/>
      <c r="M674" s="1547"/>
      <c r="N674" s="1547"/>
      <c r="O674" s="1547"/>
      <c r="P674" s="1547"/>
      <c r="Q674" s="1547"/>
      <c r="R674" s="1547"/>
      <c r="S674" s="1547"/>
      <c r="T674" s="1547"/>
      <c r="U674" s="1547"/>
      <c r="V674" s="1547"/>
      <c r="W674" s="1547"/>
      <c r="X674" s="1547"/>
      <c r="Y674" s="1547"/>
      <c r="Z674" s="1547"/>
      <c r="AA674" s="1547"/>
      <c r="AB674" s="1547"/>
      <c r="AC674" s="1547"/>
      <c r="AD674" s="1547"/>
      <c r="AE674" s="19"/>
      <c r="AF674" s="19"/>
      <c r="AG674" s="19"/>
      <c r="AH674" s="19"/>
      <c r="AI674" s="19"/>
      <c r="AJ674" s="4"/>
      <c r="AK674" s="4"/>
      <c r="AL674" s="4"/>
      <c r="AM674" s="4"/>
      <c r="AN674" s="65"/>
      <c r="AO674" s="21"/>
    </row>
    <row r="675" spans="1:60" ht="0.75" customHeight="1">
      <c r="A675" s="4"/>
      <c r="B675" s="19"/>
      <c r="C675" s="19"/>
      <c r="D675" s="19"/>
      <c r="E675" s="19"/>
      <c r="F675" s="1547"/>
      <c r="G675" s="1547"/>
      <c r="H675" s="1547"/>
      <c r="I675" s="1547"/>
      <c r="J675" s="1547"/>
      <c r="K675" s="1547"/>
      <c r="L675" s="1547"/>
      <c r="M675" s="1547"/>
      <c r="N675" s="1547"/>
      <c r="O675" s="1547"/>
      <c r="P675" s="1547"/>
      <c r="Q675" s="1547"/>
      <c r="R675" s="1547"/>
      <c r="S675" s="1547"/>
      <c r="T675" s="1547"/>
      <c r="U675" s="1547"/>
      <c r="V675" s="1547"/>
      <c r="W675" s="1547"/>
      <c r="X675" s="1547"/>
      <c r="Y675" s="1547"/>
      <c r="Z675" s="1547"/>
      <c r="AA675" s="1547"/>
      <c r="AB675" s="1547"/>
      <c r="AC675" s="1547"/>
      <c r="AD675" s="1547"/>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2233</v>
      </c>
      <c r="AK688" s="1018">
        <f>$AO$655</f>
        <v>4</v>
      </c>
      <c r="AL688" s="1019"/>
      <c r="AM688" s="102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1"/>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19" t="s">
        <v>2234</v>
      </c>
      <c r="B691" s="1719"/>
      <c r="C691" s="1719"/>
      <c r="D691" s="1719"/>
      <c r="E691" s="1719"/>
      <c r="F691" s="1719"/>
      <c r="G691" s="1719"/>
      <c r="H691" s="1719"/>
      <c r="I691" s="1719"/>
      <c r="J691" s="1719"/>
      <c r="K691" s="1719"/>
      <c r="L691" s="1719"/>
      <c r="M691" s="1719"/>
      <c r="N691" s="1719"/>
      <c r="O691" s="1719"/>
      <c r="P691" s="1719"/>
      <c r="Q691" s="1719"/>
      <c r="R691" s="1719"/>
      <c r="S691" s="1719"/>
      <c r="T691" s="1719"/>
      <c r="U691" s="1719"/>
      <c r="V691" s="1719"/>
      <c r="W691" s="1719"/>
      <c r="X691" s="1719"/>
      <c r="Y691" s="1719"/>
      <c r="Z691" s="1719"/>
      <c r="AA691" s="1719"/>
      <c r="AB691" s="1719"/>
      <c r="AC691" s="1719"/>
      <c r="AD691" s="1719"/>
      <c r="AE691" s="1719"/>
      <c r="AF691" s="1719"/>
      <c r="AG691" s="1719"/>
      <c r="AH691" s="1719"/>
      <c r="AI691" s="1719"/>
      <c r="AJ691" s="1719"/>
      <c r="AK691" s="1719"/>
      <c r="AL691" s="1719"/>
      <c r="AM691" s="1719"/>
      <c r="AO691" s="177"/>
      <c r="AP691" s="177"/>
      <c r="AQ691" s="177"/>
    </row>
    <row r="692" spans="1:43">
      <c r="A692" s="1720"/>
      <c r="B692" s="1720"/>
      <c r="C692" s="1720"/>
      <c r="D692" s="1720"/>
      <c r="E692" s="1720"/>
      <c r="F692" s="1720"/>
      <c r="G692" s="1720"/>
      <c r="H692" s="1720"/>
      <c r="I692" s="1720"/>
      <c r="J692" s="1720"/>
      <c r="K692" s="1720"/>
      <c r="L692" s="1720"/>
      <c r="M692" s="1720"/>
      <c r="N692" s="1720"/>
      <c r="O692" s="1720"/>
      <c r="P692" s="1720"/>
      <c r="Q692" s="1720"/>
      <c r="R692" s="1720"/>
      <c r="S692" s="1720"/>
      <c r="T692" s="1720"/>
      <c r="U692" s="1720"/>
      <c r="V692" s="1720"/>
      <c r="W692" s="1720"/>
      <c r="X692" s="1720"/>
      <c r="Y692" s="1720"/>
      <c r="Z692" s="1720"/>
      <c r="AA692" s="1720"/>
      <c r="AB692" s="1720"/>
      <c r="AC692" s="1720"/>
      <c r="AD692" s="1720"/>
      <c r="AE692" s="1720"/>
      <c r="AF692" s="1720"/>
      <c r="AG692" s="1720"/>
      <c r="AH692" s="1720"/>
      <c r="AI692" s="1720"/>
      <c r="AJ692" s="1720"/>
      <c r="AK692" s="1720"/>
      <c r="AL692" s="1720"/>
      <c r="AM692" s="1720"/>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5">
        <f>SUM(AO694:AO695)</f>
        <v>25</v>
      </c>
      <c r="AQ693" s="177"/>
    </row>
    <row r="694" spans="1:43">
      <c r="A694" s="1459" t="s">
        <v>2235</v>
      </c>
      <c r="B694" s="1459"/>
      <c r="C694" s="1459"/>
      <c r="D694" s="1459"/>
      <c r="E694" s="1459"/>
      <c r="F694" s="1459"/>
      <c r="G694" s="1459"/>
      <c r="H694" s="1459"/>
      <c r="I694" s="1459"/>
      <c r="J694" s="1459"/>
      <c r="K694" s="1459"/>
      <c r="L694" s="1459"/>
      <c r="M694" s="1459"/>
      <c r="N694" s="1459"/>
      <c r="O694" s="1459"/>
      <c r="P694" s="1459"/>
      <c r="Q694" s="1459"/>
      <c r="R694" s="1459"/>
      <c r="S694" s="1459"/>
      <c r="T694" s="1459"/>
      <c r="U694" s="1459"/>
      <c r="V694" s="1459"/>
      <c r="W694" s="1459"/>
      <c r="X694" s="1459"/>
      <c r="Y694" s="1459"/>
      <c r="Z694" s="1459"/>
      <c r="AA694" s="1459"/>
      <c r="AB694" s="1459"/>
      <c r="AC694" s="1459"/>
      <c r="AD694" s="1459"/>
      <c r="AE694" s="1459"/>
      <c r="AF694" s="1459"/>
      <c r="AG694" s="1459"/>
      <c r="AH694" s="1459"/>
      <c r="AI694" s="1459"/>
      <c r="AJ694" s="1459"/>
      <c r="AK694" s="1459"/>
      <c r="AL694" s="1459"/>
      <c r="AM694" s="1459"/>
      <c r="AO694" s="177">
        <f>IF(T703&gt;15,15,T703)</f>
        <v>15</v>
      </c>
      <c r="AP694" s="177"/>
      <c r="AQ694" s="177"/>
    </row>
    <row r="695" spans="1:43">
      <c r="A695" s="1459" t="s">
        <v>2236</v>
      </c>
      <c r="B695" s="1459"/>
      <c r="C695" s="1459"/>
      <c r="D695" s="1459"/>
      <c r="E695" s="1459"/>
      <c r="F695" s="1459"/>
      <c r="G695" s="1459"/>
      <c r="H695" s="1459"/>
      <c r="I695" s="1459"/>
      <c r="J695" s="1459"/>
      <c r="K695" s="1459"/>
      <c r="L695" s="1459"/>
      <c r="M695" s="1459"/>
      <c r="N695" s="1459"/>
      <c r="O695" s="1459"/>
      <c r="P695" s="1459"/>
      <c r="Q695" s="1459"/>
      <c r="R695" s="1459"/>
      <c r="S695" s="1459"/>
      <c r="T695" s="1459"/>
      <c r="U695" s="1459"/>
      <c r="V695" s="1459"/>
      <c r="W695" s="1459"/>
      <c r="X695" s="1459"/>
      <c r="Y695" s="1459"/>
      <c r="Z695" s="1459"/>
      <c r="AA695" s="1459"/>
      <c r="AB695" s="1459"/>
      <c r="AC695" s="1459"/>
      <c r="AD695" s="1459"/>
      <c r="AE695" s="1459"/>
      <c r="AF695" s="1459"/>
      <c r="AG695" s="1459"/>
      <c r="AH695" s="1459"/>
      <c r="AI695" s="1459"/>
      <c r="AJ695" s="1459"/>
      <c r="AK695" s="1459"/>
      <c r="AL695" s="1459"/>
      <c r="AM695" s="1459"/>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113" t="s">
        <v>2237</v>
      </c>
      <c r="U696" s="1114"/>
      <c r="V696" s="1114"/>
      <c r="W696" s="1114"/>
      <c r="X696" s="1114"/>
      <c r="Y696" s="1171"/>
      <c r="Z696" s="1113" t="s">
        <v>2238</v>
      </c>
      <c r="AA696" s="1114"/>
      <c r="AB696" s="1114"/>
      <c r="AC696" s="1114"/>
      <c r="AD696" s="1114"/>
      <c r="AE696" s="1171"/>
      <c r="AF696" s="1113" t="s">
        <v>2239</v>
      </c>
      <c r="AG696" s="1114"/>
      <c r="AH696" s="1114"/>
      <c r="AI696" s="1114"/>
      <c r="AJ696" s="1114"/>
      <c r="AK696" s="1171"/>
      <c r="AL696" s="670"/>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117"/>
      <c r="U697" s="1118"/>
      <c r="V697" s="1118"/>
      <c r="W697" s="1118"/>
      <c r="X697" s="1118"/>
      <c r="Y697" s="1161"/>
      <c r="Z697" s="1117"/>
      <c r="AA697" s="1118"/>
      <c r="AB697" s="1118"/>
      <c r="AC697" s="1118"/>
      <c r="AD697" s="1118"/>
      <c r="AE697" s="1161"/>
      <c r="AF697" s="1117"/>
      <c r="AG697" s="1118"/>
      <c r="AH697" s="1118"/>
      <c r="AI697" s="1118"/>
      <c r="AJ697" s="1118"/>
      <c r="AK697" s="1161"/>
      <c r="AL697" s="670"/>
      <c r="AM697" s="20"/>
    </row>
    <row r="698" spans="1:43">
      <c r="A698" s="501" t="s">
        <v>791</v>
      </c>
      <c r="B698" s="1617" t="s">
        <v>2240</v>
      </c>
      <c r="C698" s="1617"/>
      <c r="D698" s="1617"/>
      <c r="E698" s="1617"/>
      <c r="F698" s="1617"/>
      <c r="G698" s="1617"/>
      <c r="H698" s="1617"/>
      <c r="I698" s="1617"/>
      <c r="J698" s="1617"/>
      <c r="K698" s="1617"/>
      <c r="L698" s="1617"/>
      <c r="M698" s="1617"/>
      <c r="N698" s="1617"/>
      <c r="O698" s="1617"/>
      <c r="P698" s="1617"/>
      <c r="Q698" s="1617"/>
      <c r="R698" s="1617"/>
      <c r="S698" s="1618"/>
      <c r="T698" s="1641">
        <f>SUM(T699:Y700)</f>
        <v>10</v>
      </c>
      <c r="U698" s="1641"/>
      <c r="V698" s="1641"/>
      <c r="W698" s="1641"/>
      <c r="X698" s="1641"/>
      <c r="Y698" s="1641"/>
      <c r="Z698" s="1172">
        <v>10</v>
      </c>
      <c r="AA698" s="1172"/>
      <c r="AB698" s="1172"/>
      <c r="AC698" s="1172"/>
      <c r="AD698" s="1172"/>
      <c r="AE698" s="1172"/>
      <c r="AF698" s="1172">
        <f>IF(T698&gt;Z698,Z698,T698)</f>
        <v>10</v>
      </c>
      <c r="AG698" s="1172"/>
      <c r="AH698" s="1172"/>
      <c r="AI698" s="1172"/>
      <c r="AJ698" s="1172"/>
      <c r="AK698" s="1172"/>
      <c r="AL698" s="670"/>
      <c r="AM698" s="20"/>
      <c r="AO698" s="4">
        <f>IF(T707&gt;50,50,T707)</f>
        <v>50</v>
      </c>
    </row>
    <row r="699" spans="1:43">
      <c r="A699" s="519"/>
      <c r="B699" s="520"/>
      <c r="C699" s="525"/>
      <c r="D699" s="261" t="s">
        <v>2241</v>
      </c>
      <c r="E699" s="1619" t="s">
        <v>2242</v>
      </c>
      <c r="F699" s="1619"/>
      <c r="G699" s="1619"/>
      <c r="H699" s="1619"/>
      <c r="I699" s="1619"/>
      <c r="J699" s="1619"/>
      <c r="K699" s="1619"/>
      <c r="L699" s="1619"/>
      <c r="M699" s="1619"/>
      <c r="N699" s="1619"/>
      <c r="O699" s="1619"/>
      <c r="P699" s="1619"/>
      <c r="Q699" s="1619"/>
      <c r="R699" s="1619"/>
      <c r="S699" s="1620"/>
      <c r="T699" s="1621">
        <f>AJ31</f>
        <v>7</v>
      </c>
      <c r="U699" s="1621"/>
      <c r="V699" s="1621"/>
      <c r="W699" s="1621"/>
      <c r="X699" s="1621"/>
      <c r="Y699" s="1621"/>
      <c r="Z699" s="1185">
        <v>7</v>
      </c>
      <c r="AA699" s="1185"/>
      <c r="AB699" s="1185"/>
      <c r="AC699" s="1185"/>
      <c r="AD699" s="1185"/>
      <c r="AE699" s="1185"/>
      <c r="AF699" s="1721"/>
      <c r="AG699" s="1721"/>
      <c r="AH699" s="1721"/>
      <c r="AI699" s="1721"/>
      <c r="AJ699" s="1721"/>
      <c r="AK699" s="1721"/>
      <c r="AL699" s="670"/>
      <c r="AM699" s="20"/>
    </row>
    <row r="700" spans="1:43">
      <c r="A700" s="521"/>
      <c r="B700" s="520"/>
      <c r="C700" s="520"/>
      <c r="D700" s="261" t="s">
        <v>2243</v>
      </c>
      <c r="E700" s="1619" t="s">
        <v>2244</v>
      </c>
      <c r="F700" s="1619"/>
      <c r="G700" s="1619"/>
      <c r="H700" s="1619"/>
      <c r="I700" s="1619"/>
      <c r="J700" s="1619"/>
      <c r="K700" s="1619"/>
      <c r="L700" s="1619"/>
      <c r="M700" s="1619"/>
      <c r="N700" s="1619"/>
      <c r="O700" s="1619"/>
      <c r="P700" s="1619"/>
      <c r="Q700" s="1619"/>
      <c r="R700" s="1619"/>
      <c r="S700" s="1620"/>
      <c r="T700" s="1621">
        <f>AJ47</f>
        <v>3</v>
      </c>
      <c r="U700" s="1621"/>
      <c r="V700" s="1621"/>
      <c r="W700" s="1621"/>
      <c r="X700" s="1621"/>
      <c r="Y700" s="1621"/>
      <c r="Z700" s="1185">
        <v>3</v>
      </c>
      <c r="AA700" s="1185"/>
      <c r="AB700" s="1185"/>
      <c r="AC700" s="1185"/>
      <c r="AD700" s="1185"/>
      <c r="AE700" s="1185"/>
      <c r="AF700" s="1721"/>
      <c r="AG700" s="1721"/>
      <c r="AH700" s="1721"/>
      <c r="AI700" s="1721"/>
      <c r="AJ700" s="1721"/>
      <c r="AK700" s="1721"/>
      <c r="AL700" s="670"/>
      <c r="AM700" s="20"/>
    </row>
    <row r="701" spans="1:43">
      <c r="A701" s="501" t="s">
        <v>826</v>
      </c>
      <c r="B701" s="1617" t="s">
        <v>2245</v>
      </c>
      <c r="C701" s="1617"/>
      <c r="D701" s="1617"/>
      <c r="E701" s="1617"/>
      <c r="F701" s="1617"/>
      <c r="G701" s="1617"/>
      <c r="H701" s="1617"/>
      <c r="I701" s="1617"/>
      <c r="J701" s="1617"/>
      <c r="K701" s="1617"/>
      <c r="L701" s="1617"/>
      <c r="M701" s="1617"/>
      <c r="N701" s="1617"/>
      <c r="O701" s="1617"/>
      <c r="P701" s="1617"/>
      <c r="Q701" s="1617"/>
      <c r="R701" s="1617"/>
      <c r="S701" s="1618"/>
      <c r="T701" s="1641">
        <f>AK68</f>
        <v>10</v>
      </c>
      <c r="U701" s="1641"/>
      <c r="V701" s="1641"/>
      <c r="W701" s="1641"/>
      <c r="X701" s="1641"/>
      <c r="Y701" s="1641"/>
      <c r="Z701" s="1172">
        <v>10</v>
      </c>
      <c r="AA701" s="1172"/>
      <c r="AB701" s="1172"/>
      <c r="AC701" s="1172"/>
      <c r="AD701" s="1172"/>
      <c r="AE701" s="1172"/>
      <c r="AF701" s="1172">
        <f>IF(T701&gt;Z701,Z701,T701)</f>
        <v>10</v>
      </c>
      <c r="AG701" s="1172"/>
      <c r="AH701" s="1172"/>
      <c r="AI701" s="1172"/>
      <c r="AJ701" s="1172"/>
      <c r="AK701" s="1172"/>
      <c r="AL701" s="670"/>
      <c r="AM701" s="20"/>
    </row>
    <row r="702" spans="1:43">
      <c r="A702" s="501" t="s">
        <v>907</v>
      </c>
      <c r="B702" s="1617" t="s">
        <v>2246</v>
      </c>
      <c r="C702" s="1617"/>
      <c r="D702" s="1617"/>
      <c r="E702" s="1617"/>
      <c r="F702" s="1617"/>
      <c r="G702" s="1617"/>
      <c r="H702" s="1617"/>
      <c r="I702" s="1617"/>
      <c r="J702" s="1617"/>
      <c r="K702" s="1617"/>
      <c r="L702" s="1617"/>
      <c r="M702" s="1617"/>
      <c r="N702" s="1617"/>
      <c r="O702" s="1617"/>
      <c r="P702" s="1617"/>
      <c r="Q702" s="1617"/>
      <c r="R702" s="1617"/>
      <c r="S702" s="1618"/>
      <c r="T702" s="1641">
        <f>AO693</f>
        <v>25</v>
      </c>
      <c r="U702" s="1641">
        <f>IF(AND(AND(A703&gt;15,15+A704),A704&gt;10,A703+10),A702,0)</f>
        <v>0</v>
      </c>
      <c r="V702" s="1641">
        <f>IF(AND(AND(B703&gt;15,15+B704),B704&gt;10,B703+10),#REF!,0)</f>
        <v>0</v>
      </c>
      <c r="W702" s="1641">
        <f>IF(AND(AND(C703&gt;15,15+C704),C704&gt;10,C703+10),B702,0)</f>
        <v>0</v>
      </c>
      <c r="X702" s="1641" t="e">
        <f>IF(AND(AND(D703&gt;15,15+D704),D704&gt;10,D703+10),D702,0)</f>
        <v>#VALUE!</v>
      </c>
      <c r="Y702" s="1641" t="e">
        <f>IF(AND(AND(E703&gt;15,15+E704),E704&gt;10,E703+10),E702,0)</f>
        <v>#VALUE!</v>
      </c>
      <c r="Z702" s="1172">
        <v>25</v>
      </c>
      <c r="AA702" s="1172"/>
      <c r="AB702" s="1172"/>
      <c r="AC702" s="1172"/>
      <c r="AD702" s="1172"/>
      <c r="AE702" s="1172"/>
      <c r="AF702" s="1172">
        <f>IF(T702&gt;Z702,Z702,T702)</f>
        <v>25</v>
      </c>
      <c r="AG702" s="1172"/>
      <c r="AH702" s="1172"/>
      <c r="AI702" s="1172"/>
      <c r="AJ702" s="1172"/>
      <c r="AK702" s="1172"/>
      <c r="AL702" s="670"/>
      <c r="AM702" s="20"/>
    </row>
    <row r="703" spans="1:43">
      <c r="A703" s="501"/>
      <c r="B703" s="520"/>
      <c r="C703" s="520"/>
      <c r="D703" s="261" t="s">
        <v>1000</v>
      </c>
      <c r="E703" s="1619" t="s">
        <v>2247</v>
      </c>
      <c r="F703" s="1619"/>
      <c r="G703" s="1619"/>
      <c r="H703" s="1619"/>
      <c r="I703" s="1619"/>
      <c r="J703" s="1619"/>
      <c r="K703" s="1619"/>
      <c r="L703" s="1619"/>
      <c r="M703" s="1619"/>
      <c r="N703" s="1619"/>
      <c r="O703" s="1619"/>
      <c r="P703" s="1619"/>
      <c r="Q703" s="1619"/>
      <c r="R703" s="1619"/>
      <c r="S703" s="1620"/>
      <c r="T703" s="1621">
        <f>AK283</f>
        <v>23</v>
      </c>
      <c r="U703" s="1621"/>
      <c r="V703" s="1621"/>
      <c r="W703" s="1621"/>
      <c r="X703" s="1621"/>
      <c r="Y703" s="1621"/>
      <c r="Z703" s="1185">
        <v>15</v>
      </c>
      <c r="AA703" s="1185"/>
      <c r="AB703" s="1185"/>
      <c r="AC703" s="1185"/>
      <c r="AD703" s="1185"/>
      <c r="AE703" s="1185"/>
      <c r="AF703" s="1721"/>
      <c r="AG703" s="1721"/>
      <c r="AH703" s="1721"/>
      <c r="AI703" s="1721"/>
      <c r="AJ703" s="1721"/>
      <c r="AK703" s="1721"/>
      <c r="AL703" s="670"/>
      <c r="AM703" s="20"/>
    </row>
    <row r="704" spans="1:43">
      <c r="A704" s="522"/>
      <c r="B704" s="74"/>
      <c r="C704" s="74"/>
      <c r="D704" s="523" t="s">
        <v>1007</v>
      </c>
      <c r="E704" s="1619" t="s">
        <v>2248</v>
      </c>
      <c r="F704" s="1619"/>
      <c r="G704" s="1619"/>
      <c r="H704" s="1619"/>
      <c r="I704" s="1619"/>
      <c r="J704" s="1619"/>
      <c r="K704" s="1619"/>
      <c r="L704" s="1619"/>
      <c r="M704" s="1619"/>
      <c r="N704" s="1619"/>
      <c r="O704" s="1619"/>
      <c r="P704" s="1619"/>
      <c r="Q704" s="1619"/>
      <c r="R704" s="1619"/>
      <c r="S704" s="1620"/>
      <c r="T704" s="1621">
        <f>AK474</f>
        <v>10</v>
      </c>
      <c r="U704" s="1621"/>
      <c r="V704" s="1621"/>
      <c r="W704" s="1621"/>
      <c r="X704" s="1621"/>
      <c r="Y704" s="1621"/>
      <c r="Z704" s="1185">
        <v>10</v>
      </c>
      <c r="AA704" s="1185"/>
      <c r="AB704" s="1185"/>
      <c r="AC704" s="1185"/>
      <c r="AD704" s="1185"/>
      <c r="AE704" s="1185"/>
      <c r="AF704" s="1721"/>
      <c r="AG704" s="1721"/>
      <c r="AH704" s="1721"/>
      <c r="AI704" s="1721"/>
      <c r="AJ704" s="1721"/>
      <c r="AK704" s="1721"/>
      <c r="AL704" s="670"/>
      <c r="AM704" s="20"/>
    </row>
    <row r="705" spans="1:39" hidden="1">
      <c r="A705" s="501" t="s">
        <v>929</v>
      </c>
      <c r="B705" s="1617" t="s">
        <v>2249</v>
      </c>
      <c r="C705" s="1617"/>
      <c r="D705" s="1617"/>
      <c r="E705" s="1617"/>
      <c r="F705" s="1617"/>
      <c r="G705" s="1617"/>
      <c r="H705" s="1617"/>
      <c r="I705" s="1617"/>
      <c r="J705" s="1617"/>
      <c r="K705" s="1617"/>
      <c r="L705" s="1617"/>
      <c r="M705" s="1617"/>
      <c r="N705" s="1617"/>
      <c r="O705" s="1617"/>
      <c r="P705" s="1617"/>
      <c r="Q705" s="1617"/>
      <c r="R705" s="1617"/>
      <c r="S705" s="1618"/>
      <c r="T705" s="1641"/>
      <c r="U705" s="1641"/>
      <c r="V705" s="1641"/>
      <c r="W705" s="1641"/>
      <c r="X705" s="1641"/>
      <c r="Y705" s="1641"/>
      <c r="Z705" s="1172"/>
      <c r="AA705" s="1172"/>
      <c r="AB705" s="1172"/>
      <c r="AC705" s="1172"/>
      <c r="AD705" s="1172"/>
      <c r="AE705" s="1172"/>
      <c r="AF705" s="1172"/>
      <c r="AG705" s="1172"/>
      <c r="AH705" s="1172"/>
      <c r="AI705" s="1172"/>
      <c r="AJ705" s="1172"/>
      <c r="AK705" s="1172"/>
      <c r="AL705" s="670"/>
      <c r="AM705" s="20"/>
    </row>
    <row r="706" spans="1:39">
      <c r="A706" s="501" t="s">
        <v>929</v>
      </c>
      <c r="B706" s="1617" t="s">
        <v>2250</v>
      </c>
      <c r="C706" s="1617"/>
      <c r="D706" s="1617"/>
      <c r="E706" s="1617"/>
      <c r="F706" s="1617"/>
      <c r="G706" s="1617"/>
      <c r="H706" s="1617"/>
      <c r="I706" s="1617"/>
      <c r="J706" s="1617"/>
      <c r="K706" s="1617"/>
      <c r="L706" s="1617"/>
      <c r="M706" s="1617"/>
      <c r="N706" s="1617"/>
      <c r="O706" s="1617"/>
      <c r="P706" s="1617"/>
      <c r="Q706" s="1617"/>
      <c r="R706" s="1617"/>
      <c r="S706" s="1618"/>
      <c r="T706" s="1711">
        <f>IF(SUM(T707:Y708)&gt;52,52,SUM(T707:Y708))</f>
        <v>52</v>
      </c>
      <c r="U706" s="1712"/>
      <c r="V706" s="1712"/>
      <c r="W706" s="1712"/>
      <c r="X706" s="1712"/>
      <c r="Y706" s="1712"/>
      <c r="Z706" s="1712">
        <v>52</v>
      </c>
      <c r="AA706" s="1712"/>
      <c r="AB706" s="1712"/>
      <c r="AC706" s="1712"/>
      <c r="AD706" s="1712"/>
      <c r="AE706" s="1712"/>
      <c r="AF706" s="1712">
        <f>$AO$698+$T$708</f>
        <v>52</v>
      </c>
      <c r="AG706" s="1712"/>
      <c r="AH706" s="1712"/>
      <c r="AI706" s="1712"/>
      <c r="AJ706" s="1712"/>
      <c r="AK706" s="1712"/>
      <c r="AL706" s="670"/>
      <c r="AM706" s="20"/>
    </row>
    <row r="707" spans="1:39">
      <c r="A707" s="524"/>
      <c r="B707" s="526"/>
      <c r="C707" s="526"/>
      <c r="D707" s="527" t="s">
        <v>2251</v>
      </c>
      <c r="E707" s="1619" t="s">
        <v>2252</v>
      </c>
      <c r="F707" s="1619"/>
      <c r="G707" s="1619"/>
      <c r="H707" s="1619"/>
      <c r="I707" s="1619"/>
      <c r="J707" s="1619"/>
      <c r="K707" s="1619"/>
      <c r="L707" s="1619"/>
      <c r="M707" s="1619"/>
      <c r="N707" s="1619"/>
      <c r="O707" s="1619"/>
      <c r="P707" s="1619"/>
      <c r="Q707" s="1619"/>
      <c r="R707" s="1619"/>
      <c r="S707" s="1620"/>
      <c r="T707" s="1642">
        <f>AC592</f>
        <v>55</v>
      </c>
      <c r="U707" s="1643"/>
      <c r="V707" s="1643"/>
      <c r="W707" s="1643"/>
      <c r="X707" s="1643"/>
      <c r="Y707" s="1644"/>
      <c r="Z707" s="1642">
        <v>50</v>
      </c>
      <c r="AA707" s="1643"/>
      <c r="AB707" s="1643"/>
      <c r="AC707" s="1643"/>
      <c r="AD707" s="1643"/>
      <c r="AE707" s="1644"/>
      <c r="AF707" s="1716"/>
      <c r="AG707" s="1717"/>
      <c r="AH707" s="1717"/>
      <c r="AI707" s="1717"/>
      <c r="AJ707" s="1717"/>
      <c r="AK707" s="1718"/>
      <c r="AL707" s="670"/>
      <c r="AM707" s="4"/>
    </row>
    <row r="708" spans="1:39">
      <c r="A708" s="528"/>
      <c r="B708" s="520"/>
      <c r="C708" s="520"/>
      <c r="D708" s="261" t="s">
        <v>2253</v>
      </c>
      <c r="E708" s="1619" t="s">
        <v>2254</v>
      </c>
      <c r="F708" s="1619"/>
      <c r="G708" s="1619"/>
      <c r="H708" s="1619"/>
      <c r="I708" s="1619"/>
      <c r="J708" s="1619"/>
      <c r="K708" s="1619"/>
      <c r="L708" s="1619"/>
      <c r="M708" s="1619"/>
      <c r="N708" s="1619"/>
      <c r="O708" s="1619"/>
      <c r="P708" s="1619"/>
      <c r="Q708" s="1619"/>
      <c r="R708" s="1619"/>
      <c r="S708" s="1620"/>
      <c r="T708" s="1241">
        <f>IF(AJ617&gt;0,2,0)</f>
        <v>2</v>
      </c>
      <c r="U708" s="1242"/>
      <c r="V708" s="1242"/>
      <c r="W708" s="1242"/>
      <c r="X708" s="1242"/>
      <c r="Y708" s="1243"/>
      <c r="Z708" s="1018">
        <v>2</v>
      </c>
      <c r="AA708" s="1019"/>
      <c r="AB708" s="1019"/>
      <c r="AC708" s="1019"/>
      <c r="AD708" s="1019"/>
      <c r="AE708" s="1021"/>
      <c r="AF708" s="1732"/>
      <c r="AG708" s="1733"/>
      <c r="AH708" s="1733"/>
      <c r="AI708" s="1733"/>
      <c r="AJ708" s="1733"/>
      <c r="AK708" s="1734"/>
      <c r="AL708" s="670"/>
      <c r="AM708" s="4"/>
    </row>
    <row r="709" spans="1:39">
      <c r="A709" s="524" t="s">
        <v>941</v>
      </c>
      <c r="B709" s="1617" t="s">
        <v>2255</v>
      </c>
      <c r="C709" s="1617"/>
      <c r="D709" s="1617"/>
      <c r="E709" s="1617"/>
      <c r="F709" s="1617"/>
      <c r="G709" s="1617"/>
      <c r="H709" s="1617"/>
      <c r="I709" s="1617"/>
      <c r="J709" s="1617"/>
      <c r="K709" s="1617"/>
      <c r="L709" s="1617"/>
      <c r="M709" s="1617"/>
      <c r="N709" s="1617"/>
      <c r="O709" s="1617"/>
      <c r="P709" s="1617"/>
      <c r="Q709" s="1617"/>
      <c r="R709" s="1617"/>
      <c r="S709" s="1618"/>
      <c r="T709" s="1641">
        <f>AK645</f>
        <v>10</v>
      </c>
      <c r="U709" s="1641"/>
      <c r="V709" s="1641"/>
      <c r="W709" s="1641"/>
      <c r="X709" s="1641"/>
      <c r="Y709" s="1641"/>
      <c r="Z709" s="1172">
        <v>10</v>
      </c>
      <c r="AA709" s="1172"/>
      <c r="AB709" s="1172"/>
      <c r="AC709" s="1172"/>
      <c r="AD709" s="1172"/>
      <c r="AE709" s="1172"/>
      <c r="AF709" s="1351">
        <f>IF(T709&gt;Z709,Z709,T709)</f>
        <v>10</v>
      </c>
      <c r="AG709" s="1352"/>
      <c r="AH709" s="1352"/>
      <c r="AI709" s="1352"/>
      <c r="AJ709" s="1352"/>
      <c r="AK709" s="1353"/>
      <c r="AL709" s="670"/>
      <c r="AM709" s="20"/>
    </row>
    <row r="710" spans="1:39">
      <c r="A710" s="524" t="s">
        <v>949</v>
      </c>
      <c r="B710" s="1617" t="s">
        <v>2256</v>
      </c>
      <c r="C710" s="1617"/>
      <c r="D710" s="1617"/>
      <c r="E710" s="1617"/>
      <c r="F710" s="1617"/>
      <c r="G710" s="1617"/>
      <c r="H710" s="1617"/>
      <c r="I710" s="1617"/>
      <c r="J710" s="1617"/>
      <c r="K710" s="1617"/>
      <c r="L710" s="1617"/>
      <c r="M710" s="1617"/>
      <c r="N710" s="1617"/>
      <c r="O710" s="1617"/>
      <c r="P710" s="1617"/>
      <c r="Q710" s="1617"/>
      <c r="R710" s="1617"/>
      <c r="S710" s="1618"/>
      <c r="T710" s="1713">
        <f>IF(AK688&gt;2,2,AK688)</f>
        <v>2</v>
      </c>
      <c r="U710" s="1714"/>
      <c r="V710" s="1714"/>
      <c r="W710" s="1714"/>
      <c r="X710" s="1714"/>
      <c r="Y710" s="1715"/>
      <c r="Z710" s="1351">
        <v>2</v>
      </c>
      <c r="AA710" s="1352"/>
      <c r="AB710" s="1352"/>
      <c r="AC710" s="1352"/>
      <c r="AD710" s="1352"/>
      <c r="AE710" s="1353"/>
      <c r="AF710" s="1351">
        <f>IF(T710&gt;Z710,Z710,T710)</f>
        <v>2</v>
      </c>
      <c r="AG710" s="1730"/>
      <c r="AH710" s="1730"/>
      <c r="AI710" s="1730"/>
      <c r="AJ710" s="1730"/>
      <c r="AK710" s="1731"/>
      <c r="AL710" s="3"/>
      <c r="AM710" s="20"/>
    </row>
    <row r="711" spans="1:39">
      <c r="A711" s="1616" t="s">
        <v>2257</v>
      </c>
      <c r="B711" s="1617"/>
      <c r="C711" s="1617"/>
      <c r="D711" s="1617"/>
      <c r="E711" s="1617"/>
      <c r="F711" s="1617"/>
      <c r="G711" s="1617"/>
      <c r="H711" s="1617"/>
      <c r="I711" s="1617"/>
      <c r="J711" s="1617"/>
      <c r="K711" s="1617"/>
      <c r="L711" s="1617"/>
      <c r="M711" s="1617"/>
      <c r="N711" s="1617"/>
      <c r="O711" s="1617"/>
      <c r="P711" s="1617"/>
      <c r="Q711" s="1617"/>
      <c r="R711" s="1617"/>
      <c r="S711" s="1618"/>
      <c r="T711" s="1355"/>
      <c r="U711" s="1355"/>
      <c r="V711" s="1355"/>
      <c r="W711" s="1355"/>
      <c r="X711" s="1355"/>
      <c r="Y711" s="1355"/>
      <c r="Z711" s="1185" t="s">
        <v>2258</v>
      </c>
      <c r="AA711" s="1185"/>
      <c r="AB711" s="1185"/>
      <c r="AC711" s="1185"/>
      <c r="AD711" s="1185"/>
      <c r="AE711" s="1185"/>
      <c r="AF711" s="1351">
        <f>IF(T711&gt;0,T711,0)</f>
        <v>0</v>
      </c>
      <c r="AG711" s="1352"/>
      <c r="AH711" s="1352"/>
      <c r="AI711" s="1352"/>
      <c r="AJ711" s="1352"/>
      <c r="AK711" s="1353"/>
      <c r="AL711" s="18"/>
      <c r="AM711" s="20"/>
    </row>
    <row r="712" spans="1:39" ht="15.6">
      <c r="A712" s="1628" t="s">
        <v>2259</v>
      </c>
      <c r="B712" s="1629"/>
      <c r="C712" s="1629"/>
      <c r="D712" s="1629"/>
      <c r="E712" s="1629"/>
      <c r="F712" s="1629"/>
      <c r="G712" s="1629"/>
      <c r="H712" s="1629"/>
      <c r="I712" s="1629"/>
      <c r="J712" s="1629"/>
      <c r="K712" s="1629"/>
      <c r="L712" s="1629"/>
      <c r="M712" s="1629"/>
      <c r="N712" s="1629"/>
      <c r="O712" s="1629"/>
      <c r="P712" s="1629"/>
      <c r="Q712" s="1629"/>
      <c r="R712" s="1629"/>
      <c r="S712" s="1629"/>
      <c r="T712" s="1629"/>
      <c r="U712" s="1629"/>
      <c r="V712" s="1629"/>
      <c r="W712" s="1629"/>
      <c r="X712" s="1629"/>
      <c r="Y712" s="1629"/>
      <c r="Z712" s="1629"/>
      <c r="AA712" s="1629"/>
      <c r="AB712" s="1629"/>
      <c r="AC712" s="1629"/>
      <c r="AD712" s="1629"/>
      <c r="AE712" s="1630"/>
      <c r="AF712" s="1722">
        <f>SUM(AF698:AK710)-AF711</f>
        <v>109</v>
      </c>
      <c r="AG712" s="1723"/>
      <c r="AH712" s="1723"/>
      <c r="AI712" s="1723"/>
      <c r="AJ712" s="1723"/>
      <c r="AK712" s="1724"/>
      <c r="AL712" s="671"/>
      <c r="AM712" s="4"/>
    </row>
    <row r="713" spans="1:39" ht="12.6" customHeight="1">
      <c r="A713" s="1631"/>
      <c r="B713" s="1632"/>
      <c r="C713" s="1632"/>
      <c r="D713" s="1632"/>
      <c r="E713" s="1632"/>
      <c r="F713" s="1632"/>
      <c r="G713" s="1632"/>
      <c r="H713" s="1632"/>
      <c r="I713" s="1632"/>
      <c r="J713" s="1632"/>
      <c r="K713" s="1632"/>
      <c r="L713" s="1632"/>
      <c r="M713" s="1632"/>
      <c r="N713" s="1632"/>
      <c r="O713" s="1632"/>
      <c r="P713" s="1632"/>
      <c r="Q713" s="1632"/>
      <c r="R713" s="1632"/>
      <c r="S713" s="1632"/>
      <c r="T713" s="1632"/>
      <c r="U713" s="1632"/>
      <c r="V713" s="1632"/>
      <c r="W713" s="1632"/>
      <c r="X713" s="1632"/>
      <c r="Y713" s="1632"/>
      <c r="Z713" s="1632"/>
      <c r="AA713" s="1632"/>
      <c r="AB713" s="1632"/>
      <c r="AC713" s="1632"/>
      <c r="AD713" s="1632"/>
      <c r="AE713" s="1633"/>
      <c r="AF713" s="1725"/>
      <c r="AG713" s="1726"/>
      <c r="AH713" s="1726"/>
      <c r="AI713" s="1726"/>
      <c r="AJ713" s="1726"/>
      <c r="AK713" s="1727"/>
      <c r="AL713" s="671"/>
      <c r="AM713" s="4"/>
    </row>
    <row r="714" spans="1:39" ht="56.25" customHeight="1">
      <c r="A714" s="930" t="s">
        <v>2260</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777"/>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777"/>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777"/>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777"/>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777"/>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77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44140625" style="780" customWidth="1"/>
    <col min="11" max="11" width="2.44140625" style="781" customWidth="1"/>
    <col min="12" max="43" width="2.44140625" style="780" customWidth="1"/>
    <col min="44" max="47" width="2.44140625" style="780" hidden="1" customWidth="1"/>
    <col min="48" max="16384" width="9.109375" style="780" hidden="1"/>
  </cols>
  <sheetData>
    <row r="1" spans="1:57" ht="15" customHeight="1">
      <c r="A1" s="1796" t="s">
        <v>2261</v>
      </c>
      <c r="B1" s="1796"/>
      <c r="C1" s="1796"/>
      <c r="D1" s="1796"/>
      <c r="E1" s="1796"/>
      <c r="F1" s="1796"/>
      <c r="G1" s="1796"/>
      <c r="H1" s="1796"/>
      <c r="I1" s="1796"/>
      <c r="J1" s="1796"/>
      <c r="K1" s="1796"/>
      <c r="L1" s="1796"/>
      <c r="M1" s="1796"/>
      <c r="N1" s="1796"/>
      <c r="O1" s="1796"/>
      <c r="P1" s="1796"/>
      <c r="Q1" s="1796"/>
      <c r="R1" s="1796"/>
      <c r="S1" s="1796"/>
      <c r="T1" s="1796"/>
      <c r="U1" s="1796"/>
      <c r="V1" s="1796"/>
      <c r="W1" s="1796"/>
      <c r="X1" s="1796"/>
      <c r="Y1" s="1796"/>
      <c r="Z1" s="1796"/>
      <c r="AA1" s="1796"/>
      <c r="AB1" s="1796"/>
      <c r="AC1" s="1796"/>
      <c r="AD1" s="1796"/>
      <c r="AE1" s="1796"/>
      <c r="AF1" s="1796"/>
      <c r="AG1" s="1796"/>
      <c r="AH1" s="1796"/>
      <c r="AI1" s="1796"/>
      <c r="AJ1" s="1796"/>
      <c r="AK1" s="1796"/>
      <c r="AL1" s="1796"/>
      <c r="AM1" s="1796"/>
      <c r="AN1" s="1796"/>
      <c r="AO1" s="1796"/>
      <c r="AP1" s="1796"/>
      <c r="AQ1" s="1796"/>
    </row>
    <row r="2" spans="1:57" ht="15" customHeight="1">
      <c r="A2" s="1796"/>
      <c r="B2" s="1796"/>
      <c r="C2" s="1796"/>
      <c r="D2" s="1796"/>
      <c r="E2" s="1796"/>
      <c r="F2" s="1796"/>
      <c r="G2" s="1796"/>
      <c r="H2" s="1796"/>
      <c r="I2" s="1796"/>
      <c r="J2" s="1796"/>
      <c r="K2" s="1796"/>
      <c r="L2" s="1796"/>
      <c r="M2" s="1796"/>
      <c r="N2" s="1796"/>
      <c r="O2" s="1796"/>
      <c r="P2" s="1796"/>
      <c r="Q2" s="1796"/>
      <c r="R2" s="1796"/>
      <c r="S2" s="1796"/>
      <c r="T2" s="1796"/>
      <c r="U2" s="1796"/>
      <c r="V2" s="1796"/>
      <c r="W2" s="1796"/>
      <c r="X2" s="1796"/>
      <c r="Y2" s="1796"/>
      <c r="Z2" s="1796"/>
      <c r="AA2" s="1796"/>
      <c r="AB2" s="1796"/>
      <c r="AC2" s="1796"/>
      <c r="AD2" s="1796"/>
      <c r="AE2" s="1796"/>
      <c r="AF2" s="1796"/>
      <c r="AG2" s="1796"/>
      <c r="AH2" s="1796"/>
      <c r="AI2" s="1796"/>
      <c r="AJ2" s="1796"/>
      <c r="AK2" s="1796"/>
      <c r="AL2" s="1796"/>
      <c r="AM2" s="1796"/>
      <c r="AN2" s="1796"/>
      <c r="AO2" s="1796"/>
      <c r="AP2" s="1796"/>
      <c r="AQ2" s="1796"/>
    </row>
    <row r="3" spans="1:57">
      <c r="A3" s="782"/>
      <c r="B3" s="782"/>
      <c r="I3" s="783"/>
      <c r="K3" s="784"/>
    </row>
    <row r="4" spans="1:57" ht="14.25" customHeight="1">
      <c r="A4" s="1795" t="s">
        <v>2262</v>
      </c>
      <c r="B4" s="1795"/>
      <c r="C4" s="1795"/>
      <c r="D4" s="1795"/>
      <c r="E4" s="1795"/>
      <c r="F4" s="1795"/>
      <c r="G4" s="1795"/>
      <c r="H4" s="1795"/>
      <c r="I4" s="1795"/>
      <c r="J4" s="1795"/>
      <c r="K4" s="1795"/>
      <c r="L4" s="1795"/>
      <c r="M4" s="1795"/>
      <c r="N4" s="1795"/>
      <c r="O4" s="1795"/>
      <c r="P4" s="1795"/>
      <c r="Q4" s="1795"/>
      <c r="R4" s="1795"/>
      <c r="S4" s="1795"/>
      <c r="T4" s="1795"/>
      <c r="U4" s="1795"/>
      <c r="V4" s="1795"/>
      <c r="W4" s="1795"/>
      <c r="X4" s="1795"/>
      <c r="Y4" s="1795"/>
      <c r="Z4" s="1795"/>
      <c r="AA4" s="1795"/>
      <c r="AB4" s="1795"/>
      <c r="AC4" s="1795"/>
      <c r="AD4" s="1795"/>
      <c r="AE4" s="1795"/>
      <c r="AF4" s="1795"/>
      <c r="AG4" s="1795"/>
      <c r="AH4" s="1795"/>
      <c r="AI4" s="1795"/>
      <c r="AJ4" s="1795"/>
      <c r="AK4" s="1795"/>
      <c r="AL4" s="1795"/>
      <c r="AM4" s="1795"/>
      <c r="AN4" s="1795"/>
      <c r="AO4" s="1795"/>
      <c r="AP4" s="1795"/>
      <c r="AQ4" s="1795"/>
    </row>
    <row r="5" spans="1:57">
      <c r="A5" s="782"/>
      <c r="B5" s="782"/>
      <c r="I5" s="783"/>
      <c r="K5" s="784"/>
    </row>
    <row r="6" spans="1:57">
      <c r="A6" s="782"/>
      <c r="B6" s="782"/>
      <c r="D6" s="780" t="s">
        <v>2263</v>
      </c>
      <c r="I6" s="783"/>
      <c r="K6" s="784"/>
      <c r="U6" s="1794"/>
      <c r="V6" s="1794"/>
      <c r="W6" s="1794"/>
      <c r="BC6" s="780" t="s">
        <v>2264</v>
      </c>
    </row>
    <row r="7" spans="1:57">
      <c r="A7" s="782"/>
      <c r="B7" s="782"/>
      <c r="D7" s="412" t="s">
        <v>2265</v>
      </c>
      <c r="I7" s="783"/>
      <c r="K7" s="784"/>
      <c r="BC7" s="780" t="s">
        <v>2266</v>
      </c>
    </row>
    <row r="8" spans="1:57">
      <c r="A8" s="782"/>
      <c r="B8" s="782"/>
      <c r="D8" s="412"/>
      <c r="E8" s="780" t="s">
        <v>2267</v>
      </c>
      <c r="BC8" s="780" t="s">
        <v>2268</v>
      </c>
    </row>
    <row r="9" spans="1:57">
      <c r="A9" s="782"/>
      <c r="B9" s="782"/>
      <c r="E9" s="780" t="s">
        <v>2269</v>
      </c>
      <c r="I9" s="783"/>
      <c r="K9" s="784"/>
      <c r="P9" s="1802"/>
      <c r="Q9" s="1802"/>
      <c r="R9" s="1802"/>
      <c r="S9" s="1802"/>
      <c r="T9" s="1802"/>
    </row>
    <row r="10" spans="1:57">
      <c r="A10" s="782"/>
      <c r="B10" s="782"/>
      <c r="I10" s="783"/>
      <c r="K10" s="784"/>
    </row>
    <row r="11" spans="1:57">
      <c r="A11" s="1795" t="s">
        <v>2270</v>
      </c>
      <c r="B11" s="1795"/>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J11" s="1795"/>
      <c r="AK11" s="1795"/>
      <c r="AL11" s="1795"/>
      <c r="AM11" s="1795"/>
      <c r="AN11" s="1795"/>
      <c r="AO11" s="1795"/>
      <c r="AP11" s="1795"/>
      <c r="AQ11" s="1795"/>
      <c r="BC11" s="780" t="s">
        <v>708</v>
      </c>
    </row>
    <row r="12" spans="1:57">
      <c r="A12" s="782"/>
      <c r="B12" s="782"/>
      <c r="I12" s="783"/>
      <c r="K12" s="784"/>
      <c r="BC12" s="780" t="s">
        <v>759</v>
      </c>
    </row>
    <row r="13" spans="1:57">
      <c r="A13" s="782"/>
      <c r="B13" s="782"/>
      <c r="D13" s="780" t="s">
        <v>2271</v>
      </c>
      <c r="I13" s="783"/>
      <c r="K13" s="784"/>
      <c r="T13" s="1794"/>
      <c r="U13" s="1794"/>
      <c r="V13" s="1794"/>
    </row>
    <row r="14" spans="1:57">
      <c r="A14" s="782"/>
      <c r="B14" s="782"/>
      <c r="E14" s="780" t="s">
        <v>2272</v>
      </c>
      <c r="I14" s="783"/>
      <c r="K14" s="784"/>
      <c r="N14" s="1800"/>
      <c r="O14" s="1800"/>
      <c r="P14" s="1800"/>
      <c r="Q14" s="1800"/>
      <c r="R14" s="1800"/>
      <c r="S14" s="1800"/>
      <c r="T14" s="1800"/>
      <c r="U14" s="1800"/>
      <c r="V14" s="1800"/>
      <c r="W14" s="1800"/>
      <c r="X14" s="1800"/>
      <c r="Y14" s="1800"/>
      <c r="Z14" s="1800"/>
      <c r="AA14" s="1800"/>
      <c r="AB14" s="1800"/>
      <c r="AC14" s="1800"/>
      <c r="AD14" s="1800"/>
      <c r="AE14" s="1800"/>
    </row>
    <row r="15" spans="1:57">
      <c r="A15" s="782"/>
      <c r="B15" s="782"/>
      <c r="E15" s="780" t="s">
        <v>2273</v>
      </c>
      <c r="I15" s="783"/>
      <c r="K15" s="784"/>
      <c r="N15" s="801"/>
      <c r="O15" s="801"/>
      <c r="P15" s="801"/>
      <c r="Q15" s="801"/>
      <c r="R15" s="801"/>
      <c r="S15" s="801"/>
      <c r="T15" s="801"/>
      <c r="U15" s="801"/>
      <c r="V15" s="801"/>
      <c r="W15" s="801"/>
      <c r="X15" s="801"/>
      <c r="Y15" s="801"/>
      <c r="Z15" s="801"/>
      <c r="AA15" s="801"/>
      <c r="AB15" s="801"/>
      <c r="AC15" s="801"/>
      <c r="AD15" s="801"/>
      <c r="AE15" s="801"/>
      <c r="BC15" s="780" t="s">
        <v>2274</v>
      </c>
      <c r="BE15" s="780">
        <f>'Basis &amp; Credits'!AB55</f>
        <v>432972</v>
      </c>
    </row>
    <row r="16" spans="1:57">
      <c r="A16" s="782"/>
      <c r="B16" s="782"/>
      <c r="BC16" s="780" t="s">
        <v>2275</v>
      </c>
      <c r="BE16" s="780">
        <f>'Basis &amp; Credits'!T11+'Basis &amp; Credits'!AD11</f>
        <v>4810800.75</v>
      </c>
    </row>
    <row r="17" spans="1:43">
      <c r="A17" s="782"/>
      <c r="B17" s="782"/>
      <c r="D17" s="780" t="s">
        <v>2276</v>
      </c>
      <c r="I17" s="783"/>
      <c r="K17" s="784"/>
      <c r="U17" s="1801" t="str">
        <f>IF(T13="yes",(BE15/BE16)," ")</f>
        <v xml:space="preserve"> </v>
      </c>
      <c r="V17" s="1801"/>
      <c r="W17" s="1801"/>
      <c r="X17" s="1801"/>
      <c r="Y17" s="1801"/>
    </row>
    <row r="18" spans="1:43">
      <c r="A18" s="782"/>
      <c r="B18" s="782"/>
      <c r="I18" s="783"/>
      <c r="K18" s="784"/>
    </row>
    <row r="19" spans="1:43">
      <c r="A19" s="1795" t="s">
        <v>2277</v>
      </c>
      <c r="B19" s="1795"/>
      <c r="C19" s="1795"/>
      <c r="D19" s="1795"/>
      <c r="E19" s="1795"/>
      <c r="F19" s="1795"/>
      <c r="G19" s="1795"/>
      <c r="H19" s="1795"/>
      <c r="I19" s="1795"/>
      <c r="J19" s="1795"/>
      <c r="K19" s="1795"/>
      <c r="L19" s="1795"/>
      <c r="M19" s="1795"/>
      <c r="N19" s="1795"/>
      <c r="O19" s="1795"/>
      <c r="P19" s="1795"/>
      <c r="Q19" s="1795"/>
      <c r="R19" s="1795"/>
      <c r="S19" s="1795"/>
      <c r="T19" s="1795"/>
      <c r="U19" s="1795"/>
      <c r="V19" s="1795"/>
      <c r="W19" s="1795"/>
      <c r="X19" s="1795"/>
      <c r="Y19" s="1795"/>
      <c r="Z19" s="1795"/>
      <c r="AA19" s="1795"/>
      <c r="AB19" s="1795"/>
      <c r="AC19" s="1795"/>
      <c r="AD19" s="1795"/>
      <c r="AE19" s="1795"/>
      <c r="AF19" s="1795"/>
      <c r="AG19" s="1795"/>
      <c r="AH19" s="1795"/>
      <c r="AI19" s="1795"/>
      <c r="AJ19" s="1795"/>
      <c r="AK19" s="1795"/>
      <c r="AL19" s="1795"/>
      <c r="AM19" s="1795"/>
      <c r="AN19" s="1795"/>
      <c r="AO19" s="1795"/>
      <c r="AP19" s="1795"/>
      <c r="AQ19" s="1795"/>
    </row>
    <row r="20" spans="1:43">
      <c r="C20" s="782"/>
      <c r="D20" s="782"/>
      <c r="K20" s="783"/>
      <c r="M20" s="784"/>
    </row>
    <row r="21" spans="1:43">
      <c r="C21" s="782"/>
      <c r="D21" s="782"/>
      <c r="K21" s="783"/>
      <c r="M21" s="784"/>
    </row>
    <row r="22" spans="1:43">
      <c r="C22" s="785" t="s">
        <v>2017</v>
      </c>
      <c r="D22" s="785"/>
      <c r="E22" s="780" t="s">
        <v>2278</v>
      </c>
      <c r="H22" s="786"/>
      <c r="K22" s="780"/>
      <c r="Q22" s="1803">
        <f>ROUND('Basis &amp; Credits'!AB55,0)</f>
        <v>432972</v>
      </c>
      <c r="R22" s="1803"/>
      <c r="S22" s="1803"/>
      <c r="T22" s="1803"/>
      <c r="U22" s="1803"/>
      <c r="V22" s="1803"/>
      <c r="W22" s="1803"/>
      <c r="X22" s="1803"/>
      <c r="Y22" s="800"/>
    </row>
    <row r="23" spans="1:43">
      <c r="C23" s="782"/>
      <c r="D23" s="782"/>
      <c r="G23" s="787"/>
      <c r="H23" s="787"/>
      <c r="I23" s="788"/>
      <c r="J23" s="788"/>
      <c r="K23" s="787"/>
      <c r="M23" s="781"/>
    </row>
    <row r="24" spans="1:43">
      <c r="C24" s="789"/>
      <c r="D24" s="789"/>
      <c r="E24" s="790"/>
      <c r="J24" s="788"/>
      <c r="K24" s="780"/>
      <c r="L24" s="1806" t="s">
        <v>2279</v>
      </c>
      <c r="M24" s="1806"/>
      <c r="N24" s="1806"/>
      <c r="P24" s="1791" t="s">
        <v>2280</v>
      </c>
      <c r="Q24" s="1791"/>
      <c r="R24" s="1791"/>
      <c r="S24" s="1791"/>
      <c r="T24" s="1791"/>
      <c r="V24" s="1791" t="s">
        <v>2281</v>
      </c>
      <c r="W24" s="1791"/>
      <c r="X24" s="1791"/>
    </row>
    <row r="25" spans="1:43">
      <c r="C25" s="785" t="s">
        <v>2021</v>
      </c>
      <c r="D25" s="785"/>
      <c r="E25" s="780" t="s">
        <v>2282</v>
      </c>
      <c r="J25" s="788"/>
      <c r="L25" s="1792" t="s">
        <v>2283</v>
      </c>
      <c r="M25" s="1792"/>
      <c r="N25" s="1792"/>
      <c r="P25" s="1792" t="s">
        <v>2284</v>
      </c>
      <c r="Q25" s="1792"/>
      <c r="R25" s="1792"/>
      <c r="S25" s="1792"/>
      <c r="T25" s="1792"/>
      <c r="V25" s="1792" t="s">
        <v>2283</v>
      </c>
      <c r="W25" s="1792"/>
      <c r="X25" s="1792"/>
    </row>
    <row r="26" spans="1:43">
      <c r="C26" s="782"/>
      <c r="D26" s="782"/>
      <c r="E26" s="791" t="s">
        <v>2285</v>
      </c>
      <c r="F26" s="791"/>
      <c r="J26" s="792"/>
      <c r="L26" s="1804">
        <f>Application!BN626</f>
        <v>0</v>
      </c>
      <c r="M26" s="1804"/>
      <c r="N26" s="1804"/>
      <c r="P26" s="1793">
        <v>0.9</v>
      </c>
      <c r="Q26" s="1793"/>
      <c r="R26" s="1793"/>
      <c r="S26" s="1793"/>
      <c r="T26" s="1793"/>
      <c r="V26" s="1793">
        <f>L26*P26</f>
        <v>0</v>
      </c>
      <c r="W26" s="1793"/>
      <c r="X26" s="1793"/>
    </row>
    <row r="27" spans="1:43">
      <c r="C27" s="782"/>
      <c r="D27" s="782"/>
      <c r="E27" s="780" t="s">
        <v>2286</v>
      </c>
      <c r="J27" s="792"/>
      <c r="L27" s="1784">
        <f>Application!BS626</f>
        <v>22</v>
      </c>
      <c r="M27" s="1784">
        <f>Application!BS634+Application!BS643+Application!CX657</f>
        <v>0</v>
      </c>
      <c r="N27" s="1784"/>
      <c r="P27" s="1789">
        <v>1</v>
      </c>
      <c r="Q27" s="1789"/>
      <c r="R27" s="1789"/>
      <c r="S27" s="1789"/>
      <c r="T27" s="1789"/>
      <c r="V27" s="1789">
        <f>L27*P27</f>
        <v>22</v>
      </c>
      <c r="W27" s="1789"/>
      <c r="X27" s="1789"/>
    </row>
    <row r="28" spans="1:43">
      <c r="C28" s="782"/>
      <c r="D28" s="782"/>
      <c r="E28" s="780" t="s">
        <v>2287</v>
      </c>
      <c r="J28" s="792"/>
      <c r="L28" s="1784">
        <f>Application!BX626</f>
        <v>0</v>
      </c>
      <c r="M28" s="1784">
        <f>Application!BX634+Application!BX643+Application!DC657</f>
        <v>0</v>
      </c>
      <c r="N28" s="1784"/>
      <c r="P28" s="1789">
        <v>1.25</v>
      </c>
      <c r="Q28" s="1789"/>
      <c r="R28" s="1789"/>
      <c r="S28" s="1789"/>
      <c r="T28" s="1789"/>
      <c r="V28" s="1789">
        <f>L28*P28</f>
        <v>0</v>
      </c>
      <c r="W28" s="1789"/>
      <c r="X28" s="1789"/>
    </row>
    <row r="29" spans="1:43">
      <c r="C29" s="782"/>
      <c r="D29" s="782"/>
      <c r="E29" s="780" t="s">
        <v>2288</v>
      </c>
      <c r="J29" s="792"/>
      <c r="L29" s="1784">
        <f>Application!CC626</f>
        <v>0</v>
      </c>
      <c r="M29" s="1784">
        <f>Application!CC634+Application!CC643+Application!DH657</f>
        <v>0</v>
      </c>
      <c r="N29" s="1784"/>
      <c r="P29" s="1789">
        <v>1.5</v>
      </c>
      <c r="Q29" s="1789"/>
      <c r="R29" s="1789"/>
      <c r="S29" s="1789"/>
      <c r="T29" s="1789"/>
      <c r="V29" s="1789">
        <f>L29*P29</f>
        <v>0</v>
      </c>
      <c r="W29" s="1789"/>
      <c r="X29" s="1789"/>
    </row>
    <row r="30" spans="1:43">
      <c r="C30" s="782"/>
      <c r="D30" s="782"/>
      <c r="E30" s="780" t="s">
        <v>2289</v>
      </c>
      <c r="J30" s="792"/>
      <c r="L30" s="1785">
        <f>Application!CH626+Application!CM626</f>
        <v>0</v>
      </c>
      <c r="M30" s="1785"/>
      <c r="N30" s="1785"/>
      <c r="P30" s="1789">
        <v>1.75</v>
      </c>
      <c r="Q30" s="1789"/>
      <c r="R30" s="1789">
        <f>1.75+0.25*0</f>
        <v>1.75</v>
      </c>
      <c r="S30" s="1789"/>
      <c r="T30" s="1789"/>
      <c r="V30" s="1790">
        <f>L30*P30</f>
        <v>0</v>
      </c>
      <c r="W30" s="1790"/>
      <c r="X30" s="1790"/>
    </row>
    <row r="31" spans="1:43">
      <c r="C31" s="782"/>
      <c r="D31" s="782"/>
      <c r="L31" s="1804">
        <f>SUM(L26:N30)</f>
        <v>22</v>
      </c>
      <c r="M31" s="1805"/>
      <c r="N31" s="1805"/>
      <c r="V31" s="1793">
        <f>SUM(V26:X30)</f>
        <v>22</v>
      </c>
      <c r="W31" s="1793"/>
      <c r="X31" s="1793"/>
    </row>
    <row r="32" spans="1:43">
      <c r="C32" s="782"/>
      <c r="D32" s="782"/>
      <c r="K32" s="793"/>
    </row>
    <row r="33" spans="1:27">
      <c r="C33" s="785" t="s">
        <v>2024</v>
      </c>
      <c r="D33" s="785"/>
      <c r="E33" s="782" t="s">
        <v>2290</v>
      </c>
      <c r="H33" s="794"/>
      <c r="I33" s="795"/>
      <c r="J33" s="796"/>
      <c r="K33" s="793"/>
      <c r="M33" s="781"/>
      <c r="V33" s="1786">
        <f>IF(V31&gt;0,V31/Q22," ")</f>
        <v>5.0811599826316714E-5</v>
      </c>
      <c r="W33" s="1787"/>
      <c r="X33" s="1787"/>
      <c r="Y33" s="1787"/>
      <c r="Z33" s="1787"/>
      <c r="AA33" s="1788"/>
    </row>
    <row r="34" spans="1:27">
      <c r="K34" s="780"/>
      <c r="M34" s="781"/>
    </row>
    <row r="35" spans="1:27">
      <c r="E35" s="782" t="s">
        <v>2291</v>
      </c>
      <c r="F35" s="782"/>
      <c r="G35" s="782"/>
      <c r="H35" s="782"/>
      <c r="I35" s="782"/>
      <c r="J35" s="782"/>
      <c r="K35" s="782"/>
      <c r="L35" s="782"/>
      <c r="M35" s="802"/>
      <c r="N35" s="782"/>
      <c r="O35" s="782"/>
      <c r="P35" s="782"/>
      <c r="Q35" s="782"/>
      <c r="R35" s="782"/>
      <c r="V35" s="1797">
        <f>IF(V31&gt;0,1/V33," ")</f>
        <v>19680.545454545456</v>
      </c>
      <c r="W35" s="1798"/>
      <c r="X35" s="1798"/>
      <c r="Y35" s="1798"/>
      <c r="Z35" s="1798"/>
      <c r="AA35" s="1799"/>
    </row>
    <row r="36" spans="1:27" ht="12.75" customHeight="1">
      <c r="B36" s="797"/>
      <c r="C36" s="797"/>
      <c r="D36" s="797"/>
      <c r="E36" s="797"/>
      <c r="F36" s="797"/>
      <c r="G36" s="797"/>
      <c r="H36" s="797"/>
      <c r="I36" s="797"/>
    </row>
    <row r="37" spans="1:27">
      <c r="A37" s="797"/>
      <c r="B37" s="797"/>
      <c r="C37" s="797"/>
      <c r="D37" s="797"/>
      <c r="E37" s="797"/>
      <c r="F37" s="797"/>
      <c r="G37" s="797"/>
      <c r="H37" s="797"/>
      <c r="I37" s="797"/>
    </row>
    <row r="38" spans="1:27">
      <c r="A38" s="797"/>
      <c r="B38" s="797"/>
      <c r="C38" s="797"/>
      <c r="D38" s="797"/>
      <c r="E38" s="797"/>
      <c r="F38" s="797"/>
      <c r="G38" s="797"/>
      <c r="H38" s="797"/>
      <c r="I38" s="797"/>
    </row>
    <row r="39" spans="1:27">
      <c r="A39" s="797"/>
      <c r="B39" s="797"/>
      <c r="C39" s="797"/>
      <c r="D39" s="797"/>
      <c r="E39" s="797"/>
      <c r="F39" s="797"/>
      <c r="G39" s="797"/>
      <c r="H39" s="797"/>
      <c r="I39" s="79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c54e3e12d20fd5abf88debb9e544dbb0">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99c58870f16573a0e19577a65b662d4d"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239e87e-7bf9-43e9-b626-f67b8ca917b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C9533-3E14-4FA7-88EC-AC08296DED85}">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customXml/itemProps2.xml><?xml version="1.0" encoding="utf-8"?>
<ds:datastoreItem xmlns:ds="http://schemas.openxmlformats.org/officeDocument/2006/customXml" ds:itemID="{3DBCEBDF-544C-4979-BAA3-5B80FB03B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A0885-0C50-41D4-9F14-ED7FE69110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