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F88BF66-E53F-40B3-9D16-D7A90A2B12C6}" xr6:coauthVersionLast="47" xr6:coauthVersionMax="47" xr10:uidLastSave="{00000000-0000-0000-0000-000000000000}"/>
  <bookViews>
    <workbookView xWindow="-26625" yWindow="2265" windowWidth="17280" windowHeight="8970" tabRatio="821" firstSheet="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896" i="3" l="1"/>
  <c r="T622" i="3"/>
  <c r="L936" i="3" l="1"/>
  <c r="AF621" i="3"/>
  <c r="L937" i="3" l="1"/>
  <c r="E64" i="4"/>
  <c r="W822" i="3"/>
  <c r="W842" i="3"/>
  <c r="Q621" i="3" l="1"/>
  <c r="T621" i="3"/>
  <c r="T21" i="5" l="1"/>
  <c r="C82" i="4" l="1"/>
  <c r="C55" i="4"/>
  <c r="E94" i="25" l="1"/>
  <c r="E93" i="25"/>
  <c r="E92" i="25"/>
  <c r="E91" i="25"/>
  <c r="E90" i="25"/>
  <c r="D90" i="25" l="1"/>
  <c r="D91" i="25"/>
  <c r="D92" i="25"/>
  <c r="D93" i="25"/>
  <c r="D94" i="25"/>
  <c r="E14" i="10" l="1"/>
  <c r="E13" i="10"/>
  <c r="E9" i="10"/>
  <c r="E8" i="10"/>
  <c r="E4" i="10"/>
  <c r="S78" i="4" l="1"/>
  <c r="S36" i="4"/>
  <c r="S35" i="4"/>
  <c r="S33" i="4"/>
  <c r="S32" i="4"/>
  <c r="S31" i="4"/>
  <c r="S41" i="4"/>
  <c r="S40" i="4"/>
  <c r="S84" i="4"/>
  <c r="S66" i="4"/>
  <c r="C40" i="4"/>
  <c r="E79" i="4"/>
  <c r="E78" i="4"/>
  <c r="E91" i="4"/>
  <c r="E90" i="4"/>
  <c r="E89" i="4"/>
  <c r="E88" i="4"/>
  <c r="E87" i="4"/>
  <c r="E84" i="4"/>
  <c r="E82" i="4"/>
  <c r="E74" i="4"/>
  <c r="E68" i="4"/>
  <c r="E66" i="4"/>
  <c r="E65" i="4"/>
  <c r="E60" i="4"/>
  <c r="E56" i="4"/>
  <c r="E55" i="4"/>
  <c r="E52" i="4"/>
  <c r="E49" i="4"/>
  <c r="E48" i="4"/>
  <c r="E46" i="4"/>
  <c r="E45" i="4"/>
  <c r="E41" i="4"/>
  <c r="E40" i="4"/>
  <c r="E4" i="4"/>
  <c r="E29" i="4"/>
  <c r="E31" i="4"/>
  <c r="E32" i="4"/>
  <c r="E33" i="4"/>
  <c r="E35" i="4"/>
  <c r="E36" i="4"/>
  <c r="G30" i="4"/>
  <c r="C33" i="4"/>
  <c r="C32" i="4"/>
  <c r="C60" i="4"/>
  <c r="C41" i="4"/>
  <c r="AC865" i="3" l="1"/>
  <c r="Y702" i="3" l="1"/>
  <c r="O702" i="3" s="1"/>
  <c r="Y701" i="3"/>
  <c r="O701" i="3" s="1"/>
  <c r="Y699" i="3"/>
  <c r="Y697" i="3"/>
  <c r="Y696" i="3"/>
  <c r="O696" i="3" s="1"/>
  <c r="Y695" i="3"/>
  <c r="Y808" i="3"/>
  <c r="U808" i="3"/>
  <c r="Q808" i="3"/>
  <c r="O707" i="3"/>
  <c r="O706" i="3"/>
  <c r="O705" i="3"/>
  <c r="O704" i="3"/>
  <c r="O700" i="3"/>
  <c r="K705" i="3"/>
  <c r="K706" i="3"/>
  <c r="K707" i="3"/>
  <c r="K704" i="3"/>
  <c r="O699" i="3"/>
  <c r="K700" i="3"/>
  <c r="K701" i="3"/>
  <c r="K702" i="3"/>
  <c r="K699" i="3"/>
  <c r="K696" i="3"/>
  <c r="K697" i="3"/>
  <c r="K695" i="3"/>
  <c r="O697" i="3"/>
  <c r="O69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698" i="3"/>
  <c r="BG698" i="3" s="1"/>
  <c r="BF703" i="3"/>
  <c r="BG703"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6" i="3" s="1"/>
  <c r="AZ260" i="3"/>
  <c r="BO245" i="3" s="1"/>
  <c r="T269" i="3" s="1"/>
  <c r="Y22" i="5"/>
  <c r="AD22" i="5"/>
  <c r="AI22" i="5"/>
  <c r="T22" i="5"/>
  <c r="BF707" i="3" l="1"/>
  <c r="BG707" i="3" s="1"/>
  <c r="BF706" i="3"/>
  <c r="BG706" i="3" s="1"/>
  <c r="BF704" i="3"/>
  <c r="BG704" i="3" s="1"/>
  <c r="BF705" i="3"/>
  <c r="BG705" i="3" s="1"/>
  <c r="BF702" i="3"/>
  <c r="BF701" i="3"/>
  <c r="BF700" i="3"/>
  <c r="BF699" i="3"/>
  <c r="BF695" i="3"/>
  <c r="AZ729" i="3"/>
  <c r="AZ728" i="3"/>
  <c r="BA728" i="3" s="1"/>
  <c r="BF697"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H98" i="4" s="1"/>
  <c r="E98" i="4" s="1"/>
  <c r="R98" i="4" s="1"/>
  <c r="S98" i="4" s="1"/>
  <c r="E97" i="18" s="1"/>
  <c r="G107" i="4"/>
  <c r="F107" i="4"/>
  <c r="F30" i="4" s="1"/>
  <c r="E30" i="4" s="1"/>
  <c r="R30" i="4" s="1"/>
  <c r="S30" i="4" s="1"/>
  <c r="E29" i="18" s="1"/>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D86" i="15"/>
  <c r="B87" i="15"/>
  <c r="C87" i="15"/>
  <c r="D87" i="15"/>
  <c r="B88" i="15"/>
  <c r="C88" i="15"/>
  <c r="D88" i="15"/>
  <c r="B89" i="15"/>
  <c r="C89" i="15"/>
  <c r="E89" i="15" s="1"/>
  <c r="D89" i="15"/>
  <c r="B90" i="15"/>
  <c r="E90" i="15" s="1"/>
  <c r="C90" i="15"/>
  <c r="D90" i="15"/>
  <c r="B91" i="15"/>
  <c r="C91" i="15"/>
  <c r="D91" i="15"/>
  <c r="B92" i="15"/>
  <c r="C92" i="15"/>
  <c r="E92" i="15" s="1"/>
  <c r="D92" i="15"/>
  <c r="B93" i="15"/>
  <c r="C93" i="15"/>
  <c r="D93" i="15"/>
  <c r="B94" i="15"/>
  <c r="C94" i="15"/>
  <c r="E94" i="15"/>
  <c r="D94" i="15"/>
  <c r="B95" i="15"/>
  <c r="C95" i="15"/>
  <c r="E95" i="15"/>
  <c r="D95" i="15"/>
  <c r="E86" i="15"/>
  <c r="E93" i="15"/>
  <c r="D83" i="15"/>
  <c r="C83" i="15"/>
  <c r="B83" i="15"/>
  <c r="B80" i="15"/>
  <c r="C80" i="15"/>
  <c r="D80" i="15"/>
  <c r="D79" i="15"/>
  <c r="C79" i="15"/>
  <c r="B79" i="15"/>
  <c r="E79" i="15" s="1"/>
  <c r="B73" i="15"/>
  <c r="C73" i="15"/>
  <c r="D73" i="15"/>
  <c r="B74" i="15"/>
  <c r="E74" i="15"/>
  <c r="C74" i="15"/>
  <c r="D74" i="15"/>
  <c r="B75" i="15"/>
  <c r="C75" i="15"/>
  <c r="D75" i="15"/>
  <c r="B76" i="15"/>
  <c r="E76" i="15" s="1"/>
  <c r="C76" i="15"/>
  <c r="D76" i="15"/>
  <c r="D72" i="15"/>
  <c r="C72" i="15"/>
  <c r="B72" i="15"/>
  <c r="B66" i="15"/>
  <c r="C66" i="15"/>
  <c r="E66" i="15" s="1"/>
  <c r="D66" i="15"/>
  <c r="B67" i="15"/>
  <c r="C67" i="15"/>
  <c r="D67" i="15"/>
  <c r="B68" i="15"/>
  <c r="C68" i="15"/>
  <c r="E68" i="15"/>
  <c r="D68" i="15"/>
  <c r="B69" i="15"/>
  <c r="E69" i="15" s="1"/>
  <c r="C69" i="15"/>
  <c r="D69" i="15"/>
  <c r="D65" i="15"/>
  <c r="C65" i="15"/>
  <c r="B65" i="15"/>
  <c r="B57" i="15"/>
  <c r="E57" i="15" s="1"/>
  <c r="C57" i="15"/>
  <c r="D57" i="15"/>
  <c r="B58" i="15"/>
  <c r="C58" i="15"/>
  <c r="D58" i="15"/>
  <c r="B59" i="15"/>
  <c r="C59" i="15"/>
  <c r="E59" i="15"/>
  <c r="D59" i="15"/>
  <c r="B60" i="15"/>
  <c r="C60" i="15"/>
  <c r="E60" i="15"/>
  <c r="D60" i="15"/>
  <c r="B61" i="15"/>
  <c r="C61" i="15"/>
  <c r="E61" i="15" s="1"/>
  <c r="D61" i="15"/>
  <c r="D56" i="15"/>
  <c r="C56" i="15"/>
  <c r="E56" i="15" s="1"/>
  <c r="B56" i="15"/>
  <c r="B47" i="15"/>
  <c r="E47" i="15" s="1"/>
  <c r="C47" i="15"/>
  <c r="D47" i="15"/>
  <c r="B48" i="15"/>
  <c r="C48" i="15"/>
  <c r="D48" i="15"/>
  <c r="B49" i="15"/>
  <c r="C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73" i="15"/>
  <c r="E22" i="15"/>
  <c r="E91" i="15"/>
  <c r="E87" i="15"/>
  <c r="E67" i="15"/>
  <c r="E58" i="15"/>
  <c r="E16" i="15"/>
  <c r="E7" i="15"/>
  <c r="E51" i="15"/>
  <c r="E88" i="15"/>
  <c r="E84" i="15"/>
  <c r="E14" i="15"/>
  <c r="E44" i="15"/>
  <c r="E21" i="15"/>
  <c r="E28" i="15"/>
  <c r="E8" i="15"/>
  <c r="E52" i="15"/>
  <c r="E48" i="15"/>
  <c r="E19" i="15"/>
  <c r="E42" i="15"/>
  <c r="E72" i="15"/>
  <c r="C12" i="15"/>
  <c r="B12" i="15"/>
  <c r="E6" i="15"/>
  <c r="E23" i="15"/>
  <c r="E41" i="15"/>
  <c r="C9" i="15"/>
  <c r="E11" i="15"/>
  <c r="E35"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C53" i="4"/>
  <c r="B53" i="4" s="1"/>
  <c r="C61" i="4"/>
  <c r="B61" i="4" s="1"/>
  <c r="C69" i="4"/>
  <c r="C70" i="15" s="1"/>
  <c r="C76" i="4"/>
  <c r="D77" i="15" s="1"/>
  <c r="C80" i="4"/>
  <c r="C81" i="15" s="1"/>
  <c r="C95" i="4"/>
  <c r="B94" i="18" s="1"/>
  <c r="C103" i="4"/>
  <c r="C104" i="15" s="1"/>
  <c r="C66" i="25"/>
  <c r="Y20" i="5"/>
  <c r="AI20" i="5"/>
  <c r="S26" i="4"/>
  <c r="S42" i="4"/>
  <c r="E41" i="18" s="1"/>
  <c r="S53" i="4"/>
  <c r="S69" i="4"/>
  <c r="E68" i="18" s="1"/>
  <c r="S80" i="4"/>
  <c r="E79" i="18" s="1"/>
  <c r="S95"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R29" i="4"/>
  <c r="S29" i="4" s="1"/>
  <c r="E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E52"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s="1"/>
  <c r="D43" i="15"/>
  <c r="G12" i="4"/>
  <c r="F12" i="4"/>
  <c r="B27" i="15"/>
  <c r="D27" i="15"/>
  <c r="C27" i="15"/>
  <c r="B11" i="4"/>
  <c r="B8" i="4"/>
  <c r="B12" i="4" s="1"/>
  <c r="T62" i="4"/>
  <c r="B68" i="18"/>
  <c r="B70" i="15"/>
  <c r="B11" i="18"/>
  <c r="G52" i="25"/>
  <c r="AB47" i="26"/>
  <c r="I61" i="18"/>
  <c r="I95" i="18"/>
  <c r="I103" i="18"/>
  <c r="I105" i="18"/>
  <c r="J61" i="18"/>
  <c r="J95" i="18"/>
  <c r="J103" i="18"/>
  <c r="J105" i="18"/>
  <c r="K12" i="4"/>
  <c r="B42" i="4"/>
  <c r="J12" i="4"/>
  <c r="R11" i="4"/>
  <c r="R8" i="4"/>
  <c r="R12" i="4" s="1"/>
  <c r="D12" i="15"/>
  <c r="C61" i="18"/>
  <c r="C95" i="18"/>
  <c r="C103" i="18"/>
  <c r="C12" i="18"/>
  <c r="M62" i="4"/>
  <c r="M96" i="4"/>
  <c r="M104" i="4"/>
  <c r="J62" i="4"/>
  <c r="J96" i="4"/>
  <c r="J104" i="4"/>
  <c r="C12" i="4"/>
  <c r="B12" i="18" s="1"/>
  <c r="O62" i="4"/>
  <c r="O96" i="4"/>
  <c r="O104" i="4"/>
  <c r="N62" i="4"/>
  <c r="N96" i="4"/>
  <c r="N104" i="4"/>
  <c r="D62" i="4"/>
  <c r="D96" i="4"/>
  <c r="D104" i="4"/>
  <c r="B8" i="18"/>
  <c r="R26" i="4"/>
  <c r="L62" i="4"/>
  <c r="L96" i="4"/>
  <c r="L104" i="4"/>
  <c r="H12" i="4"/>
  <c r="H11" i="18"/>
  <c r="Q62" i="4"/>
  <c r="Q96" i="4"/>
  <c r="Q104" i="4"/>
  <c r="K62" i="4"/>
  <c r="K96" i="4"/>
  <c r="K104" i="4"/>
  <c r="I62" i="4"/>
  <c r="I96" i="4"/>
  <c r="I104" i="4"/>
  <c r="R42" i="4"/>
  <c r="T96" i="4"/>
  <c r="H61" i="18"/>
  <c r="H62" i="4"/>
  <c r="H96" i="4"/>
  <c r="M12" i="4"/>
  <c r="D12" i="18"/>
  <c r="P62" i="4"/>
  <c r="P96" i="4"/>
  <c r="P104" i="4"/>
  <c r="B69"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R69" i="4" l="1"/>
  <c r="D70" i="15"/>
  <c r="D96" i="15"/>
  <c r="C96" i="15"/>
  <c r="B95" i="4"/>
  <c r="B75" i="18"/>
  <c r="C77" i="15"/>
  <c r="B77" i="15"/>
  <c r="B76" i="4"/>
  <c r="E80" i="15"/>
  <c r="R80" i="4"/>
  <c r="S103" i="4"/>
  <c r="E102" i="18" s="1"/>
  <c r="G98" i="25"/>
  <c r="D100" i="25" s="1"/>
  <c r="D102" i="25" s="1"/>
  <c r="D104" i="25" s="1"/>
  <c r="D110" i="25" s="1"/>
  <c r="G38" i="25" s="1"/>
  <c r="G53" i="25" s="1"/>
  <c r="E46" i="15"/>
  <c r="R53" i="4"/>
  <c r="S38" i="4"/>
  <c r="K53" i="9"/>
  <c r="I58" i="9"/>
  <c r="E94" i="18"/>
  <c r="R76" i="4"/>
  <c r="R95" i="4"/>
  <c r="R103" i="4"/>
  <c r="E62" i="4"/>
  <c r="E96" i="4" s="1"/>
  <c r="E104" i="4" s="1"/>
  <c r="R38" i="4"/>
  <c r="G104" i="4"/>
  <c r="E83" i="15"/>
  <c r="B60" i="18"/>
  <c r="B62" i="15"/>
  <c r="E75" i="15"/>
  <c r="E49" i="15"/>
  <c r="E34" i="15"/>
  <c r="E33" i="15"/>
  <c r="E9" i="15"/>
  <c r="E5" i="15"/>
  <c r="D62" i="15"/>
  <c r="C62" i="15"/>
  <c r="E65" i="15"/>
  <c r="B96" i="15"/>
  <c r="E96" i="15" s="1"/>
  <c r="B52" i="18"/>
  <c r="C54" i="15"/>
  <c r="D54" i="15"/>
  <c r="B54" i="15"/>
  <c r="D81" i="15"/>
  <c r="B81" i="15"/>
  <c r="E81" i="15" s="1"/>
  <c r="B80" i="4"/>
  <c r="B38" i="4"/>
  <c r="B37" i="18"/>
  <c r="B39" i="15"/>
  <c r="E39" i="15" s="1"/>
  <c r="D39" i="15"/>
  <c r="C62" i="4"/>
  <c r="C96" i="4" s="1"/>
  <c r="B95" i="18" s="1"/>
  <c r="E70" i="15"/>
  <c r="C13" i="15"/>
  <c r="E13" i="1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R96" i="4" s="1"/>
  <c r="R104" i="4" s="1"/>
  <c r="E77" i="15"/>
  <c r="E54" i="15"/>
  <c r="E62" i="15"/>
  <c r="E37" i="18"/>
  <c r="S62" i="4"/>
  <c r="M53" i="9"/>
  <c r="K58" i="9"/>
  <c r="B63" i="15"/>
  <c r="D97" i="15"/>
  <c r="B96" i="4"/>
  <c r="C104" i="4"/>
  <c r="AC448" i="3" s="1"/>
  <c r="C97" i="15"/>
  <c r="B97" i="15"/>
  <c r="B61" i="18"/>
  <c r="D63" i="15"/>
  <c r="C63" i="15"/>
  <c r="B62"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63" i="15" l="1"/>
  <c r="E61" i="18"/>
  <c r="S96" i="4"/>
  <c r="O53" i="9"/>
  <c r="M58" i="9"/>
  <c r="B104" i="4"/>
  <c r="AC447" i="3" s="1"/>
  <c r="F450" i="3" s="1"/>
  <c r="E97" i="15"/>
  <c r="B105" i="15"/>
  <c r="B103" i="18"/>
  <c r="C105" i="15"/>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6" l="1"/>
  <c r="AB48" i="26" s="1"/>
  <c r="AB53" i="26" s="1"/>
  <c r="AB54" i="26" s="1"/>
  <c r="E105" i="15"/>
  <c r="E95" i="18"/>
  <c r="S104" i="4"/>
  <c r="Q53" i="9"/>
  <c r="O58" i="9"/>
  <c r="AB46" i="27"/>
  <c r="AB48" i="27" s="1"/>
  <c r="AB53" i="27" s="1"/>
  <c r="AB54" i="27" s="1"/>
  <c r="J58" i="25"/>
  <c r="B76" i="25" s="1"/>
  <c r="AB46" i="5"/>
  <c r="AB4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E103" i="18"/>
  <c r="S106" i="4"/>
  <c r="S53" i="9"/>
  <c r="Q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7" i="9"/>
  <c r="E105" i="18"/>
  <c r="AC449" i="3"/>
  <c r="X1024" i="3"/>
  <c r="E62" i="9"/>
  <c r="E70" i="9" s="1"/>
  <c r="E72" i="9" s="1"/>
  <c r="S58" i="9"/>
  <c r="U53" i="9"/>
  <c r="S4" i="9"/>
  <c r="S5" i="9" s="1"/>
  <c r="AK619" i="6"/>
  <c r="AJ1020" i="3"/>
  <c r="G45" i="9"/>
  <c r="T708" i="6"/>
  <c r="T706" i="6" s="1"/>
  <c r="BT573" i="6"/>
  <c r="CG537" i="6"/>
  <c r="BQ550" i="6"/>
  <c r="BU549" i="6"/>
  <c r="BU550" i="6" s="1"/>
  <c r="S16" i="9"/>
  <c r="Q22" i="9"/>
  <c r="Q35" i="9" s="1"/>
  <c r="AA15" i="9"/>
  <c r="I49" i="9"/>
  <c r="I45" i="9"/>
  <c r="K7" i="9"/>
  <c r="K11" i="9" s="1"/>
  <c r="M6" i="9"/>
  <c r="U32" i="9"/>
  <c r="Q8" i="9"/>
  <c r="O9" i="9"/>
  <c r="Y11" i="27" l="1"/>
  <c r="Y23" i="27" s="1"/>
  <c r="Y26" i="27" s="1"/>
  <c r="Y28" i="27" s="1"/>
  <c r="Y63" i="27" s="1"/>
  <c r="Y67" i="27" s="1"/>
  <c r="T11" i="27"/>
  <c r="T23" i="27" s="1"/>
  <c r="T11" i="5"/>
  <c r="T11" i="26"/>
  <c r="T23" i="26" s="1"/>
  <c r="Y11" i="26"/>
  <c r="Y23" i="26" s="1"/>
  <c r="Y26" i="26" s="1"/>
  <c r="Y28" i="26" s="1"/>
  <c r="Y63" i="26" s="1"/>
  <c r="Y67" i="26" s="1"/>
  <c r="G62" i="9"/>
  <c r="G47" i="9"/>
  <c r="G60" i="9"/>
  <c r="U58" i="9"/>
  <c r="W53" i="9"/>
  <c r="U4" i="9"/>
  <c r="U5" i="9" s="1"/>
  <c r="G48" i="9"/>
  <c r="T24" i="5"/>
  <c r="X1025" i="3"/>
  <c r="AF706" i="6"/>
  <c r="AF712" i="6" s="1"/>
  <c r="BT577" i="6"/>
  <c r="BY574" i="6"/>
  <c r="CC550" i="6"/>
  <c r="K37" i="9"/>
  <c r="K49" i="9" s="1"/>
  <c r="U16" i="9"/>
  <c r="S22" i="9"/>
  <c r="S35" i="9" s="1"/>
  <c r="AC15" i="9"/>
  <c r="I47" i="9"/>
  <c r="I48" i="9"/>
  <c r="I60" i="9"/>
  <c r="O6" i="9"/>
  <c r="M7" i="9"/>
  <c r="M11" i="9" s="1"/>
  <c r="M37" i="9" s="1"/>
  <c r="W32" i="9"/>
  <c r="S8" i="9"/>
  <c r="Q9" i="9"/>
  <c r="T26" i="26" l="1"/>
  <c r="T28" i="26" s="1"/>
  <c r="T29" i="26" s="1"/>
  <c r="Y38" i="26"/>
  <c r="Y40" i="26" s="1"/>
  <c r="AD38" i="26"/>
  <c r="AD40" i="26" s="1"/>
  <c r="BE16" i="28"/>
  <c r="T23" i="5"/>
  <c r="T26" i="27"/>
  <c r="T28" i="27" s="1"/>
  <c r="T29" i="27" s="1"/>
  <c r="AD38" i="27"/>
  <c r="AD40" i="27" s="1"/>
  <c r="G66" i="9"/>
  <c r="G67" i="9"/>
  <c r="G69" i="9"/>
  <c r="G68" i="9"/>
  <c r="I62" i="9"/>
  <c r="W58" i="9"/>
  <c r="Y53" i="9"/>
  <c r="W4" i="9"/>
  <c r="Y4" i="9" s="1"/>
  <c r="D1026" i="3"/>
  <c r="CD575" i="6"/>
  <c r="BY577" i="6"/>
  <c r="K45" i="9"/>
  <c r="K60" i="9" s="1"/>
  <c r="K69" i="9" s="1"/>
  <c r="Q6" i="9"/>
  <c r="O7" i="9"/>
  <c r="O11" i="9" s="1"/>
  <c r="O37" i="9" s="1"/>
  <c r="I67" i="9"/>
  <c r="I69" i="9"/>
  <c r="I68" i="9"/>
  <c r="I66" i="9"/>
  <c r="AE15" i="9"/>
  <c r="M45" i="9"/>
  <c r="M49" i="9"/>
  <c r="W16" i="9"/>
  <c r="U22" i="9"/>
  <c r="U35" i="9" s="1"/>
  <c r="Y32" i="9"/>
  <c r="U8" i="9"/>
  <c r="S9" i="9"/>
  <c r="Y38" i="27" l="1"/>
  <c r="Y40" i="27" s="1"/>
  <c r="T26" i="5"/>
  <c r="T28" i="5" s="1"/>
  <c r="Q71" i="25"/>
  <c r="O75" i="25" s="1"/>
  <c r="R75" i="25" s="1"/>
  <c r="Y41" i="27"/>
  <c r="AB55" i="27" s="1"/>
  <c r="AB56" i="27" s="1"/>
  <c r="AB58" i="27" s="1"/>
  <c r="AD38" i="5"/>
  <c r="AD40" i="5" s="1"/>
  <c r="Y41" i="26"/>
  <c r="AB55" i="26" s="1"/>
  <c r="AB56" i="26" s="1"/>
  <c r="AB58" i="26" s="1"/>
  <c r="K62" i="9"/>
  <c r="Y58" i="9"/>
  <c r="AA53" i="9"/>
  <c r="W5" i="9"/>
  <c r="G70" i="9"/>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Y63" i="5" l="1"/>
  <c r="Y67" i="5" s="1"/>
  <c r="T29" i="5"/>
  <c r="Y38" i="5"/>
  <c r="Y40" i="5" s="1"/>
  <c r="F59" i="27"/>
  <c r="AB75" i="27"/>
  <c r="AB76" i="27" s="1"/>
  <c r="AB77" i="27" s="1"/>
  <c r="AB79" i="27" s="1"/>
  <c r="J80" i="27" s="1"/>
  <c r="AB75" i="26"/>
  <c r="AB76" i="26" s="1"/>
  <c r="AB77" i="26" s="1"/>
  <c r="AB79" i="26" s="1"/>
  <c r="J80" i="26" s="1"/>
  <c r="F59" i="26"/>
  <c r="M62" i="9"/>
  <c r="AC53" i="9"/>
  <c r="AA58" i="9"/>
  <c r="CN577" i="6"/>
  <c r="BD558" i="6" s="1"/>
  <c r="K70" i="9"/>
  <c r="K72" i="9" s="1"/>
  <c r="Q45" i="9"/>
  <c r="Q49" i="9"/>
  <c r="AC4" i="9"/>
  <c r="AA5" i="9"/>
  <c r="O48" i="9"/>
  <c r="O60" i="9"/>
  <c r="O47" i="9"/>
  <c r="U6" i="9"/>
  <c r="S7" i="9"/>
  <c r="S11" i="9" s="1"/>
  <c r="S37" i="9" s="1"/>
  <c r="AA16" i="9"/>
  <c r="Y22" i="9"/>
  <c r="Y35" i="9" s="1"/>
  <c r="M66" i="9"/>
  <c r="M68" i="9"/>
  <c r="M69" i="9"/>
  <c r="M67" i="9"/>
  <c r="AC32" i="9"/>
  <c r="W9" i="9"/>
  <c r="Y8" i="9"/>
  <c r="O62" i="9" l="1"/>
  <c r="AR42" i="5"/>
  <c r="Y41" i="5" s="1"/>
  <c r="AR43" i="5"/>
  <c r="AE53" i="9"/>
  <c r="AC58" i="9"/>
  <c r="AT560" i="6"/>
  <c r="AW562" i="6"/>
  <c r="M70" i="9"/>
  <c r="M72" i="9" s="1"/>
  <c r="W6" i="9"/>
  <c r="U7" i="9"/>
  <c r="U11" i="9" s="1"/>
  <c r="U37" i="9" s="1"/>
  <c r="O68" i="9"/>
  <c r="O66" i="9"/>
  <c r="O69" i="9"/>
  <c r="O67" i="9"/>
  <c r="AC16" i="9"/>
  <c r="AA22" i="9"/>
  <c r="AA35" i="9" s="1"/>
  <c r="S45" i="9"/>
  <c r="S49" i="9"/>
  <c r="AC5" i="9"/>
  <c r="AE4" i="9"/>
  <c r="Q48" i="9"/>
  <c r="Q60" i="9"/>
  <c r="Q47" i="9"/>
  <c r="AE32" i="9"/>
  <c r="Y9" i="9"/>
  <c r="AA8" i="9"/>
  <c r="Q62" i="9" l="1"/>
  <c r="AB53" i="5"/>
  <c r="AB54" i="5" s="1"/>
  <c r="AB55" i="5" s="1"/>
  <c r="AG53" i="9"/>
  <c r="AG58" i="9" s="1"/>
  <c r="AE58" i="9"/>
  <c r="AE5" i="9"/>
  <c r="AG4" i="9"/>
  <c r="O70" i="9"/>
  <c r="O72" i="9" s="1"/>
  <c r="S47" i="9"/>
  <c r="S48" i="9"/>
  <c r="S60" i="9"/>
  <c r="S62" i="9" s="1"/>
  <c r="W7" i="9"/>
  <c r="W11" i="9" s="1"/>
  <c r="W37" i="9" s="1"/>
  <c r="Y6" i="9"/>
  <c r="U49" i="9"/>
  <c r="U45" i="9"/>
  <c r="Q68" i="9"/>
  <c r="Q69" i="9"/>
  <c r="Q67" i="9"/>
  <c r="Q66" i="9"/>
  <c r="AE16" i="9"/>
  <c r="AC22" i="9"/>
  <c r="AC35" i="9" s="1"/>
  <c r="AG32" i="9"/>
  <c r="AA9" i="9"/>
  <c r="AC8" i="9"/>
  <c r="M25" i="3" l="1"/>
  <c r="P203" i="3" s="1"/>
  <c r="AB56" i="5"/>
  <c r="AB58" i="5" s="1"/>
  <c r="BE15" i="28"/>
  <c r="Q22" i="28"/>
  <c r="V33" i="28" s="1"/>
  <c r="V35" i="28" s="1"/>
  <c r="AG5" i="9"/>
  <c r="Q70" i="9"/>
  <c r="Q72" i="9" s="1"/>
  <c r="W45" i="9"/>
  <c r="W49" i="9"/>
  <c r="AG16" i="9"/>
  <c r="AG22" i="9" s="1"/>
  <c r="AG35" i="9" s="1"/>
  <c r="AE22" i="9"/>
  <c r="AE35" i="9" s="1"/>
  <c r="S67" i="9"/>
  <c r="S68" i="9"/>
  <c r="S69" i="9"/>
  <c r="S66" i="9"/>
  <c r="U48" i="9"/>
  <c r="U60" i="9"/>
  <c r="U62" i="9" s="1"/>
  <c r="U47" i="9"/>
  <c r="Y7" i="9"/>
  <c r="Y11" i="9" s="1"/>
  <c r="Y37" i="9" s="1"/>
  <c r="AA6" i="9"/>
  <c r="AC9" i="9"/>
  <c r="AE8" i="9"/>
  <c r="AB75" i="5" l="1"/>
  <c r="AB76" i="5" s="1"/>
  <c r="F59" i="5"/>
  <c r="Y45" i="9"/>
  <c r="Y49" i="9"/>
  <c r="S70" i="9"/>
  <c r="S72" i="9" s="1"/>
  <c r="AA7" i="9"/>
  <c r="AA11" i="9" s="1"/>
  <c r="AA37" i="9" s="1"/>
  <c r="AC6" i="9"/>
  <c r="U69" i="9"/>
  <c r="U67" i="9"/>
  <c r="U66" i="9"/>
  <c r="U68" i="9"/>
  <c r="W47" i="9"/>
  <c r="W48" i="9"/>
  <c r="W60" i="9"/>
  <c r="W62" i="9" s="1"/>
  <c r="AG8" i="9"/>
  <c r="AE9" i="9"/>
  <c r="M27" i="3" l="1"/>
  <c r="AB77" i="5"/>
  <c r="AB79" i="5" s="1"/>
  <c r="J80" i="5" s="1"/>
  <c r="AA49" i="9"/>
  <c r="AA45" i="9"/>
  <c r="W66" i="9"/>
  <c r="W68" i="9"/>
  <c r="W67" i="9"/>
  <c r="W69" i="9"/>
  <c r="AE6" i="9"/>
  <c r="AC7" i="9"/>
  <c r="AC11" i="9" s="1"/>
  <c r="AC37" i="9" s="1"/>
  <c r="U70" i="9"/>
  <c r="U72" i="9" s="1"/>
  <c r="Y48" i="9"/>
  <c r="Y60" i="9"/>
  <c r="Y62" i="9" s="1"/>
  <c r="Y47" i="9"/>
  <c r="AG9" i="9"/>
  <c r="W203" i="3" l="1"/>
  <c r="D203" i="3"/>
  <c r="AG6" i="9"/>
  <c r="AE7" i="9"/>
  <c r="AE11" i="9" s="1"/>
  <c r="AE37" i="9" s="1"/>
  <c r="Y66" i="9"/>
  <c r="Y69" i="9"/>
  <c r="Y68" i="9"/>
  <c r="Y67" i="9"/>
  <c r="AC49" i="9"/>
  <c r="AC45" i="9"/>
  <c r="AA47" i="9"/>
  <c r="AA48" i="9"/>
  <c r="AA60" i="9"/>
  <c r="AA62" i="9" s="1"/>
  <c r="W70" i="9"/>
  <c r="W72" i="9" s="1"/>
  <c r="AG7" i="9" l="1"/>
  <c r="AG11" i="9" s="1"/>
  <c r="AG37" i="9" s="1"/>
  <c r="AG49" i="9" s="1"/>
  <c r="AA68" i="9"/>
  <c r="AA69" i="9"/>
  <c r="AA66" i="9"/>
  <c r="AA67" i="9"/>
  <c r="Y70" i="9"/>
  <c r="Y72" i="9" s="1"/>
  <c r="AE49" i="9"/>
  <c r="AE45" i="9"/>
  <c r="AC48" i="9"/>
  <c r="AC60" i="9"/>
  <c r="AC62" i="9" s="1"/>
  <c r="AC47" i="9"/>
  <c r="AG45" i="9" l="1"/>
  <c r="AE60" i="9"/>
  <c r="AE62" i="9" s="1"/>
  <c r="AE47" i="9"/>
  <c r="AE48" i="9"/>
  <c r="AC69" i="9"/>
  <c r="AC68" i="9"/>
  <c r="AC66" i="9"/>
  <c r="AC67" i="9"/>
  <c r="AA70" i="9"/>
  <c r="AA72" i="9" s="1"/>
  <c r="AG47" i="9" l="1"/>
  <c r="AG48" i="9"/>
  <c r="AG60" i="9"/>
  <c r="AG62" i="9" s="1"/>
  <c r="AC70" i="9"/>
  <c r="AC72" i="9" s="1"/>
  <c r="AE68" i="9"/>
  <c r="AE67" i="9"/>
  <c r="AE66" i="9"/>
  <c r="AE69" i="9"/>
  <c r="AG67" i="9" l="1"/>
  <c r="AG69" i="9"/>
  <c r="AG66" i="9"/>
  <c r="AG68" i="9"/>
  <c r="AE70" i="9"/>
  <c r="AE72" i="9" s="1"/>
  <c r="AG70" i="9" l="1"/>
  <c r="AG72" i="9" s="1"/>
  <c r="G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<sst xmlns="http://schemas.openxmlformats.org/spreadsheetml/2006/main" count="4676" uniqueCount="2478">
  <si>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</si>
  <si>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</si>
  <si>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</si>
  <si>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</si>
  <si>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</si>
  <si>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</si>
  <si>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</si>
  <si>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</si>
  <si>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</si>
  <si>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</si>
  <si>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</si>
  <si>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</si>
  <si>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</si>
  <si>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</si>
  <si>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</si>
  <si>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</si>
  <si>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</si>
  <si>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</si>
  <si>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</si>
  <si>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</si>
  <si>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</si>
  <si>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</si>
  <si>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</si>
  <si>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</si>
  <si>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</si>
  <si>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</si>
  <si>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</si>
  <si>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</si>
  <si>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</si>
  <si>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</si>
  <si>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</si>
  <si>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</si>
  <si>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</si>
  <si>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</si>
  <si>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</si>
  <si>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</si>
  <si>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</si>
  <si>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</si>
  <si>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</si>
  <si>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</si>
  <si>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</si>
  <si>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</si>
  <si>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</si>
  <si>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</si>
  <si>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</si>
  <si>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</si>
  <si>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</si>
  <si>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</si>
  <si>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</si>
  <si>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</si>
  <si>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</si>
  <si>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</si>
  <si>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</si>
  <si>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</si>
  <si>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</si>
  <si>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</si>
  <si>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</si>
  <si>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</si>
  <si>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</si>
  <si>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</si>
  <si>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</si>
  <si>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</si>
  <si>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</si>
  <si>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</si>
  <si>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</si>
  <si>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</si>
  <si>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</si>
  <si>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</si>
  <si>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</si>
  <si>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</si>
  <si>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</si>
  <si>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</si>
  <si>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</si>
  <si>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</si>
  <si>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</si>
  <si>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</si>
  <si>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</si>
  <si>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</si>
  <si>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</si>
  <si>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</si>
  <si>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</si>
  <si>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</si>
  <si>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</si>
  <si>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</si>
  <si>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</si>
  <si>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</si>
  <si>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</si>
  <si>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</si>
  <si>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</si>
  <si>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</si>
  <si>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</si>
  <si>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</si>
  <si>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</si>
  <si>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</si>
  <si>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</si>
  <si>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</si>
  <si>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</si>
  <si>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</si>
  <si>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</si>
  <si>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</si>
  <si>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</si>
  <si>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</si>
  <si>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</si>
  <si>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</si>
  <si>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</si>
  <si>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</si>
  <si>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</si>
  <si>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</si>
  <si>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</si>
  <si>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</si>
  <si>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</si>
  <si>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</si>
  <si>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</si>
  <si>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</si>
  <si>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</si>
  <si>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</si>
  <si>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</si>
  <si>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</si>
  <si>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</si>
  <si>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</si>
  <si>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</si>
  <si>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</si>
  <si>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</si>
  <si>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</si>
  <si>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</si>
  <si>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</si>
  <si>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</si>
  <si>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</si>
  <si>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</si>
  <si>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</si>
  <si>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</si>
  <si>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</si>
  <si>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</si>
  <si>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</si>
  <si>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</si>
  <si>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</si>
  <si>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</si>
  <si>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</si>
  <si>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</si>
  <si>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</si>
  <si>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</si>
  <si>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</si>
  <si>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</si>
  <si>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</si>
  <si>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</si>
  <si>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</si>
  <si>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</si>
  <si>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</si>
  <si>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</si>
  <si>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</si>
  <si>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</si>
  <si>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</si>
  <si>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</si>
  <si>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</si>
  <si>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</si>
  <si>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</si>
  <si>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</si>
  <si>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</si>
  <si>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</si>
  <si>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</si>
  <si>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</si>
  <si>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</si>
  <si>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</si>
  <si>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</si>
  <si>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</si>
  <si>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</si>
  <si>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</si>
  <si>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</si>
  <si>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</si>
  <si>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</si>
  <si>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</si>
  <si>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</si>
  <si>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</si>
  <si>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</si>
  <si>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</si>
  <si>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</si>
  <si>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</si>
  <si>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</si>
  <si>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</si>
  <si>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</si>
  <si>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</si>
  <si>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</si>
  <si>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</si>
  <si>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</si>
  <si>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</si>
  <si>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</si>
  <si>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</si>
  <si>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</si>
  <si>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</si>
  <si>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</si>
  <si>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</si>
  <si>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</si>
  <si>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</si>
  <si>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</si>
  <si>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</si>
  <si>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</si>
  <si>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</si>
  <si>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</si>
  <si>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</si>
  <si>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</si>
  <si>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</si>
  <si>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</si>
  <si>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</si>
  <si>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</si>
  <si>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</si>
  <si>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</si>
  <si>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</si>
  <si>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</si>
  <si>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</si>
  <si>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</si>
  <si>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</si>
  <si>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</si>
  <si>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</si>
  <si>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</si>
  <si>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</si>
  <si>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</si>
  <si>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</si>
  <si>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</si>
  <si>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</si>
  <si>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</si>
  <si>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</si>
  <si>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</si>
  <si>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</si>
  <si>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</si>
  <si>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</si>
  <si>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</si>
  <si>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</si>
  <si>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</si>
  <si>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</si>
  <si>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</si>
  <si>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</si>
  <si>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</si>
  <si>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</si>
  <si>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</si>
  <si>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</si>
  <si>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</si>
  <si>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</si>
  <si>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</si>
  <si>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</si>
  <si>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</si>
  <si>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</si>
  <si>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</si>
  <si>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</si>
  <si>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</si>
  <si>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</si>
  <si>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</si>
  <si>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</si>
  <si>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</si>
  <si>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</si>
  <si>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</si>
  <si>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</si>
  <si>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</si>
  <si>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</si>
  <si>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</si>
  <si>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</si>
  <si>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</si>
  <si>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</si>
  <si>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</si>
  <si>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</si>
  <si>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</si>
  <si>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</si>
  <si>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</si>
  <si>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</si>
  <si>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</si>
  <si>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</si>
  <si>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</si>
  <si>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</si>
  <si>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</si>
  <si>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</si>
  <si>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</si>
  <si>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</si>
  <si>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</si>
  <si>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</si>
  <si>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</si>
  <si>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</si>
  <si>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</si>
  <si>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</si>
  <si>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</si>
  <si>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</si>
  <si>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</si>
  <si>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</si>
  <si>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</si>
  <si>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</si>
  <si>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</si>
  <si>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</si>
  <si>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</si>
  <si>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</si>
  <si>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</si>
  <si>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</si>
  <si>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</si>
  <si>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</si>
  <si>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</si>
  <si>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</si>
  <si>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</si>
  <si>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</si>
  <si>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</si>
  <si>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</si>
  <si>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</si>
  <si>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</si>
  <si>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</si>
  <si>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</si>
  <si>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</si>
  <si>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</si>
  <si>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</si>
  <si>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</si>
  <si>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</si>
  <si>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</si>
  <si>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</si>
  <si>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</si>
  <si>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</si>
  <si>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</si>
  <si>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</si>
  <si>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</si>
  <si>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</si>
  <si>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</si>
  <si>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</si>
  <si>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</si>
  <si>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</si>
  <si>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</si>
  <si>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</si>
  <si>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</si>
  <si>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</si>
  <si>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</si>
  <si>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</si>
  <si>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</si>
  <si>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</si>
  <si>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</si>
  <si>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</si>
  <si>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</si>
  <si>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</si>
  <si>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</si>
  <si>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</si>
  <si>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</si>
  <si>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</si>
  <si>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</si>
  <si>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</si>
  <si>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</si>
  <si>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</si>
  <si>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</si>
  <si>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</si>
  <si>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</si>
  <si>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</si>
  <si>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</si>
  <si>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</si>
  <si>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</si>
  <si>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</si>
  <si>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</si>
  <si>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</si>
  <si>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</si>
  <si>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</si>
  <si>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</si>
  <si>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</si>
  <si>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</si>
  <si>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</si>
  <si>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</si>
  <si>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</si>
  <si>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</si>
  <si>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</si>
  <si>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</si>
  <si>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</si>
  <si>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</si>
  <si>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</si>
  <si>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</si>
  <si>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</si>
  <si>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</si>
  <si>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</si>
  <si>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</si>
  <si>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</si>
  <si>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</si>
  <si>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</si>
  <si>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</si>
  <si>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</si>
  <si>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</si>
  <si>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</si>
  <si>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</si>
  <si>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</si>
  <si>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</si>
  <si>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</si>
  <si>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</si>
  <si>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</si>
  <si>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</si>
  <si>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</si>
  <si>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</si>
  <si>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</si>
  <si>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</si>
  <si>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</si>
  <si>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</si>
  <si>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</si>
  <si>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</si>
  <si>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</si>
  <si>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</si>
  <si>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</si>
  <si>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</si>
  <si>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</si>
  <si>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</si>
  <si>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</si>
  <si>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</si>
  <si>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</si>
  <si>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</si>
  <si>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</si>
  <si>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</si>
  <si>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</si>
  <si>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</si>
  <si>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</si>
  <si>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</si>
  <si>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</si>
  <si>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</si>
  <si>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</si>
  <si>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</si>
  <si>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</si>
  <si>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</si>
  <si>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</si>
  <si>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</si>
  <si>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</si>
  <si>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</si>
  <si>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</si>
  <si>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</si>
  <si>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</si>
  <si>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</si>
  <si>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</si>
  <si>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</si>
  <si>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</si>
  <si>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</si>
  <si>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</si>
  <si>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</si>
  <si>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</si>
  <si>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</si>
  <si>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</si>
  <si>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</si>
  <si>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</si>
  <si>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</si>
  <si>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</si>
  <si>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</si>
  <si>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</si>
  <si>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</si>
  <si>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</si>
  <si>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</si>
  <si>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</si>
  <si>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</si>
  <si>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</si>
  <si>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</si>
  <si>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</si>
  <si>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</si>
  <si>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</si>
  <si>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</si>
  <si>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</si>
  <si>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</si>
  <si>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</si>
  <si>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</si>
  <si>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</si>
  <si>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</si>
  <si>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</si>
  <si>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</si>
  <si>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</si>
  <si>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</si>
  <si>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</si>
  <si>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</si>
  <si>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</si>
  <si>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</si>
  <si>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</si>
  <si>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</si>
  <si>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</si>
  <si>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</si>
  <si>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</si>
  <si>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</si>
  <si>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</si>
  <si>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</si>
  <si>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</si>
  <si>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</si>
  <si>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</si>
  <si>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</si>
  <si>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</si>
  <si>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</si>
  <si>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</si>
  <si>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</si>
  <si>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</si>
  <si>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</si>
  <si>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</si>
  <si>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</si>
  <si>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</si>
  <si>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</si>
  <si>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</si>
  <si>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</si>
  <si>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</si>
  <si>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</si>
  <si>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</si>
  <si>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</si>
  <si>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</si>
  <si>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</si>
  <si>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</si>
  <si>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</si>
  <si>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</si>
  <si>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</si>
  <si>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</si>
  <si>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</si>
  <si>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</si>
  <si>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</si>
  <si>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</si>
  <si>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</si>
  <si>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</si>
  <si>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</si>
  <si>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</si>
  <si>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</si>
  <si>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</si>
  <si>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</si>
  <si>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</si>
  <si>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</si>
  <si>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</si>
  <si>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</si>
  <si>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</si>
  <si>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</si>
  <si>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</si>
  <si>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</si>
  <si>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</si>
  <si>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</si>
  <si>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</si>
  <si>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</si>
  <si>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</si>
  <si>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</si>
  <si>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</si>
  <si>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</si>
  <si>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</si>
  <si>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</si>
  <si>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</si>
  <si>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</si>
  <si>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</si>
  <si>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</si>
  <si>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</si>
  <si>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</si>
  <si>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</si>
  <si>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</si>
  <si>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</si>
  <si>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</si>
  <si>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</si>
  <si>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</si>
  <si>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</si>
  <si>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</si>
  <si>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</si>
  <si>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</si>
  <si>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</si>
  <si>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</si>
  <si>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</si>
  <si>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</si>
  <si>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</si>
  <si>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</si>
  <si>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</si>
  <si>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</si>
  <si>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</si>
  <si>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</si>
  <si>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</si>
  <si>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</si>
  <si>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</si>
  <si>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</si>
  <si>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</si>
  <si>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</si>
  <si>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</si>
  <si>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</si>
  <si>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</si>
  <si>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</si>
  <si>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</si>
  <si>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</si>
  <si>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</si>
  <si>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</si>
  <si>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</si>
  <si>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</si>
  <si>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</si>
  <si>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</si>
  <si>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</si>
  <si>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</si>
  <si>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</si>
  <si>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</si>
  <si>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</si>
  <si>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</si>
  <si>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</si>
  <si>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</si>
  <si>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</si>
  <si>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</si>
  <si>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</si>
  <si>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</si>
  <si>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</si>
  <si>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</si>
  <si>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</si>
  <si>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</si>
  <si>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</si>
  <si>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</si>
  <si>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</si>
  <si>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</si>
  <si>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</si>
  <si>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</si>
  <si>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</si>
  <si>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</si>
  <si>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</si>
  <si>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</si>
  <si>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</si>
  <si>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</si>
  <si>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</si>
  <si>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</si>
  <si>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</si>
  <si>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</si>
  <si>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</si>
  <si>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</si>
  <si>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</si>
  <si>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</si>
  <si>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</si>
  <si>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</si>
  <si>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</si>
  <si>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</si>
  <si>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</si>
  <si>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</si>
  <si>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</si>
  <si>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</si>
  <si>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</si>
  <si>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</si>
  <si>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</si>
  <si>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</si>
  <si>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</si>
  <si>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</si>
  <si>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</si>
  <si>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</si>
  <si>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</si>
  <si>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</si>
  <si>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</si>
  <si>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</si>
  <si>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</si>
  <si>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</si>
  <si>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</si>
  <si>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</si>
  <si>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</si>
  <si>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</si>
  <si>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</si>
  <si>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</si>
  <si>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</si>
  <si>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</si>
  <si>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</si>
  <si>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</si>
  <si>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</si>
  <si>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</si>
  <si>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</si>
  <si>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</si>
  <si>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</si>
  <si>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</si>
  <si>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</si>
  <si>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</si>
  <si>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</si>
  <si>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</si>
  <si>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</si>
  <si>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</si>
  <si>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</si>
  <si>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</si>
  <si>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</si>
  <si>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</si>
  <si>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</si>
  <si>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</si>
  <si>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</si>
  <si>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</si>
  <si>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</si>
  <si>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</si>
  <si>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</si>
  <si>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</si>
  <si>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</si>
  <si>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</si>
  <si>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</si>
  <si>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</si>
  <si>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</si>
  <si>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</si>
  <si>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</si>
  <si>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</si>
  <si>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</si>
  <si>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</si>
  <si>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</si>
  <si>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</si>
  <si>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</si>
  <si>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</si>
  <si>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</si>
  <si>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</si>
  <si>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</si>
  <si>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</si>
  <si>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</si>
  <si>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</si>
  <si>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</si>
  <si>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</si>
  <si>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</si>
  <si>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</si>
  <si>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</si>
  <si>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</si>
  <si>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</si>
  <si>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</si>
  <si>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</si>
  <si>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</si>
  <si>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</si>
  <si>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</si>
  <si>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</si>
  <si>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</si>
  <si>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</si>
  <si>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</si>
  <si>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</si>
  <si>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</si>
  <si>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</si>
  <si>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</si>
  <si>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</si>
  <si>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</si>
  <si>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</si>
  <si>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</si>
  <si>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</si>
  <si>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</si>
  <si>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</si>
  <si>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</si>
  <si>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</si>
  <si>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</si>
  <si>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</si>
  <si>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</si>
  <si>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</si>
  <si>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</si>
  <si>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</si>
  <si>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</si>
  <si>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</si>
  <si>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</si>
  <si>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</si>
  <si>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</si>
  <si>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</si>
  <si>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</si>
  <si>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</si>
  <si>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</si>
  <si>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</si>
  <si>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</si>
  <si>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</si>
  <si>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</si>
  <si>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</si>
  <si>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</si>
  <si>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</si>
  <si>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</si>
  <si>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</si>
  <si>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</si>
  <si>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</si>
  <si>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</si>
  <si>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</si>
  <si>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</si>
  <si>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</si>
  <si>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</si>
  <si>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</si>
  <si>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</si>
  <si>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</si>
  <si>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</si>
  <si>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</si>
  <si>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</si>
  <si>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</si>
  <si>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</si>
  <si>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</si>
  <si>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</si>
  <si>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</si>
  <si>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</si>
  <si>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</si>
  <si>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</si>
  <si>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</si>
  <si>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</si>
  <si>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</si>
  <si>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</si>
  <si>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</si>
  <si>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</si>
  <si>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</si>
  <si>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</si>
  <si>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</si>
  <si>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</si>
  <si>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</si>
  <si>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</si>
  <si>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</si>
  <si>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</si>
  <si>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</si>
  <si>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</si>
  <si>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</si>
  <si>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</si>
  <si>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</si>
  <si>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</si>
  <si>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</si>
  <si>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</si>
  <si>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</si>
  <si>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</si>
  <si>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</si>
  <si>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</si>
  <si>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</si>
  <si>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</si>
  <si>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</si>
  <si>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</si>
  <si>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</si>
  <si>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</si>
  <si>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</si>
  <si>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</si>
  <si>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</si>
  <si>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</si>
  <si>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</si>
  <si>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</si>
  <si>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</si>
  <si>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</si>
  <si>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</si>
  <si>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</si>
  <si>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</si>
  <si>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</si>
  <si>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</si>
  <si>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</si>
  <si>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</si>
  <si>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</si>
  <si>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</si>
  <si>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</si>
  <si>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</si>
  <si>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</si>
  <si>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</si>
  <si>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</si>
  <si>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</si>
  <si>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</si>
  <si>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</si>
  <si>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</si>
  <si>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</si>
  <si>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</si>
  <si>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</si>
  <si>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</si>
  <si>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</si>
  <si>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</si>
  <si>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</si>
  <si>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</si>
  <si>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</si>
  <si>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</si>
  <si>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</si>
  <si>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</si>
  <si>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</si>
  <si>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</si>
  <si>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</si>
  <si>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</si>
  <si>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</si>
  <si>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</si>
  <si>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</si>
  <si>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</si>
  <si>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</si>
  <si>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</si>
  <si>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</si>
  <si>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</si>
  <si>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</si>
  <si>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</si>
  <si>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</si>
  <si>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</si>
  <si>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</si>
  <si>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</si>
  <si>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</si>
  <si>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</si>
  <si>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</si>
  <si>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</si>
  <si>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</si>
  <si>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</si>
  <si>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</si>
  <si>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</si>
  <si>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</si>
  <si>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</si>
  <si>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</si>
  <si>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</si>
  <si>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</si>
  <si>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</si>
  <si>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</si>
  <si>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</si>
  <si>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</si>
  <si>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</si>
  <si>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</si>
  <si>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</si>
  <si>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</si>
  <si>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</si>
  <si>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</si>
  <si>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</si>
  <si>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</si>
  <si>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</si>
  <si>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</si>
  <si>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</si>
  <si>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</si>
  <si>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</si>
  <si>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</si>
  <si>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</si>
  <si>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</si>
  <si>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</si>
  <si>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</si>
  <si>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</si>
  <si>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</si>
  <si>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</si>
  <si>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</si>
  <si>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</si>
  <si>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</si>
  <si>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</si>
  <si>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</si>
  <si>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</si>
  <si>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</si>
  <si>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</si>
  <si>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</si>
  <si>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</si>
  <si>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</si>
  <si>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</si>
  <si>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</si>
  <si>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</si>
  <si>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</si>
  <si>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</si>
  <si>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</si>
  <si>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</si>
  <si>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</si>
  <si>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</si>
  <si>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</si>
  <si>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</si>
  <si>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</si>
  <si>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</si>
  <si>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</si>
  <si>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</si>
  <si>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</si>
  <si>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</si>
  <si>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</si>
  <si>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</si>
  <si>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</si>
  <si>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</si>
  <si>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</si>
  <si>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</si>
  <si>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</si>
  <si>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</si>
  <si>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</si>
  <si>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</si>
  <si>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</si>
  <si>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</si>
  <si>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</si>
  <si>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</si>
  <si>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</si>
  <si>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</si>
  <si>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</si>
  <si>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</si>
  <si>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</si>
  <si>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</si>
  <si>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</si>
  <si>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</si>
  <si>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</si>
  <si>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</si>
  <si>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</si>
  <si>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</si>
  <si>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</si>
  <si>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</si>
  <si>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</si>
  <si>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</si>
  <si>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</si>
  <si>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</si>
  <si>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</si>
  <si>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</si>
  <si>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</si>
  <si>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</si>
  <si>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</si>
  <si>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</si>
  <si>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</si>
  <si>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</si>
  <si>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</si>
  <si>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</si>
  <si>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</si>
  <si>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</si>
  <si>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</si>
  <si>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</si>
  <si>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</si>
  <si>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</si>
  <si>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</si>
  <si>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</si>
  <si>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</si>
  <si>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</si>
  <si>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</si>
  <si>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</si>
  <si>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</si>
  <si>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</si>
  <si>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</si>
  <si>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</si>
  <si>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</si>
  <si>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</si>
  <si>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</si>
  <si>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</si>
  <si>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</si>
  <si>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</si>
  <si>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</si>
  <si>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</si>
  <si>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</si>
  <si>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</si>
  <si>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</si>
  <si>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</si>
  <si>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</si>
  <si>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</si>
  <si>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</si>
  <si>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</si>
  <si>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</si>
  <si>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</si>
  <si>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</si>
  <si>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</si>
  <si>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</si>
  <si>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</si>
  <si>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</si>
  <si>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</si>
  <si>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</si>
  <si>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</si>
  <si>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</si>
  <si>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</si>
  <si>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</si>
  <si>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</si>
  <si>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</si>
  <si>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</si>
  <si>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</si>
  <si>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</si>
  <si>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</si>
  <si>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</si>
  <si>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</si>
  <si>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</si>
  <si>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</si>
  <si>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</si>
  <si>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</si>
  <si>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</si>
  <si>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</si>
  <si>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</si>
  <si>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</si>
  <si>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</si>
  <si>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</si>
  <si>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</si>
  <si>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</si>
  <si>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</si>
  <si>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</si>
  <si>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</si>
  <si>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</si>
  <si>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</si>
  <si>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</si>
  <si>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</si>
  <si>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</si>
  <si>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</si>
  <si>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</si>
  <si>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</si>
  <si>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</si>
  <si>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</si>
  <si>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</si>
  <si>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</si>
  <si>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</si>
  <si>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</si>
  <si>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</si>
  <si>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</si>
  <si>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</si>
  <si>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</si>
  <si>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</si>
  <si>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</si>
  <si>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</si>
  <si>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</si>
  <si>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</si>
  <si>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</si>
  <si>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</si>
  <si>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</si>
  <si>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</si>
  <si>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</si>
  <si>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</si>
  <si>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</si>
  <si>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</si>
  <si>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</si>
  <si>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</si>
  <si>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</si>
  <si>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</si>
  <si>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</si>
  <si>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</si>
  <si>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</si>
  <si>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</si>
  <si>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</si>
  <si>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</si>
  <si>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</si>
  <si>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</si>
  <si>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</si>
  <si>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</si>
  <si>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</si>
  <si>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</si>
  <si>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</si>
  <si>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</si>
  <si>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</si>
  <si>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</si>
  <si>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</si>
  <si>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</si>
  <si>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</si>
  <si>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</si>
  <si>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</si>
  <si>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</si>
  <si>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</si>
  <si>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</si>
  <si>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</si>
  <si>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</si>
  <si>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</si>
  <si>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</si>
  <si>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</si>
  <si>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</si>
  <si>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</si>
  <si>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</si>
  <si>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</si>
  <si>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</si>
  <si>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</si>
  <si>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</si>
  <si>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</si>
  <si>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</si>
  <si>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</si>
  <si>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</si>
  <si>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</si>
  <si>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</si>
  <si>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</si>
  <si>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</si>
  <si>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</si>
  <si>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</si>
  <si>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</si>
  <si>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</si>
  <si>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</si>
  <si>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</si>
  <si>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</si>
  <si>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</si>
  <si>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</si>
  <si>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</si>
  <si>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</si>
  <si>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</si>
  <si>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</si>
  <si>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</si>
  <si>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</si>
  <si>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</si>
  <si>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</si>
  <si>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</si>
  <si>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</si>
  <si>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</si>
  <si>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</si>
  <si>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</si>
  <si>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</si>
  <si>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</si>
  <si>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</si>
  <si>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</si>
  <si>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</si>
  <si>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</si>
  <si>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</si>
  <si>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</si>
  <si>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</si>
  <si>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</si>
  <si>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</si>
  <si>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</si>
  <si>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</si>
  <si>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</si>
  <si>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</si>
  <si>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</si>
  <si>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</si>
  <si>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</si>
  <si>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</si>
  <si>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</si>
  <si>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</si>
  <si>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</si>
  <si>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</si>
  <si>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</si>
  <si>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</si>
  <si>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</si>
  <si>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</si>
  <si>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</si>
  <si>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</si>
  <si>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</si>
  <si>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</si>
  <si>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</si>
  <si>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</si>
  <si>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</si>
  <si>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</si>
  <si>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</si>
  <si>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</si>
  <si>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</si>
  <si>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</si>
  <si>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</si>
  <si>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</si>
  <si>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</si>
  <si>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</si>
  <si>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</si>
  <si>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</si>
  <si>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</si>
  <si>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</si>
  <si>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</si>
  <si>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</si>
  <si>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</si>
  <si>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</si>
  <si>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</si>
  <si>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</si>
  <si>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</si>
  <si>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</si>
  <si>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</si>
  <si>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</si>
  <si>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</si>
  <si>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</si>
  <si>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</si>
  <si>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</si>
  <si>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</si>
  <si>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</si>
  <si>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</si>
  <si>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</si>
  <si>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</si>
  <si>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</si>
  <si>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</si>
  <si>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</si>
  <si>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</si>
  <si>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</si>
  <si>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</si>
  <si>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</si>
  <si>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</si>
  <si>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</si>
  <si>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</si>
  <si>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</si>
  <si>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</si>
  <si>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</si>
  <si>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</si>
  <si>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</si>
  <si>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</si>
  <si>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</si>
  <si>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</si>
  <si>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</si>
  <si>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</si>
  <si>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</si>
  <si>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</si>
  <si>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</si>
  <si>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</si>
  <si>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</si>
  <si>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</si>
  <si>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</si>
  <si>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</si>
  <si>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</si>
  <si>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</si>
  <si>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</si>
  <si>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</si>
  <si>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</si>
  <si>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</si>
  <si>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</si>
  <si>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</si>
  <si>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</si>
  <si>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</si>
  <si>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</si>
  <si>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</si>
  <si>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</si>
  <si>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</si>
  <si>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</si>
  <si>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</si>
  <si>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</si>
  <si>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</si>
  <si>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</si>
  <si>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</si>
  <si>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</si>
  <si>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</si>
  <si>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</si>
  <si>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</si>
  <si>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</si>
  <si>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</si>
  <si>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</si>
  <si>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</si>
  <si>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</si>
  <si>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</si>
  <si>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</si>
  <si>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</si>
  <si>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</si>
  <si>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</si>
  <si>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</si>
  <si>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</si>
  <si>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</si>
  <si>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</si>
  <si>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</si>
  <si>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</si>
  <si>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</si>
  <si>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</si>
  <si>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</si>
  <si>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</si>
  <si>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</si>
  <si>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</si>
  <si>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</si>
  <si>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</si>
  <si>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</si>
  <si>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</si>
  <si>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</si>
  <si>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</si>
  <si>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</si>
  <si>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</si>
  <si>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</si>
  <si>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</si>
  <si>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</si>
  <si>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</si>
  <si>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</si>
  <si>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</si>
  <si>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</si>
  <si>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</si>
  <si>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</si>
  <si>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</si>
  <si>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</si>
  <si>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</si>
  <si>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</si>
  <si>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</si>
  <si>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</si>
  <si>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</si>
  <si>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</si>
  <si>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</si>
  <si>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</si>
  <si>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</si>
  <si>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</si>
  <si>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</si>
  <si>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</si>
  <si>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</si>
  <si>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</si>
  <si>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</si>
  <si>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</si>
  <si>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</si>
  <si>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</si>
  <si>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</si>
  <si>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</si>
  <si>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</si>
  <si>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</si>
  <si>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</si>
  <si>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</si>
  <si>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</si>
  <si>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</si>
  <si>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</si>
  <si>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</si>
  <si>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</si>
  <si>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</si>
  <si>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</si>
  <si>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</si>
  <si>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</si>
  <si>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</si>
  <si>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</si>
  <si>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</si>
  <si>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</si>
  <si>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</si>
  <si>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</si>
  <si>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</si>
  <si>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</si>
  <si>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</si>
  <si>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</si>
  <si>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</si>
  <si>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</si>
  <si>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</si>
  <si>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</si>
  <si>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</si>
  <si>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</si>
  <si>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</si>
  <si>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</si>
  <si>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</si>
  <si>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</si>
  <si>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</si>
  <si>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</si>
  <si>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</si>
  <si>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</si>
  <si>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</si>
  <si>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</si>
  <si>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</si>
  <si>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</si>
  <si>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</si>
  <si>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</si>
  <si>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</si>
  <si>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</si>
  <si>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</si>
  <si>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</si>
  <si>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</si>
  <si>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</si>
  <si>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</si>
  <si>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</si>
  <si>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</si>
  <si>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</si>
  <si>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</si>
  <si>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</si>
  <si>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</si>
  <si>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</si>
  <si>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</si>
  <si>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</si>
  <si>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</si>
  <si>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</si>
  <si>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</si>
  <si>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</si>
  <si>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</si>
  <si>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</si>
  <si>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</si>
  <si>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</si>
  <si>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</si>
  <si>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</si>
  <si>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</si>
  <si>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</si>
  <si>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</si>
  <si>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</si>
  <si>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</si>
  <si>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</si>
  <si>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</si>
  <si>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</si>
  <si>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</si>
  <si>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</si>
  <si>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</si>
  <si>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</si>
  <si>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</si>
  <si>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</si>
  <si>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</si>
  <si>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</si>
  <si>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</si>
  <si>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</si>
  <si>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</si>
  <si>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</si>
  <si>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</si>
  <si>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</si>
  <si>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</si>
  <si>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</si>
  <si>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</si>
  <si>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</si>
  <si>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</si>
  <si>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</si>
  <si>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</si>
  <si>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</si>
  <si>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</si>
  <si>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</si>
  <si>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</si>
  <si>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</si>
  <si>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</si>
  <si>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</si>
  <si>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</si>
  <si>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</si>
  <si>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</si>
  <si>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</si>
  <si>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</si>
  <si>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</si>
  <si>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</si>
  <si>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</si>
  <si>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</si>
  <si>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</si>
  <si>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</si>
  <si>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</si>
  <si>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</si>
  <si>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</si>
  <si>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</si>
  <si>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</si>
  <si>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</si>
  <si>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</si>
  <si>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</si>
  <si>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</si>
  <si>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</si>
  <si>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</si>
  <si>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</si>
  <si>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</si>
  <si>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</si>
  <si>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</si>
  <si>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</si>
  <si>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</si>
  <si>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</si>
  <si>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</si>
  <si>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</si>
  <si>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</si>
  <si>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</si>
  <si>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</si>
  <si>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</si>
  <si>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</si>
  <si>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</si>
  <si>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</si>
  <si>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</si>
  <si>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</si>
  <si>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</si>
  <si>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</si>
  <si>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</si>
  <si>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</si>
  <si>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</si>
  <si>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</si>
  <si>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</si>
  <si>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</si>
  <si>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</si>
  <si>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</si>
  <si>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</si>
  <si>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</si>
  <si>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</si>
  <si>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</si>
  <si>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</si>
  <si>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</si>
  <si>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</si>
  <si>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</si>
  <si>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</si>
  <si>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</si>
  <si>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</si>
  <si>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</si>
  <si>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</si>
  <si>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</si>
  <si>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</si>
  <si>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</si>
  <si>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</si>
  <si>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</si>
  <si>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</si>
  <si>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</si>
  <si>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</si>
  <si>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</si>
  <si>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</si>
  <si>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</si>
  <si>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</si>
  <si>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</si>
  <si>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</si>
  <si>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</si>
  <si>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</si>
  <si>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</si>
  <si>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</si>
  <si>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</si>
  <si>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</si>
  <si>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</si>
  <si>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</si>
  <si>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</si>
  <si>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</si>
  <si>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</si>
  <si>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</si>
  <si>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</si>
  <si>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</si>
  <si>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</si>
  <si>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</si>
  <si>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</si>
  <si>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</si>
  <si>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</si>
  <si>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</si>
  <si>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</si>
  <si>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</si>
  <si>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</si>
  <si>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</si>
  <si>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</si>
  <si>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</si>
  <si>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</si>
  <si>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</si>
  <si>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</si>
  <si>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</si>
  <si>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</si>
  <si>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</si>
  <si>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</si>
  <si>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</si>
  <si>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</si>
  <si>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</si>
  <si>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</si>
  <si>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</si>
  <si>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</si>
  <si>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</si>
  <si>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</si>
  <si>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</si>
  <si>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</si>
  <si>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</si>
  <si>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</si>
  <si>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</si>
  <si>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</si>
  <si>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</si>
  <si>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</si>
  <si>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</si>
  <si>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</si>
  <si>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</si>
  <si>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</si>
  <si>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</si>
  <si>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</si>
  <si>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</si>
  <si>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</si>
  <si>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</si>
  <si>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</si>
  <si>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</si>
  <si>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</si>
  <si>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</si>
  <si>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</si>
  <si>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</si>
  <si>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</si>
  <si>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</si>
  <si>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</si>
  <si>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</si>
  <si>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</si>
  <si>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</si>
  <si>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</si>
  <si>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</si>
  <si>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</si>
  <si>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</si>
  <si>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</si>
  <si>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</si>
  <si>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</si>
  <si>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</si>
  <si>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</si>
  <si>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</si>
  <si>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</si>
  <si>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</si>
  <si>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</si>
  <si>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</si>
  <si>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</si>
  <si>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</si>
  <si>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</si>
  <si>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</si>
  <si>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</si>
  <si>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</si>
  <si>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</si>
  <si>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</si>
  <si>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</si>
  <si>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</si>
  <si>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</si>
  <si>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</si>
  <si>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</si>
  <si>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</si>
  <si>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</si>
  <si>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</si>
  <si>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</si>
  <si>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</si>
  <si>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</si>
  <si>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</si>
  <si>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</si>
  <si>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</si>
  <si>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</si>
  <si>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</si>
  <si>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</si>
  <si>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</si>
  <si>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</si>
  <si>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</si>
  <si>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</si>
  <si>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</si>
  <si>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</si>
  <si>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</si>
  <si>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</si>
  <si>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</si>
  <si>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</si>
  <si>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</si>
  <si>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</si>
  <si>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</si>
  <si>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</si>
  <si>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</si>
  <si>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</si>
  <si>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</si>
  <si>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</si>
  <si>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</si>
  <si>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</si>
  <si>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</si>
  <si>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</si>
  <si>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</si>
  <si>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</si>
  <si>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</si>
  <si>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</si>
  <si>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</si>
  <si>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</si>
  <si>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</si>
  <si>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</si>
  <si>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</si>
  <si>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</si>
  <si>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</si>
  <si>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</si>
  <si>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</si>
  <si>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</si>
  <si>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</si>
  <si>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</si>
  <si>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</si>
  <si>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</si>
  <si>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</si>
  <si>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</si>
  <si>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</si>
  <si>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</si>
  <si>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</si>
  <si>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</si>
  <si>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</si>
  <si>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</si>
  <si>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</si>
  <si>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</si>
  <si>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</si>
  <si>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</si>
  <si>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</si>
  <si>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</si>
  <si>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</si>
  <si>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</si>
  <si>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</si>
  <si>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</si>
  <si>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</si>
  <si>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</si>
  <si>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</si>
  <si>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</si>
  <si>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</si>
  <si>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</si>
  <si>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</si>
  <si>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</si>
  <si>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</si>
  <si>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</si>
  <si>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</si>
  <si>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</si>
  <si>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</si>
  <si>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</si>
  <si>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</si>
  <si>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</si>
  <si>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</si>
  <si>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</si>
  <si>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</si>
  <si>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</si>
  <si>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</si>
  <si>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</si>
  <si>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</si>
  <si>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</si>
  <si>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</si>
  <si>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</si>
  <si>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</si>
  <si>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</si>
  <si>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</si>
  <si>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</si>
  <si>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</si>
  <si>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</si>
  <si>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</si>
  <si>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</si>
  <si>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</si>
  <si>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</si>
  <si>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</si>
  <si>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</si>
  <si>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</si>
  <si>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</si>
  <si>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</si>
  <si>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</si>
  <si>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</si>
  <si>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</si>
  <si>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</si>
  <si>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</si>
  <si>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</si>
  <si>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</si>
  <si>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</si>
  <si>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</si>
  <si>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</si>
  <si>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</si>
  <si>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</si>
  <si>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</si>
  <si>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</si>
  <si>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</si>
  <si>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</si>
  <si>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</si>
  <si>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</si>
  <si>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</si>
  <si>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</si>
  <si>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</si>
  <si>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</si>
  <si>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</si>
  <si>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</si>
  <si>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</si>
  <si>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</si>
  <si>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</si>
  <si>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</si>
  <si>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</si>
  <si>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</si>
  <si>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</si>
  <si>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</si>
  <si>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</si>
  <si>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</si>
  <si>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</si>
  <si>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</si>
  <si>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</si>
  <si>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</si>
  <si>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</si>
  <si>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</si>
  <si>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</si>
  <si>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</si>
  <si>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</si>
  <si>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</si>
  <si>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</si>
  <si>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</si>
  <si>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</si>
  <si>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</si>
  <si>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</si>
  <si>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</si>
  <si>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</si>
  <si>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</si>
  <si>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</si>
  <si>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</si>
  <si>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</si>
  <si>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</si>
  <si>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</si>
  <si>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</si>
  <si>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</si>
  <si>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</si>
  <si>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</si>
  <si>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</si>
  <si>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</si>
  <si>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</si>
  <si>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</si>
  <si>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</si>
  <si>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</si>
  <si>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</si>
  <si>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</si>
  <si>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</si>
  <si>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</si>
  <si>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</si>
  <si>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</si>
  <si>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</si>
  <si>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</si>
  <si>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</si>
  <si>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</si>
  <si>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</si>
  <si>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</si>
  <si>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</si>
  <si>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</si>
  <si>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</si>
  <si>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</si>
  <si>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</si>
  <si>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</si>
  <si>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</si>
  <si>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</si>
  <si>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</si>
  <si>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</si>
  <si>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</si>
  <si>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</si>
  <si>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</si>
  <si>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</si>
  <si>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</si>
  <si>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</si>
  <si>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</si>
  <si>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</si>
  <si>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</si>
  <si>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</si>
  <si>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</si>
  <si>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</si>
  <si>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</si>
  <si>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</si>
  <si>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</si>
  <si>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</si>
  <si>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</si>
  <si>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</si>
  <si>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</si>
  <si>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</si>
  <si>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</si>
  <si>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</si>
  <si>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</si>
  <si>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</si>
  <si>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</si>
  <si>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</si>
  <si>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</si>
  <si>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</si>
  <si>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</si>
  <si>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</si>
  <si>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</si>
  <si>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</si>
  <si>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</si>
  <si>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</si>
  <si>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</si>
  <si>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</si>
  <si>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</si>
  <si>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</si>
  <si>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</si>
  <si>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</si>
  <si>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</si>
  <si>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</si>
  <si>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</si>
  <si>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</si>
  <si>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</si>
  <si>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</si>
  <si>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</si>
  <si>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</si>
  <si>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</si>
  <si>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</si>
  <si>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</si>
  <si>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</si>
  <si>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</si>
  <si>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</si>
  <si>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</si>
  <si>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</si>
  <si>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</si>
  <si>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</si>
  <si>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</si>
  <si>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</si>
  <si>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</si>
  <si>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</si>
  <si>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</si>
  <si>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</si>
  <si>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</si>
  <si>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</si>
  <si>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</si>
  <si>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</si>
  <si>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</si>
  <si>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</si>
  <si>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</si>
  <si>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</si>
  <si>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</si>
  <si>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</si>
  <si>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</si>
  <si>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</si>
  <si>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</si>
  <si>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</si>
  <si>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</si>
  <si>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</si>
  <si>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</si>
  <si>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</si>
  <si>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</si>
  <si>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</si>
  <si>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</si>
  <si>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</si>
  <si>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</si>
  <si>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</si>
  <si>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</si>
  <si>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</si>
  <si>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</si>
  <si>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</si>
  <si>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</si>
  <si>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</si>
  <si>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</si>
  <si>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</si>
  <si>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</si>
  <si>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</si>
  <si>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</si>
  <si>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</si>
  <si>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</si>
  <si>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</si>
  <si>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</si>
  <si>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</si>
  <si>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</si>
  <si>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</si>
  <si>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</si>
  <si>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</si>
  <si>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</si>
  <si>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</si>
  <si>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</si>
  <si>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</si>
  <si>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</si>
  <si>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</si>
  <si>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</si>
  <si>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</si>
  <si>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</si>
  <si>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</si>
  <si>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</si>
  <si>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</si>
  <si>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</si>
  <si>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</si>
  <si>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</si>
  <si>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</si>
  <si>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</si>
  <si>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</si>
  <si>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</si>
  <si>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</si>
  <si>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</si>
  <si>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</si>
  <si>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</si>
  <si>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</si>
  <si>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</si>
  <si>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</si>
  <si>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</si>
  <si>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</si>
  <si>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</si>
  <si>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</si>
  <si>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</si>
  <si>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</si>
  <si>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</si>
  <si>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</si>
  <si>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</si>
  <si>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</si>
  <si>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</si>
  <si>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</si>
  <si>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</si>
  <si>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</si>
  <si>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</si>
  <si>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</si>
  <si>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</si>
  <si>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</si>
  <si>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</si>
  <si>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</si>
  <si>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</si>
  <si>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</si>
  <si>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</si>
  <si>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</si>
  <si>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</si>
  <si>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</si>
  <si>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</si>
  <si>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</si>
  <si>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</si>
  <si>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</si>
  <si>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</si>
  <si>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</si>
  <si>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</si>
  <si>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</si>
  <si>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</si>
  <si>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</si>
  <si>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</si>
  <si>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</si>
  <si>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</si>
  <si>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</si>
  <si>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</si>
  <si>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</si>
  <si>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</si>
  <si>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</si>
  <si>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</si>
  <si>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</si>
  <si>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</si>
  <si>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</si>
  <si>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</si>
  <si>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</si>
  <si>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</si>
  <si>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</si>
  <si>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</si>
  <si>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</si>
  <si>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</si>
  <si>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</si>
  <si>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</si>
  <si>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</si>
  <si>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</si>
  <si>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</si>
  <si>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</si>
  <si>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</si>
  <si>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</si>
  <si>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</si>
  <si>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</si>
  <si>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</si>
  <si>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</si>
  <si>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</si>
  <si>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</si>
  <si>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</si>
  <si>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</si>
  <si>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</si>
  <si>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</si>
  <si>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</si>
  <si>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</si>
  <si>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</si>
  <si>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</si>
  <si>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</si>
  <si>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</si>
  <si>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</si>
  <si>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</si>
  <si>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</si>
  <si>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</si>
  <si>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</si>
  <si>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</si>
  <si>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</si>
  <si>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</si>
  <si>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</si>
  <si>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</si>
  <si>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</si>
  <si>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</si>
  <si>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</si>
  <si>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</si>
  <si>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</si>
  <si>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</si>
  <si>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</si>
  <si>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</si>
  <si>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</si>
  <si>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</si>
  <si>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</si>
  <si>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</si>
  <si>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</si>
  <si>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</si>
  <si>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</si>
  <si>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</si>
  <si>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</si>
  <si>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</si>
  <si>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</si>
  <si>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</si>
  <si>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</si>
  <si>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</si>
  <si>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</si>
  <si>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</si>
  <si>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</si>
  <si>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</si>
  <si>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</si>
  <si>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</si>
  <si>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</si>
  <si>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</si>
  <si>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</si>
  <si>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</si>
  <si>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</si>
  <si>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</si>
  <si>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</si>
  <si>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</si>
  <si>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</si>
  <si>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</si>
  <si>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</si>
  <si>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</si>
  <si>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</si>
  <si>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</si>
  <si>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</si>
  <si>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</si>
  <si>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</si>
  <si>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</si>
  <si>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</si>
  <si>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</si>
  <si>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</si>
  <si>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</si>
  <si>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</si>
  <si>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</si>
  <si>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</si>
  <si>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</si>
  <si>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</si>
  <si>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</si>
  <si>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</si>
  <si>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</si>
  <si>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</si>
  <si>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</si>
  <si>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</si>
  <si>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</si>
  <si>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</si>
  <si>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</si>
  <si>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</si>
  <si>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</si>
  <si>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</si>
  <si>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</si>
  <si>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</si>
  <si>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</si>
  <si>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</si>
  <si>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</si>
  <si>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</si>
  <si>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</si>
  <si>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</si>
  <si>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</si>
  <si>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</si>
  <si>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</si>
  <si>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</si>
  <si>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</si>
  <si>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</si>
  <si>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</si>
  <si>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</si>
  <si>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</si>
  <si>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</si>
  <si>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</si>
  <si>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</si>
  <si>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</si>
  <si>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</si>
  <si>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</si>
  <si>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</si>
  <si>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</si>
  <si>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</si>
  <si>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</si>
  <si>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</si>
  <si>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</si>
  <si>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</si>
  <si>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</si>
  <si>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</si>
  <si>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</si>
  <si>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</si>
  <si>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</si>
  <si>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</si>
  <si>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</si>
  <si>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</si>
  <si>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</si>
  <si>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</si>
  <si>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</si>
  <si>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</si>
  <si>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</si>
  <si>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</si>
  <si>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</si>
  <si>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</si>
  <si>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</si>
  <si>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</si>
  <si>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</si>
  <si>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</si>
  <si>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</si>
  <si>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</si>
  <si>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</si>
  <si>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</si>
  <si>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</si>
  <si>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</si>
  <si>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</si>
  <si>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</si>
  <si>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</si>
  <si>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</si>
  <si>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</si>
  <si>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</si>
  <si>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</si>
  <si>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</si>
  <si>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</si>
  <si>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</si>
  <si>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</si>
  <si>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</si>
  <si>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</si>
  <si>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</si>
  <si>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</si>
  <si>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</si>
  <si>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</si>
  <si>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</si>
  <si>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</si>
  <si>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</si>
  <si>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</si>
  <si>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</si>
  <si>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</si>
  <si>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</si>
  <si>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</si>
  <si>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</si>
  <si>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</si>
  <si>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</si>
  <si>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</si>
  <si>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</si>
  <si>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</si>
  <si>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</si>
  <si>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</si>
  <si>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</si>
  <si>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</si>
  <si>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</si>
  <si>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</si>
  <si>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</si>
  <si>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</si>
  <si>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</si>
  <si>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</si>
  <si>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</si>
  <si>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</si>
  <si>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</si>
  <si>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</si>
  <si>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</si>
  <si>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</si>
  <si>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</si>
  <si>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</si>
  <si>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</si>
  <si>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</si>
  <si>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</si>
  <si>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</si>
  <si>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</si>
  <si>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</si>
  <si>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</si>
  <si>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</si>
  <si>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</si>
  <si>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</si>
  <si>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</si>
  <si>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</si>
  <si>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</si>
  <si>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</si>
  <si>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</si>
  <si>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</si>
  <si>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</si>
  <si>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</si>
  <si>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</si>
  <si>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</si>
  <si>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</si>
  <si>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</si>
  <si>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</si>
  <si>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</si>
  <si>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</si>
  <si>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</si>
  <si>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</si>
  <si>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</si>
  <si>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</si>
  <si>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</si>
  <si>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</si>
  <si>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</si>
  <si>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</si>
  <si>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</si>
  <si>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</si>
  <si>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</si>
  <si>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</si>
  <si>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</si>
  <si>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</si>
  <si>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</si>
  <si>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</si>
  <si>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</si>
  <si>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</si>
  <si>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</si>
  <si>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</si>
  <si>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</si>
  <si>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</si>
  <si>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</si>
  <si>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</si>
  <si>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</si>
  <si>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</si>
  <si>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</si>
  <si>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</si>
  <si>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</si>
  <si>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</si>
  <si>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</si>
  <si>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</si>
  <si>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</si>
  <si>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</si>
  <si>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</si>
  <si>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</si>
  <si>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</si>
  <si>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</si>
  <si>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</si>
  <si>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</si>
  <si>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</si>
  <si>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</si>
  <si>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</si>
  <si>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</si>
  <si>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</si>
  <si>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</si>
  <si>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</si>
  <si>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</si>
  <si>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</si>
  <si>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</si>
  <si>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</si>
  <si>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</si>
  <si>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</si>
  <si>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</si>
  <si>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</si>
  <si>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</si>
  <si>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</si>
  <si>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</si>
  <si>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</si>
  <si>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</si>
  <si>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</si>
  <si>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</si>
  <si>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</si>
  <si>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</si>
  <si>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</si>
  <si>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</si>
  <si>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</si>
  <si>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</si>
  <si>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</si>
  <si>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</si>
  <si>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</si>
  <si>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</si>
  <si>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</si>
  <si>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</si>
  <si>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</si>
  <si>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</si>
  <si>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</si>
  <si>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</si>
  <si>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</si>
  <si>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</si>
  <si>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</si>
  <si>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</si>
  <si>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</si>
  <si>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</si>
  <si>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</si>
  <si>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</si>
  <si>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</si>
  <si>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</si>
  <si>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</si>
  <si>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</si>
  <si>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</si>
  <si>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</si>
  <si>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</si>
  <si>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</si>
  <si>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</si>
  <si>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</si>
  <si>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</si>
  <si>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</si>
  <si>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</si>
  <si>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</si>
  <si>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</si>
  <si>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</si>
  <si>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</si>
  <si>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</si>
  <si>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</si>
  <si>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</si>
  <si>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</si>
  <si>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</si>
  <si>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</si>
  <si>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</si>
  <si>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</si>
  <si>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</si>
  <si>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</si>
  <si>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</si>
  <si>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</si>
  <si>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</si>
  <si>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</si>
  <si>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</si>
  <si>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</si>
  <si>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</si>
  <si>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</si>
  <si>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</si>
  <si>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</si>
  <si>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</si>
  <si>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</si>
  <si>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Kingdom Development, Inc.</t>
  </si>
  <si>
    <t xml:space="preserve">William Leach </t>
  </si>
  <si>
    <t>President</t>
  </si>
  <si>
    <t>Town of Paradise</t>
  </si>
  <si>
    <t>5555 Skyway</t>
  </si>
  <si>
    <t>Paradise</t>
  </si>
  <si>
    <t>(530)872-6291</t>
  </si>
  <si>
    <t>6480 Clark Road</t>
  </si>
  <si>
    <t>050-200-010, 050-200-154, 050-200-157, 050-200-158</t>
  </si>
  <si>
    <t>40%/60%</t>
  </si>
  <si>
    <t>6451 Box Springs Blvd</t>
  </si>
  <si>
    <t>CA</t>
  </si>
  <si>
    <t>William Leach</t>
  </si>
  <si>
    <t>(951) 538-6244</t>
  </si>
  <si>
    <t>William@kingdomdevelopment.net</t>
  </si>
  <si>
    <t>Administrative GP</t>
  </si>
  <si>
    <t>Managing GP</t>
  </si>
  <si>
    <t>Kingdom CE, LLC</t>
  </si>
  <si>
    <t xml:space="preserve">Kingdom Development, Inc. </t>
  </si>
  <si>
    <t>Zen Development, LLC</t>
  </si>
  <si>
    <t>222 Redwood Drive</t>
  </si>
  <si>
    <t>Zen Sawyer</t>
  </si>
  <si>
    <t>(818) 653-3899</t>
  </si>
  <si>
    <t>Zen@zendevelopment.org</t>
  </si>
  <si>
    <t>General Partner/ Applicant/ Consultant</t>
  </si>
  <si>
    <t>Derra Design</t>
  </si>
  <si>
    <t>23335 N. 18th Drive, Suite 120</t>
  </si>
  <si>
    <t>Phoenix, AZ 85027</t>
  </si>
  <si>
    <t>William Atkins</t>
  </si>
  <si>
    <t>(951) 529-1710</t>
  </si>
  <si>
    <t>bill.atkins@derradesign.com</t>
  </si>
  <si>
    <t xml:space="preserve">Goldfarb &amp; Lipman </t>
  </si>
  <si>
    <t>1300 Clay Street 11th Floor</t>
  </si>
  <si>
    <t>Oakland CA 94612</t>
  </si>
  <si>
    <t>Robert C. Mills</t>
  </si>
  <si>
    <t>(510) 836-6336</t>
  </si>
  <si>
    <t>RMills@goldfarblipman.com</t>
  </si>
  <si>
    <t>Sunseri Construction, Inc.</t>
  </si>
  <si>
    <t>48 Comanche Court</t>
  </si>
  <si>
    <t>Chico, CA 95928</t>
  </si>
  <si>
    <t>Donny Lieberman</t>
  </si>
  <si>
    <t>(916)-919-6800</t>
  </si>
  <si>
    <t>dl@sunsericonstruction.com</t>
  </si>
  <si>
    <t>TBD</t>
  </si>
  <si>
    <t>NovoGradac &amp; Company LLP</t>
  </si>
  <si>
    <t>1300 114th Ave SE Suite 240</t>
  </si>
  <si>
    <t>Bellevue, WA 98004</t>
  </si>
  <si>
    <t>Thomas Stagg, CPA, HCCP</t>
  </si>
  <si>
    <t>(425) 519-1234</t>
  </si>
  <si>
    <t>Thomas.Stagg@novoco.com</t>
  </si>
  <si>
    <t>CREA</t>
  </si>
  <si>
    <t>12396 Wold Trade Dr Suite 307</t>
  </si>
  <si>
    <t>San Diego, CA 9218</t>
  </si>
  <si>
    <t>Matt Marientahl</t>
  </si>
  <si>
    <t>(858)386-5198</t>
  </si>
  <si>
    <t>mmarienthal@creallc.com</t>
  </si>
  <si>
    <t>6451 Box Springs Blvd.</t>
  </si>
  <si>
    <t>Riverside, CA, 92507</t>
  </si>
  <si>
    <t xml:space="preserve">Raney Planning </t>
  </si>
  <si>
    <t>1501 Sports Drive, Suite A</t>
  </si>
  <si>
    <t>Sacramento, CA, 95834</t>
  </si>
  <si>
    <t>Stefanie Williams</t>
  </si>
  <si>
    <t>swilliams@laurinassociates.com</t>
  </si>
  <si>
    <t>Novogradac</t>
  </si>
  <si>
    <t>6700 Antioch Road, Suite 450</t>
  </si>
  <si>
    <t>Merriam, Kansas, 66204</t>
  </si>
  <si>
    <t>Rachel Denton</t>
  </si>
  <si>
    <t>(913) 312-4612</t>
  </si>
  <si>
    <t>Rachel.Denton@novoco.com</t>
  </si>
  <si>
    <t>The John Stewart Company</t>
  </si>
  <si>
    <t>1388 Sutter Street 11th Floor</t>
  </si>
  <si>
    <t>San Francisco, CA 95109</t>
  </si>
  <si>
    <t>Tracy Esposito</t>
  </si>
  <si>
    <t>(415) 345-4400</t>
  </si>
  <si>
    <t>tesposito@jsco.net</t>
  </si>
  <si>
    <t>WLM Construction, Inc</t>
  </si>
  <si>
    <t>Ann Martin</t>
  </si>
  <si>
    <t>Authorized Signer</t>
  </si>
  <si>
    <t xml:space="preserve">5822 Acorn Ridge Drive </t>
  </si>
  <si>
    <t>Paradise CA 95969</t>
  </si>
  <si>
    <t xml:space="preserve">(530) 520-5178  </t>
  </si>
  <si>
    <t>One or Two Story Garden</t>
  </si>
  <si>
    <t>TC - Town- Commercial</t>
  </si>
  <si>
    <t>Community Commercial &lt;/= 10 units per acre</t>
  </si>
  <si>
    <t>TR 1/3 and CC</t>
  </si>
  <si>
    <t>maximum of 35 ft</t>
  </si>
  <si>
    <t>CDBG</t>
  </si>
  <si>
    <t>Citibank - Construction Loan</t>
  </si>
  <si>
    <t>Fixed</t>
  </si>
  <si>
    <t>Deferred Cost</t>
  </si>
  <si>
    <t>325 E. Hillcrest Dr, Ste 160</t>
  </si>
  <si>
    <t>Thousand Oaks, CA 91360</t>
  </si>
  <si>
    <t>Mike Hemmens, Vice President</t>
  </si>
  <si>
    <t>(805) 557-0933</t>
  </si>
  <si>
    <t>Conventional Loan</t>
  </si>
  <si>
    <t>Equity</t>
  </si>
  <si>
    <t>222 Redwood Dr</t>
  </si>
  <si>
    <t>Perm Loan- Citi Bank</t>
  </si>
  <si>
    <t>CDBG-DRMHP</t>
  </si>
  <si>
    <t>Deferred Developer fee</t>
  </si>
  <si>
    <t>Michael Hemmens, Vice President</t>
  </si>
  <si>
    <t>2020 W. El Camino Ave, Ste 200</t>
  </si>
  <si>
    <t>Sacramento, CA 95833</t>
  </si>
  <si>
    <t>Stacy Rodgers</t>
  </si>
  <si>
    <t>(916) 263-2771</t>
  </si>
  <si>
    <t>A/C</t>
  </si>
  <si>
    <t>Housing Authority of the County of Butte</t>
  </si>
  <si>
    <t>HA of County of Butte</t>
  </si>
  <si>
    <t>Project-based vouchers (PBVs)</t>
  </si>
  <si>
    <t>Project base vouchers and CDGB</t>
  </si>
  <si>
    <t>Supplies</t>
  </si>
  <si>
    <t>Bond issuance</t>
  </si>
  <si>
    <t>Bridge Loan Interest/Legal</t>
  </si>
  <si>
    <t>CDBG-DR</t>
  </si>
  <si>
    <t>1 bedroom</t>
  </si>
  <si>
    <t>2 bedroom</t>
  </si>
  <si>
    <t>3 bedroom</t>
  </si>
  <si>
    <t>Save Mart</t>
  </si>
  <si>
    <t>6636 Clark Road</t>
  </si>
  <si>
    <t>Paradise, 95969</t>
  </si>
  <si>
    <t>Manager on Duty</t>
  </si>
  <si>
    <t>(530)877-0522</t>
  </si>
  <si>
    <t>https://savemart.com/?utm_source=google&amp;utm_medium=organic&amp;utm_campaign=maps</t>
  </si>
  <si>
    <t>Butte Regional Transit</t>
  </si>
  <si>
    <t>326  Huss Drive #125</t>
  </si>
  <si>
    <t>Chico, 95928</t>
  </si>
  <si>
    <t>Sara Cain</t>
  </si>
  <si>
    <t>(530)342-0221</t>
  </si>
  <si>
    <t>https://www.blinetransit.com/</t>
  </si>
  <si>
    <t>Moore Road Ballpark</t>
  </si>
  <si>
    <t xml:space="preserve">6705 Moore, Rd </t>
  </si>
  <si>
    <t>(530)872-6393</t>
  </si>
  <si>
    <t>https://www.paradiseprpd.com/moore-road-ball-park-lezlie-morrow-memorial-dog-park-horse-arena</t>
  </si>
  <si>
    <t>Butte County Library, Paradise Branch</t>
  </si>
  <si>
    <t>5922 Clark Rd</t>
  </si>
  <si>
    <t>Manager on duty</t>
  </si>
  <si>
    <t>(530)552-5652</t>
  </si>
  <si>
    <t>https://www.buttecounty.net/1663/Locations-Hours-and-Contacts</t>
  </si>
  <si>
    <t xml:space="preserve">Paradise Ridge elementary FKA Ponderosa </t>
  </si>
  <si>
    <t>6593 Pentz Road</t>
  </si>
  <si>
    <t>Edward Gregorio</t>
  </si>
  <si>
    <t>(530)872-6415</t>
  </si>
  <si>
    <t>http://pres.pusdk12.org/</t>
  </si>
  <si>
    <t>Walgreens</t>
  </si>
  <si>
    <t>7576 Skyway</t>
  </si>
  <si>
    <t>(530)876-8222</t>
  </si>
  <si>
    <t>https://www.walgreens.com/findcare/services?ext=gmb</t>
  </si>
  <si>
    <t>June</t>
  </si>
  <si>
    <t>Ofice expenses</t>
  </si>
  <si>
    <t>January 29,2024</t>
  </si>
  <si>
    <t>Woodacre, CA 94973</t>
  </si>
  <si>
    <t>Dennis Ivey - Assistant Town Manager</t>
  </si>
  <si>
    <t>divey@townofparadise.com</t>
  </si>
  <si>
    <t>Woodacre</t>
  </si>
  <si>
    <t>Woodacre, CA, 94973</t>
  </si>
  <si>
    <t>Tax Credit Equity - CREA</t>
  </si>
  <si>
    <t>Clark Road Apartments Phase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</si>
</sst>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9" fontId="12" fillId="0" borderId="12" xfId="573" applyFon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7" fontId="3" fillId="7" borderId="4" xfId="0" applyNumberFormat="1" applyFont="1" applyFill="1" applyBorder="1" applyAlignment="1" applyProtection="1">
      <alignment horizontal="lef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2314</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2315</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7" workbookViewId="0">
      <selection activeCell="B59" sqref="B59:O6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3" t="s">
        <v>1862</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2119</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2226</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2205</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2120</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1801</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1802</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1940</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2491926.3411914376</v>
      </c>
      <c r="H38" s="384"/>
      <c r="I38" s="519"/>
      <c r="J38" s="384"/>
      <c r="K38" s="1940" t="s">
        <v>2223</v>
      </c>
      <c r="L38" s="1940"/>
      <c r="M38" s="1940"/>
      <c r="N38" s="1940"/>
      <c r="O38" s="1940"/>
      <c r="P38" s="1940"/>
      <c r="Q38" s="1940"/>
      <c r="R38" s="1940"/>
      <c r="S38" s="1940"/>
    </row>
    <row r="39" spans="1:21" ht="15" customHeight="1">
      <c r="B39" s="1939" t="s">
        <v>1283</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2434</v>
      </c>
      <c r="C42" s="634"/>
      <c r="D42" s="628"/>
      <c r="E42" s="652">
        <v>13497650</v>
      </c>
      <c r="F42" s="650"/>
      <c r="G42" s="384"/>
      <c r="H42" s="384"/>
      <c r="I42" s="519"/>
      <c r="J42" s="384"/>
      <c r="K42" s="1938"/>
      <c r="L42" s="1938"/>
      <c r="M42" s="1938"/>
      <c r="N42" s="1938"/>
      <c r="O42" s="1938"/>
      <c r="Q42" s="1918"/>
      <c r="R42" s="1918"/>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18"/>
      <c r="R44" s="1918"/>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5" t="s">
        <v>1849</v>
      </c>
      <c r="L46" s="1915"/>
      <c r="M46" s="1915"/>
      <c r="N46" s="1915"/>
      <c r="O46" s="1915"/>
      <c r="Q46" s="1913"/>
      <c r="R46" s="1913"/>
    </row>
    <row r="47" spans="1:21" ht="15" customHeight="1">
      <c r="B47" s="634"/>
      <c r="C47" s="634"/>
      <c r="D47" s="504"/>
      <c r="E47" s="652"/>
      <c r="F47" s="650"/>
      <c r="G47" s="384"/>
      <c r="H47" s="384"/>
      <c r="I47" s="519"/>
      <c r="J47" s="384"/>
      <c r="K47" s="1914" t="s">
        <v>1850</v>
      </c>
      <c r="L47" s="1914"/>
      <c r="M47" s="1914"/>
      <c r="N47" s="1914"/>
      <c r="O47" s="1914"/>
      <c r="Q47" s="1951"/>
      <c r="R47" s="1951"/>
    </row>
    <row r="48" spans="1:21" ht="15" customHeight="1">
      <c r="B48" s="634"/>
      <c r="C48" s="634"/>
      <c r="D48" s="504"/>
      <c r="E48" s="652"/>
      <c r="F48" s="650"/>
      <c r="G48" s="384"/>
      <c r="H48" s="384"/>
      <c r="I48" s="519"/>
      <c r="J48" s="384"/>
      <c r="K48" s="1950" t="s">
        <v>1851</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13497650</v>
      </c>
      <c r="H52" s="384"/>
      <c r="I52" s="519"/>
      <c r="J52" s="384"/>
    </row>
    <row r="53" spans="1:29" ht="15" customHeight="1">
      <c r="C53" s="523"/>
      <c r="D53" s="523" t="s">
        <v>875</v>
      </c>
      <c r="E53" s="523"/>
      <c r="F53" s="523"/>
      <c r="G53" s="524">
        <f>SUM(G38:G40)+G52</f>
        <v>15989576.341191437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1" t="s">
        <v>1796</v>
      </c>
      <c r="AC56" s="952">
        <v>0.2</v>
      </c>
    </row>
    <row r="57" spans="1:29" ht="15" customHeight="1">
      <c r="A57" s="521"/>
      <c r="B57" s="1929" t="s">
        <v>1604</v>
      </c>
      <c r="C57" s="1929"/>
      <c r="D57" s="1929"/>
      <c r="E57" s="1929"/>
      <c r="F57" s="1929"/>
      <c r="G57" s="1929"/>
      <c r="H57" s="1929"/>
      <c r="I57" s="1929"/>
      <c r="J57" s="1929"/>
      <c r="K57" s="1929"/>
      <c r="L57" s="1929"/>
      <c r="M57" s="1929"/>
      <c r="N57" s="1929"/>
      <c r="O57" s="1929"/>
      <c r="P57" s="650"/>
      <c r="U57" s="951" t="s">
        <v>1797</v>
      </c>
      <c r="AC57" s="952">
        <v>0.1</v>
      </c>
    </row>
    <row r="58" spans="1:29" ht="15" customHeight="1">
      <c r="B58" s="1944" t="s">
        <v>2221</v>
      </c>
      <c r="C58" s="1945"/>
      <c r="D58" s="1945"/>
      <c r="E58" s="1945"/>
      <c r="F58" s="526"/>
      <c r="G58" s="526"/>
      <c r="H58" s="516"/>
      <c r="I58" s="516"/>
      <c r="J58" s="1946">
        <f>('Sources and Uses Budget'!D104+Q47)/('Sources and Uses Budget'!B104+Q48)</f>
        <v>0</v>
      </c>
      <c r="K58" s="1947"/>
      <c r="L58" s="1947"/>
      <c r="M58" s="1947"/>
      <c r="N58" s="1948"/>
      <c r="O58" s="516"/>
      <c r="P58" s="516"/>
      <c r="U58" s="951" t="s">
        <v>1798</v>
      </c>
      <c r="AC58" s="952">
        <v>0.1</v>
      </c>
    </row>
    <row r="59" spans="1:29" ht="15" customHeight="1">
      <c r="B59" s="1928" t="s">
        <v>2121</v>
      </c>
      <c r="C59" s="1928"/>
      <c r="D59" s="1928"/>
      <c r="E59" s="1928"/>
      <c r="F59" s="1928"/>
      <c r="G59" s="1928"/>
      <c r="H59" s="1928"/>
      <c r="I59" s="1928"/>
      <c r="J59" s="1928"/>
      <c r="K59" s="1928"/>
      <c r="L59" s="1928"/>
      <c r="M59" s="1928"/>
      <c r="N59" s="1928"/>
      <c r="O59" s="1928"/>
      <c r="P59" s="516"/>
      <c r="U59" s="951" t="s">
        <v>1799</v>
      </c>
      <c r="AC59" s="952">
        <v>0.05</v>
      </c>
    </row>
    <row r="60" spans="1:29" ht="15" customHeight="1">
      <c r="B60" s="1928"/>
      <c r="C60" s="1928"/>
      <c r="D60" s="1928"/>
      <c r="E60" s="1928"/>
      <c r="F60" s="1928"/>
      <c r="G60" s="1928"/>
      <c r="H60" s="1928"/>
      <c r="I60" s="1928"/>
      <c r="J60" s="1928"/>
      <c r="K60" s="1928"/>
      <c r="L60" s="1928"/>
      <c r="M60" s="1928"/>
      <c r="N60" s="1928"/>
      <c r="O60" s="1928"/>
      <c r="P60" s="516"/>
      <c r="AC60" s="953"/>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2224</v>
      </c>
      <c r="K63" s="1935"/>
      <c r="L63" s="1935"/>
      <c r="M63" s="1935"/>
      <c r="N63" s="1935"/>
      <c r="O63" s="1935"/>
      <c r="P63" s="1935"/>
      <c r="Q63" s="1935"/>
      <c r="R63" s="1935"/>
    </row>
    <row r="64" spans="1:29" ht="15" customHeight="1" thickBot="1">
      <c r="B64" s="1930" t="s">
        <v>1614</v>
      </c>
      <c r="C64" s="1930"/>
      <c r="D64" s="376"/>
      <c r="F64" s="376"/>
      <c r="G64" s="523" t="s">
        <v>1852</v>
      </c>
      <c r="H64" s="376"/>
      <c r="I64" s="758"/>
      <c r="J64" s="1936"/>
      <c r="K64" s="1937"/>
      <c r="L64" s="1937"/>
      <c r="M64" s="1937"/>
      <c r="N64" s="1937"/>
      <c r="O64" s="1937"/>
      <c r="P64" s="1937"/>
      <c r="Q64" s="1937"/>
      <c r="R64" s="1937"/>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6"/>
      <c r="K65" s="1937"/>
      <c r="L65" s="1937"/>
      <c r="M65" s="1937"/>
      <c r="N65" s="1937"/>
      <c r="O65" s="1937"/>
      <c r="P65" s="1937"/>
      <c r="Q65" s="1937"/>
      <c r="R65" s="1937"/>
      <c r="U65" s="950">
        <f>IF(J67="Non-rural project, Census Tract is Highest Resource (20 percentage points)",AC56,0)</f>
        <v>0</v>
      </c>
    </row>
    <row r="66" spans="1:22" ht="15" customHeight="1" thickBot="1">
      <c r="B66" s="528" t="s">
        <v>1683</v>
      </c>
      <c r="C66" s="638">
        <f>Application!AG430-Application!AG431</f>
        <v>72</v>
      </c>
      <c r="D66" s="788"/>
      <c r="E66" s="528" t="s">
        <v>1855</v>
      </c>
      <c r="F66" s="788"/>
      <c r="G66" s="655"/>
      <c r="H66" s="529"/>
      <c r="I66" s="759"/>
      <c r="J66" s="1936"/>
      <c r="K66" s="1937"/>
      <c r="L66" s="1937"/>
      <c r="M66" s="1937"/>
      <c r="N66" s="1937"/>
      <c r="O66" s="1937"/>
      <c r="P66" s="1937"/>
      <c r="Q66" s="1937"/>
      <c r="R66" s="1937"/>
      <c r="U66" s="950">
        <f>IF(J67="Non-rural project, Census Tract is High Resource (10 percentage points)",AC57,0)</f>
        <v>0</v>
      </c>
    </row>
    <row r="67" spans="1:22" ht="15" customHeight="1" thickBot="1">
      <c r="B67" s="528" t="s">
        <v>1603</v>
      </c>
      <c r="C67" s="639">
        <f>MIN(IF(AND(C65="Yes",G67&gt;=50),(0.75+(G67/200)),1),1.5)</f>
        <v>1.1099999999999999</v>
      </c>
      <c r="D67" s="529"/>
      <c r="E67" s="528" t="s">
        <v>1684</v>
      </c>
      <c r="G67" s="638">
        <f>C66+G66</f>
        <v>72</v>
      </c>
      <c r="H67" s="529"/>
      <c r="I67" s="759"/>
      <c r="J67" s="1932" t="s">
        <v>124</v>
      </c>
      <c r="K67" s="1933"/>
      <c r="L67" s="1933"/>
      <c r="M67" s="1933"/>
      <c r="N67" s="1933"/>
      <c r="O67" s="1933"/>
      <c r="P67" s="1933"/>
      <c r="Q67" s="1933"/>
      <c r="R67" s="1933"/>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1800</v>
      </c>
    </row>
    <row r="71" spans="1:22" ht="15" customHeight="1">
      <c r="B71" s="1931" t="s">
        <v>1615</v>
      </c>
      <c r="C71" s="1931"/>
      <c r="D71" s="1931"/>
      <c r="E71" s="508"/>
      <c r="F71" s="508"/>
      <c r="G71" s="518">
        <f>G53*(1-J58)</f>
        <v>15989576.341191437</v>
      </c>
      <c r="J71" s="530"/>
      <c r="K71" s="687" t="s">
        <v>1617</v>
      </c>
      <c r="L71" s="687"/>
      <c r="M71" s="687"/>
      <c r="N71" s="687"/>
      <c r="O71" s="687"/>
      <c r="Q71" s="1915">
        <f>'Basis &amp; Credits'!T23+'Basis &amp; Credits'!Y23+'Basis &amp; Credits'!AD23+'Basis &amp; Credits'!AI23</f>
        <v>27788848.879999995</v>
      </c>
      <c r="R71" s="1915"/>
    </row>
    <row r="72" spans="1:22" ht="15" customHeight="1">
      <c r="B72" s="1917" t="s">
        <v>1616</v>
      </c>
      <c r="C72" s="1917"/>
      <c r="D72" s="1917"/>
      <c r="E72" s="508"/>
      <c r="F72" s="508"/>
      <c r="G72" s="518">
        <f>G71*C67</f>
        <v>17748429.738722492</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17748429.738722492</v>
      </c>
      <c r="C75" s="1920"/>
      <c r="D75" s="1920"/>
      <c r="E75" s="1920"/>
      <c r="F75" s="1920"/>
      <c r="G75" s="1920"/>
      <c r="H75" s="531"/>
      <c r="I75" s="1921" t="s">
        <v>139</v>
      </c>
      <c r="J75" s="1922" t="s">
        <v>992</v>
      </c>
      <c r="K75" s="1921">
        <v>1</v>
      </c>
      <c r="M75" s="395"/>
      <c r="N75" s="510"/>
      <c r="O75" s="657">
        <f>$Q$71</f>
        <v>27788848.879999995</v>
      </c>
      <c r="P75" s="1922" t="s">
        <v>1940</v>
      </c>
      <c r="Q75" s="1923" t="s">
        <v>138</v>
      </c>
      <c r="R75" s="1926">
        <f>((B75/B76)+((1-(O75/O76))/2))+U69</f>
        <v>0.58903032096072427</v>
      </c>
    </row>
    <row r="76" spans="1:22" ht="15" customHeight="1" thickBot="1">
      <c r="B76" s="1924">
        <f>'Sources and Uses Budget'!$C$104+$Q$46-($E$50+$E$51)*(1-$J$58)</f>
        <v>43288682.519999996</v>
      </c>
      <c r="C76" s="1925"/>
      <c r="D76" s="1925"/>
      <c r="E76" s="1925"/>
      <c r="F76" s="1925"/>
      <c r="G76" s="1924"/>
      <c r="I76" s="1921"/>
      <c r="J76" s="1922"/>
      <c r="K76" s="1921"/>
      <c r="M76" s="648"/>
      <c r="O76" s="656">
        <f>B76</f>
        <v>43288682.519999996</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2435</v>
      </c>
      <c r="C90" s="498">
        <v>5</v>
      </c>
      <c r="D90" s="499">
        <f>680-Application!Q811</f>
        <v>553</v>
      </c>
      <c r="E90" s="499">
        <f>'Subsidy Contract Calculation'!E4</f>
        <v>1073</v>
      </c>
      <c r="F90" s="540"/>
      <c r="G90" s="384">
        <f>MAX(($E90-$D90)*$C90*12,0)</f>
        <v>31200</v>
      </c>
      <c r="I90" s="519"/>
      <c r="K90" s="756" t="s">
        <v>1626</v>
      </c>
      <c r="L90" s="684"/>
      <c r="M90" s="684"/>
      <c r="N90" s="684"/>
      <c r="O90" s="684"/>
      <c r="P90" s="684"/>
      <c r="Q90" s="1916"/>
      <c r="R90" s="1916"/>
    </row>
    <row r="91" spans="2:18" ht="15" customHeight="1">
      <c r="B91" s="497" t="s">
        <v>2436</v>
      </c>
      <c r="C91" s="498">
        <v>5</v>
      </c>
      <c r="D91" s="499">
        <f>817-Application!U811</f>
        <v>652</v>
      </c>
      <c r="E91" s="499">
        <f>'Subsidy Contract Calculation'!E8</f>
        <v>1405</v>
      </c>
      <c r="F91" s="540"/>
      <c r="G91" s="384">
        <f t="shared" ref="G91:G97" si="0">MAX(($E91-$D91)*$C91*12,0)</f>
        <v>45180</v>
      </c>
      <c r="I91" s="519"/>
      <c r="K91" s="756" t="s">
        <v>1629</v>
      </c>
      <c r="L91" s="684"/>
      <c r="M91" s="684"/>
      <c r="N91" s="684"/>
      <c r="O91" s="684"/>
      <c r="P91" s="684"/>
      <c r="Q91" s="1914">
        <f>IFERROR(Q89/Q90,0)</f>
        <v>0</v>
      </c>
      <c r="R91" s="1914"/>
    </row>
    <row r="92" spans="2:18" ht="15" customHeight="1">
      <c r="B92" s="497" t="s">
        <v>2436</v>
      </c>
      <c r="C92" s="498">
        <v>6</v>
      </c>
      <c r="D92" s="499">
        <f>817-Application!U811</f>
        <v>652</v>
      </c>
      <c r="E92" s="499">
        <f>'Subsidy Contract Calculation'!E9</f>
        <v>1405</v>
      </c>
      <c r="F92" s="540"/>
      <c r="G92" s="384">
        <f t="shared" si="0"/>
        <v>54216</v>
      </c>
      <c r="I92" s="519"/>
    </row>
    <row r="93" spans="2:18" ht="15" customHeight="1">
      <c r="B93" s="497" t="s">
        <v>2437</v>
      </c>
      <c r="C93" s="498">
        <v>5</v>
      </c>
      <c r="D93" s="499">
        <f>943-Application!Y811</f>
        <v>752</v>
      </c>
      <c r="E93" s="499">
        <f>'Subsidy Contract Calculation'!E13</f>
        <v>2022</v>
      </c>
      <c r="F93" s="540"/>
      <c r="G93" s="384">
        <f t="shared" si="0"/>
        <v>76200</v>
      </c>
      <c r="I93" s="519"/>
      <c r="K93" s="376" t="s">
        <v>1630</v>
      </c>
      <c r="L93" s="528"/>
      <c r="M93" s="528"/>
      <c r="N93" s="528"/>
      <c r="O93" s="528"/>
      <c r="P93" s="528"/>
      <c r="Q93" s="1915">
        <f>MAX(Q84,Q91)</f>
        <v>0</v>
      </c>
      <c r="R93" s="1915"/>
    </row>
    <row r="94" spans="2:18" ht="15" customHeight="1">
      <c r="B94" s="497" t="s">
        <v>2437</v>
      </c>
      <c r="C94" s="498">
        <v>4</v>
      </c>
      <c r="D94" s="499">
        <f>943-Application!Y811</f>
        <v>752</v>
      </c>
      <c r="E94" s="499">
        <f>'Subsidy Contract Calculation'!E14</f>
        <v>2022</v>
      </c>
      <c r="F94" s="540"/>
      <c r="G94" s="384">
        <f t="shared" si="0"/>
        <v>60960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267756</v>
      </c>
      <c r="I98" s="519"/>
    </row>
    <row r="99" spans="2:9" ht="15" customHeight="1">
      <c r="I99" s="519"/>
    </row>
    <row r="100" spans="2:9" ht="15" customHeight="1">
      <c r="B100" s="376" t="s">
        <v>1627</v>
      </c>
      <c r="D100" s="520">
        <f>G98+Q93</f>
        <v>267756</v>
      </c>
      <c r="I100" s="519"/>
    </row>
    <row r="101" spans="2:9" ht="15" customHeight="1">
      <c r="B101" s="376" t="s">
        <v>988</v>
      </c>
      <c r="D101" s="536">
        <v>0.05</v>
      </c>
      <c r="I101" s="519"/>
    </row>
    <row r="102" spans="2:9" ht="15" customHeight="1">
      <c r="B102" s="376" t="s">
        <v>1017</v>
      </c>
      <c r="D102" s="520">
        <f>D100-(D100*D101)</f>
        <v>254368.2</v>
      </c>
    </row>
    <row r="103" spans="2:9" ht="15" customHeight="1">
      <c r="B103" s="376" t="s">
        <v>1619</v>
      </c>
      <c r="D103" s="537"/>
    </row>
    <row r="104" spans="2:9" ht="15" customHeight="1">
      <c r="B104" s="376" t="s">
        <v>1628</v>
      </c>
      <c r="D104" s="520">
        <f>D102/D108</f>
        <v>221189.73913043481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2491926.3411914376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4" workbookViewId="0">
      <selection activeCell="G62" sqref="G6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710652</v>
      </c>
      <c r="F4" s="384"/>
      <c r="G4" s="384">
        <f>E4*$C$4</f>
        <v>728418.29999999993</v>
      </c>
      <c r="H4" s="384"/>
      <c r="I4" s="384">
        <f>G4*$C$4</f>
        <v>746628.75749999983</v>
      </c>
      <c r="J4" s="384"/>
      <c r="K4" s="384">
        <f>I4*$C$4</f>
        <v>765294.47643749975</v>
      </c>
      <c r="L4" s="384"/>
      <c r="M4" s="384">
        <f>K4*$C$4</f>
        <v>784426.83834843722</v>
      </c>
      <c r="N4" s="384"/>
      <c r="O4" s="384">
        <f>M4*$C$4</f>
        <v>804037.50930714805</v>
      </c>
      <c r="P4" s="384"/>
      <c r="Q4" s="384">
        <f>O4*$C$4</f>
        <v>824138.44703982666</v>
      </c>
      <c r="R4" s="384"/>
      <c r="S4" s="384">
        <f>Q4*$C$4</f>
        <v>844741.9082158223</v>
      </c>
      <c r="T4" s="384"/>
      <c r="U4" s="384">
        <f>S4*$C$4</f>
        <v>865860.4559212178</v>
      </c>
      <c r="V4" s="384"/>
      <c r="W4" s="384">
        <f>U4*$C$4</f>
        <v>887506.96731924813</v>
      </c>
      <c r="X4" s="384"/>
      <c r="Y4" s="384">
        <f>W4*$C$4</f>
        <v>909694.64150222926</v>
      </c>
      <c r="Z4" s="384"/>
      <c r="AA4" s="384">
        <f>Y4*$C$4</f>
        <v>932437.00753978489</v>
      </c>
      <c r="AB4" s="384"/>
      <c r="AC4" s="384">
        <f>AA4*$C$4</f>
        <v>955747.93272827938</v>
      </c>
      <c r="AD4" s="384"/>
      <c r="AE4" s="384">
        <f>AC4*$C$4</f>
        <v>979641.63104648632</v>
      </c>
      <c r="AF4" s="384"/>
      <c r="AG4" s="384">
        <f>AE4*$C$4</f>
        <v>1004132.6718226484</v>
      </c>
      <c r="AH4" s="384"/>
    </row>
    <row r="5" spans="1:34" ht="13.8">
      <c r="A5" s="376"/>
      <c r="B5" s="376" t="s">
        <v>988</v>
      </c>
      <c r="C5" s="408">
        <f>IF(Application!$D$214="Special Needs",0.1,0.05)</f>
        <v>0.05</v>
      </c>
      <c r="D5" s="376"/>
      <c r="E5" s="386">
        <f>-E4*$C$5</f>
        <v>-35532.6</v>
      </c>
      <c r="F5" s="386"/>
      <c r="G5" s="386">
        <f>-G4*$C$5</f>
        <v>-36420.915000000001</v>
      </c>
      <c r="H5" s="386"/>
      <c r="I5" s="386">
        <f>-I4*$C$5</f>
        <v>-37331.437874999996</v>
      </c>
      <c r="J5" s="386"/>
      <c r="K5" s="386">
        <f>-K4*$C$5</f>
        <v>-38264.723821874992</v>
      </c>
      <c r="L5" s="386"/>
      <c r="M5" s="386">
        <f>-M4*$C$5</f>
        <v>-39221.341917421865</v>
      </c>
      <c r="N5" s="386"/>
      <c r="O5" s="386">
        <f>-O4*$C$5</f>
        <v>-40201.875465357407</v>
      </c>
      <c r="P5" s="386"/>
      <c r="Q5" s="386">
        <f>-Q4*$C$5</f>
        <v>-41206.922351991336</v>
      </c>
      <c r="R5" s="386"/>
      <c r="S5" s="386">
        <f>-S4*$C$5</f>
        <v>-42237.095410791117</v>
      </c>
      <c r="T5" s="386"/>
      <c r="U5" s="386">
        <f>-U4*$C$5</f>
        <v>-43293.02279606089</v>
      </c>
      <c r="V5" s="386"/>
      <c r="W5" s="386">
        <f>-W4*$C$5</f>
        <v>-44375.348365962411</v>
      </c>
      <c r="X5" s="386"/>
      <c r="Y5" s="386">
        <f>-Y4*$C$5</f>
        <v>-45484.732075111468</v>
      </c>
      <c r="Z5" s="386"/>
      <c r="AA5" s="386">
        <f>-AA4*$C$5</f>
        <v>-46621.850376989249</v>
      </c>
      <c r="AB5" s="386"/>
      <c r="AC5" s="386">
        <f>-AC4*$C$5</f>
        <v>-47787.396636413971</v>
      </c>
      <c r="AD5" s="386"/>
      <c r="AE5" s="386">
        <f>-AE4*$C$5</f>
        <v>-48982.081552324322</v>
      </c>
      <c r="AF5" s="386"/>
      <c r="AG5" s="386">
        <f>-AG4*$C$5</f>
        <v>-50206.63359113242</v>
      </c>
      <c r="AH5" s="376"/>
    </row>
    <row r="6" spans="1:34" ht="13.8">
      <c r="A6" s="376" t="s">
        <v>1074</v>
      </c>
      <c r="B6" s="376"/>
      <c r="C6" s="407">
        <v>1.02</v>
      </c>
      <c r="D6" s="376"/>
      <c r="E6" s="387">
        <f>Application!Z788</f>
        <v>278340</v>
      </c>
      <c r="F6" s="387"/>
      <c r="G6" s="387">
        <f>E6*$C$6</f>
        <v>283906.8</v>
      </c>
      <c r="H6" s="387"/>
      <c r="I6" s="387">
        <f>G6*$C$6</f>
        <v>289584.93599999999</v>
      </c>
      <c r="J6" s="387"/>
      <c r="K6" s="387">
        <f>I6*$C$6</f>
        <v>295376.63471999997</v>
      </c>
      <c r="L6" s="387"/>
      <c r="M6" s="387">
        <f>K6*$C$6</f>
        <v>301284.16741439997</v>
      </c>
      <c r="N6" s="387"/>
      <c r="O6" s="387">
        <f>M6*$C$6</f>
        <v>307309.85076268797</v>
      </c>
      <c r="P6" s="387"/>
      <c r="Q6" s="387">
        <f>O6*$C$6</f>
        <v>313456.04777794174</v>
      </c>
      <c r="R6" s="387"/>
      <c r="S6" s="387">
        <f>Q6*$C$6</f>
        <v>319725.16873350058</v>
      </c>
      <c r="T6" s="387"/>
      <c r="U6" s="387">
        <f>S6*$C$6</f>
        <v>326119.67210817058</v>
      </c>
      <c r="V6" s="387"/>
      <c r="W6" s="387">
        <f>U6*$C$6</f>
        <v>332642.06555033399</v>
      </c>
      <c r="X6" s="387"/>
      <c r="Y6" s="387">
        <f>W6*$C$6</f>
        <v>339294.90686134069</v>
      </c>
      <c r="Z6" s="387"/>
      <c r="AA6" s="387">
        <f>Y6*$C$6</f>
        <v>346080.8049985675</v>
      </c>
      <c r="AB6" s="387"/>
      <c r="AC6" s="387">
        <f>AA6*$C$6</f>
        <v>353002.42109853885</v>
      </c>
      <c r="AD6" s="387"/>
      <c r="AE6" s="387">
        <f>AC6*$C$6</f>
        <v>360062.46952050965</v>
      </c>
      <c r="AF6" s="387"/>
      <c r="AG6" s="387">
        <f>AE6*$C$6</f>
        <v>367263.71891091985</v>
      </c>
      <c r="AH6" s="376"/>
    </row>
    <row r="7" spans="1:34" ht="13.8">
      <c r="A7" s="376"/>
      <c r="B7" s="376" t="s">
        <v>988</v>
      </c>
      <c r="C7" s="408">
        <f>IF(Application!$D$214="Special Needs",0.1,0.05)</f>
        <v>0.05</v>
      </c>
      <c r="D7" s="376"/>
      <c r="E7" s="386">
        <f>-E6*$C$7</f>
        <v>-13917</v>
      </c>
      <c r="F7" s="386"/>
      <c r="G7" s="386">
        <f>-G6*$C$7</f>
        <v>-14195.34</v>
      </c>
      <c r="H7" s="386"/>
      <c r="I7" s="386">
        <f>-I6*$C$7</f>
        <v>-14479.246800000001</v>
      </c>
      <c r="J7" s="386"/>
      <c r="K7" s="386">
        <f>-K6*$C$7</f>
        <v>-14768.831736</v>
      </c>
      <c r="L7" s="386"/>
      <c r="M7" s="386">
        <f>-M6*$C$7</f>
        <v>-15064.20837072</v>
      </c>
      <c r="N7" s="386"/>
      <c r="O7" s="386">
        <f>-O6*$C$7</f>
        <v>-15365.4925381344</v>
      </c>
      <c r="P7" s="386"/>
      <c r="Q7" s="386">
        <f>-Q6*$C$7</f>
        <v>-15672.802388897087</v>
      </c>
      <c r="R7" s="386"/>
      <c r="S7" s="386">
        <f>-S6*$C$7</f>
        <v>-15986.258436675031</v>
      </c>
      <c r="T7" s="386"/>
      <c r="U7" s="386">
        <f>-U6*$C$7</f>
        <v>-16305.98360540853</v>
      </c>
      <c r="V7" s="386"/>
      <c r="W7" s="386">
        <f>-W6*$C$7</f>
        <v>-16632.1032775167</v>
      </c>
      <c r="X7" s="386"/>
      <c r="Y7" s="386">
        <f>-Y6*$C$7</f>
        <v>-16964.745343067036</v>
      </c>
      <c r="Z7" s="386"/>
      <c r="AA7" s="386">
        <f>-AA6*$C$7</f>
        <v>-17304.040249928377</v>
      </c>
      <c r="AB7" s="386"/>
      <c r="AC7" s="386">
        <f>-AC6*$C$7</f>
        <v>-17650.121054926942</v>
      </c>
      <c r="AD7" s="386"/>
      <c r="AE7" s="386">
        <f>-AE6*$C$7</f>
        <v>-18003.123476025485</v>
      </c>
      <c r="AF7" s="386"/>
      <c r="AG7" s="386">
        <f>-AG6*$C$7</f>
        <v>-18363.185945545993</v>
      </c>
      <c r="AH7" s="376"/>
    </row>
    <row r="8" spans="1:34" ht="13.8">
      <c r="A8" s="376" t="s">
        <v>261</v>
      </c>
      <c r="B8" s="376"/>
      <c r="C8" s="407">
        <v>1.0249999999999999</v>
      </c>
      <c r="D8" s="376"/>
      <c r="E8" s="387">
        <f>Application!Z796</f>
        <v>10650</v>
      </c>
      <c r="F8" s="387"/>
      <c r="G8" s="387">
        <f>E8*$C$8</f>
        <v>10916.249999999998</v>
      </c>
      <c r="H8" s="387"/>
      <c r="I8" s="387">
        <f>G8*$C$8</f>
        <v>11189.156249999996</v>
      </c>
      <c r="J8" s="387"/>
      <c r="K8" s="387">
        <f>I8*$C$8</f>
        <v>11468.885156249995</v>
      </c>
      <c r="L8" s="387"/>
      <c r="M8" s="387">
        <f>K8*$C$8</f>
        <v>11755.607285156244</v>
      </c>
      <c r="N8" s="387"/>
      <c r="O8" s="387">
        <f>M8*$C$8</f>
        <v>12049.497467285149</v>
      </c>
      <c r="P8" s="387"/>
      <c r="Q8" s="387">
        <f>O8*$C$8</f>
        <v>12350.734903967277</v>
      </c>
      <c r="R8" s="387"/>
      <c r="S8" s="387">
        <f>Q8*$C$8</f>
        <v>12659.503276566458</v>
      </c>
      <c r="T8" s="387"/>
      <c r="U8" s="387">
        <f>S8*$C$8</f>
        <v>12975.990858480618</v>
      </c>
      <c r="V8" s="387"/>
      <c r="W8" s="387">
        <f>U8*$C$8</f>
        <v>13300.390629942633</v>
      </c>
      <c r="X8" s="387"/>
      <c r="Y8" s="387">
        <f>W8*$C$8</f>
        <v>13632.900395691197</v>
      </c>
      <c r="Z8" s="387"/>
      <c r="AA8" s="387">
        <f>Y8*$C$8</f>
        <v>13973.722905583476</v>
      </c>
      <c r="AB8" s="387"/>
      <c r="AC8" s="387">
        <f>AA8*$C$8</f>
        <v>14323.065978223061</v>
      </c>
      <c r="AD8" s="387"/>
      <c r="AE8" s="387">
        <f>AC8*$C$8</f>
        <v>14681.142627678637</v>
      </c>
      <c r="AF8" s="387"/>
      <c r="AG8" s="387">
        <f>AE8*$C$8</f>
        <v>15048.171193370601</v>
      </c>
      <c r="AH8" s="376"/>
    </row>
    <row r="9" spans="1:34" ht="13.8">
      <c r="A9" s="376"/>
      <c r="B9" s="376" t="s">
        <v>988</v>
      </c>
      <c r="C9" s="408">
        <f>IF(Application!$D$214="Special Needs",0.1,0.05)</f>
        <v>0.05</v>
      </c>
      <c r="D9" s="376"/>
      <c r="E9" s="386">
        <f>-E8*$C$9</f>
        <v>-532.5</v>
      </c>
      <c r="F9" s="386"/>
      <c r="G9" s="386">
        <f>-G8*$C$9</f>
        <v>-545.81249999999989</v>
      </c>
      <c r="H9" s="386"/>
      <c r="I9" s="386">
        <f>-I8*$C$9</f>
        <v>-559.45781249999982</v>
      </c>
      <c r="J9" s="386"/>
      <c r="K9" s="386">
        <f>-K8*$C$9</f>
        <v>-573.44425781249981</v>
      </c>
      <c r="L9" s="386"/>
      <c r="M9" s="386">
        <f>-M8*$C$9</f>
        <v>-587.78036425781227</v>
      </c>
      <c r="N9" s="386"/>
      <c r="O9" s="386">
        <f>-O8*$C$9</f>
        <v>-602.47487336425752</v>
      </c>
      <c r="P9" s="386"/>
      <c r="Q9" s="386">
        <f>-Q8*$C$9</f>
        <v>-617.53674519836386</v>
      </c>
      <c r="R9" s="386"/>
      <c r="S9" s="386">
        <f>-S8*$C$9</f>
        <v>-632.97516382832293</v>
      </c>
      <c r="T9" s="386"/>
      <c r="U9" s="386">
        <f>-U8*$C$9</f>
        <v>-648.7995429240309</v>
      </c>
      <c r="V9" s="386"/>
      <c r="W9" s="386">
        <f>-W8*$C$9</f>
        <v>-665.01953149713165</v>
      </c>
      <c r="X9" s="386"/>
      <c r="Y9" s="386">
        <f>-Y8*$C$9</f>
        <v>-681.64501978455985</v>
      </c>
      <c r="Z9" s="386"/>
      <c r="AA9" s="386">
        <f>-AA8*$C$9</f>
        <v>-698.68614527917384</v>
      </c>
      <c r="AB9" s="386"/>
      <c r="AC9" s="386">
        <f>-AC8*$C$9</f>
        <v>-716.15329891115312</v>
      </c>
      <c r="AD9" s="386"/>
      <c r="AE9" s="386">
        <f>-AE8*$C$9</f>
        <v>-734.05713138393185</v>
      </c>
      <c r="AF9" s="386"/>
      <c r="AG9" s="386">
        <f>-AG8*$C$9</f>
        <v>-752.40855966853007</v>
      </c>
      <c r="AH9" s="376"/>
    </row>
    <row r="10" spans="1:34" ht="13.8">
      <c r="A10" s="934" t="s">
        <v>2311</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1075</v>
      </c>
      <c r="B11" s="388"/>
      <c r="C11" s="381"/>
      <c r="D11" s="388"/>
      <c r="E11" s="388">
        <f>SUM(E4:E10)</f>
        <v>949659.9</v>
      </c>
      <c r="F11" s="388"/>
      <c r="G11" s="388">
        <f>SUM(G4:G10)</f>
        <v>972079.28249999986</v>
      </c>
      <c r="H11" s="388"/>
      <c r="I11" s="388">
        <f>SUM(I4:I10)</f>
        <v>995032.70726249996</v>
      </c>
      <c r="J11" s="388"/>
      <c r="K11" s="388">
        <f>SUM(K4:K10)</f>
        <v>1018532.9964980623</v>
      </c>
      <c r="L11" s="388"/>
      <c r="M11" s="388">
        <f>SUM(M4:M10)</f>
        <v>1042593.2823955936</v>
      </c>
      <c r="N11" s="388"/>
      <c r="O11" s="388">
        <f>SUM(O4:O10)</f>
        <v>1067227.0146602653</v>
      </c>
      <c r="P11" s="388"/>
      <c r="Q11" s="388">
        <f>SUM(Q4:Q10)</f>
        <v>1092447.9682356489</v>
      </c>
      <c r="R11" s="388"/>
      <c r="S11" s="388">
        <f>SUM(S4:S10)</f>
        <v>1118270.251214595</v>
      </c>
      <c r="T11" s="388"/>
      <c r="U11" s="388">
        <f>SUM(U4:U10)</f>
        <v>1144708.3129434756</v>
      </c>
      <c r="V11" s="388"/>
      <c r="W11" s="388">
        <f>SUM(W4:W10)</f>
        <v>1171776.9523245485</v>
      </c>
      <c r="X11" s="388"/>
      <c r="Y11" s="388">
        <f>SUM(Y4:Y10)</f>
        <v>1199491.326321298</v>
      </c>
      <c r="Z11" s="388"/>
      <c r="AA11" s="388">
        <f>SUM(AA4:AA10)</f>
        <v>1227866.9586717391</v>
      </c>
      <c r="AB11" s="388"/>
      <c r="AC11" s="388">
        <f>SUM(AC4:AC10)</f>
        <v>1256919.7488147891</v>
      </c>
      <c r="AD11" s="388"/>
      <c r="AE11" s="388">
        <f>SUM(AE4:AE10)</f>
        <v>1286665.9810349408</v>
      </c>
      <c r="AF11" s="388"/>
      <c r="AG11" s="388">
        <f>SUM(AG4:AG10)</f>
        <v>1317122.3338305918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33123</v>
      </c>
      <c r="F15" s="384"/>
      <c r="G15" s="384">
        <f t="shared" ref="G15:G21" si="0">E15*$C$14</f>
        <v>34282.305</v>
      </c>
      <c r="H15" s="384"/>
      <c r="I15" s="384">
        <f t="shared" ref="I15:I21" si="1">G15*$C$14</f>
        <v>35482.185675000001</v>
      </c>
      <c r="J15" s="384"/>
      <c r="K15" s="384">
        <f t="shared" ref="K15:K21" si="2">I15*$C$14</f>
        <v>36724.062173624996</v>
      </c>
      <c r="L15" s="384"/>
      <c r="M15" s="384">
        <f t="shared" ref="M15:M21" si="3">K15*$C$14</f>
        <v>38009.404349701865</v>
      </c>
      <c r="N15" s="384"/>
      <c r="O15" s="384">
        <f t="shared" ref="O15:O21" si="4">M15*$C$14</f>
        <v>39339.733501941424</v>
      </c>
      <c r="P15" s="384"/>
      <c r="Q15" s="384">
        <f t="shared" ref="Q15:Q21" si="5">O15*$C$14</f>
        <v>40716.624174509372</v>
      </c>
      <c r="R15" s="384"/>
      <c r="S15" s="384">
        <f t="shared" ref="S15:S21" si="6">Q15*$C$14</f>
        <v>42141.706020617195</v>
      </c>
      <c r="T15" s="384"/>
      <c r="U15" s="384">
        <f t="shared" ref="U15:U21" si="7">S15*$C$14</f>
        <v>43616.665731338791</v>
      </c>
      <c r="V15" s="384"/>
      <c r="W15" s="384">
        <f t="shared" ref="W15:W21" si="8">U15*$C$14</f>
        <v>45143.249031935644</v>
      </c>
      <c r="X15" s="384"/>
      <c r="Y15" s="384">
        <f t="shared" ref="Y15:Y21" si="9">W15*$C$14</f>
        <v>46723.262748053385</v>
      </c>
      <c r="Z15" s="384"/>
      <c r="AA15" s="384">
        <f t="shared" ref="AA15:AA21" si="10">Y15*$C$14</f>
        <v>48358.576944235247</v>
      </c>
      <c r="AB15" s="384"/>
      <c r="AC15" s="384">
        <f t="shared" ref="AC15:AC21" si="11">AA15*$C$14</f>
        <v>50051.127137283474</v>
      </c>
      <c r="AD15" s="384"/>
      <c r="AE15" s="384">
        <f t="shared" ref="AE15:AE21" si="12">AC15*$C$14</f>
        <v>51802.916587088395</v>
      </c>
      <c r="AF15" s="384"/>
      <c r="AG15" s="384">
        <f t="shared" ref="AG15:AG21" si="13">AE15*$C$14</f>
        <v>53616.018667636483</v>
      </c>
      <c r="AH15" s="384"/>
    </row>
    <row r="16" spans="1:34" ht="13.8">
      <c r="A16" s="376" t="s">
        <v>468</v>
      </c>
      <c r="B16" s="376"/>
      <c r="C16" s="398"/>
      <c r="D16" s="376"/>
      <c r="E16" s="387">
        <f>Application!W828</f>
        <v>51120</v>
      </c>
      <c r="F16" s="387"/>
      <c r="G16" s="387">
        <f t="shared" si="0"/>
        <v>52909.2</v>
      </c>
      <c r="H16" s="387"/>
      <c r="I16" s="387">
        <f t="shared" si="1"/>
        <v>54761.02199999999</v>
      </c>
      <c r="J16" s="387"/>
      <c r="K16" s="387">
        <f t="shared" si="2"/>
        <v>56677.657769999983</v>
      </c>
      <c r="L16" s="387"/>
      <c r="M16" s="387">
        <f t="shared" si="3"/>
        <v>58661.375791949977</v>
      </c>
      <c r="N16" s="387"/>
      <c r="O16" s="387">
        <f t="shared" si="4"/>
        <v>60714.523944668224</v>
      </c>
      <c r="P16" s="387"/>
      <c r="Q16" s="387">
        <f t="shared" si="5"/>
        <v>62839.532282731605</v>
      </c>
      <c r="R16" s="387"/>
      <c r="S16" s="387">
        <f t="shared" si="6"/>
        <v>65038.915912627206</v>
      </c>
      <c r="T16" s="387"/>
      <c r="U16" s="387">
        <f t="shared" si="7"/>
        <v>67315.277969569157</v>
      </c>
      <c r="V16" s="387"/>
      <c r="W16" s="387">
        <f t="shared" si="8"/>
        <v>69671.312698504073</v>
      </c>
      <c r="X16" s="387"/>
      <c r="Y16" s="387">
        <f t="shared" si="9"/>
        <v>72109.808642951713</v>
      </c>
      <c r="Z16" s="387"/>
      <c r="AA16" s="387">
        <f t="shared" si="10"/>
        <v>74633.651945455014</v>
      </c>
      <c r="AB16" s="387"/>
      <c r="AC16" s="387">
        <f t="shared" si="11"/>
        <v>77245.829763545931</v>
      </c>
      <c r="AD16" s="387"/>
      <c r="AE16" s="387">
        <f t="shared" si="12"/>
        <v>79949.433805270033</v>
      </c>
      <c r="AF16" s="387"/>
      <c r="AG16" s="387">
        <f t="shared" si="13"/>
        <v>82747.663988454471</v>
      </c>
      <c r="AH16" s="376"/>
    </row>
    <row r="17" spans="1:34" ht="13.8">
      <c r="A17" s="376" t="s">
        <v>734</v>
      </c>
      <c r="B17" s="376"/>
      <c r="C17" s="398"/>
      <c r="D17" s="376"/>
      <c r="E17" s="387">
        <f>Application!W834</f>
        <v>79540</v>
      </c>
      <c r="F17" s="387"/>
      <c r="G17" s="387">
        <f t="shared" si="0"/>
        <v>82323.899999999994</v>
      </c>
      <c r="H17" s="387"/>
      <c r="I17" s="387">
        <f t="shared" si="1"/>
        <v>85205.236499999985</v>
      </c>
      <c r="J17" s="387"/>
      <c r="K17" s="387">
        <f t="shared" si="2"/>
        <v>88187.419777499977</v>
      </c>
      <c r="L17" s="387"/>
      <c r="M17" s="387">
        <f t="shared" si="3"/>
        <v>91273.979469712474</v>
      </c>
      <c r="N17" s="387"/>
      <c r="O17" s="387">
        <f t="shared" si="4"/>
        <v>94468.568751152401</v>
      </c>
      <c r="P17" s="387"/>
      <c r="Q17" s="387">
        <f t="shared" si="5"/>
        <v>97774.968657442732</v>
      </c>
      <c r="R17" s="387"/>
      <c r="S17" s="387">
        <f t="shared" si="6"/>
        <v>101197.09256045322</v>
      </c>
      <c r="T17" s="387"/>
      <c r="U17" s="387">
        <f t="shared" si="7"/>
        <v>104738.99080006908</v>
      </c>
      <c r="V17" s="387"/>
      <c r="W17" s="387">
        <f t="shared" si="8"/>
        <v>108404.85547807149</v>
      </c>
      <c r="X17" s="387"/>
      <c r="Y17" s="387">
        <f t="shared" si="9"/>
        <v>112199.02541980399</v>
      </c>
      <c r="Z17" s="387"/>
      <c r="AA17" s="387">
        <f t="shared" si="10"/>
        <v>116125.99130949713</v>
      </c>
      <c r="AB17" s="387"/>
      <c r="AC17" s="387">
        <f t="shared" si="11"/>
        <v>120190.40100532952</v>
      </c>
      <c r="AD17" s="387"/>
      <c r="AE17" s="387">
        <f t="shared" si="12"/>
        <v>124397.06504051604</v>
      </c>
      <c r="AF17" s="387"/>
      <c r="AG17" s="387">
        <f t="shared" si="13"/>
        <v>128750.96231693409</v>
      </c>
      <c r="AH17" s="376"/>
    </row>
    <row r="18" spans="1:34" ht="13.8">
      <c r="A18" s="376" t="s">
        <v>1079</v>
      </c>
      <c r="B18" s="376"/>
      <c r="C18" s="398"/>
      <c r="D18" s="376"/>
      <c r="E18" s="387">
        <f>Application!W841</f>
        <v>110641</v>
      </c>
      <c r="F18" s="387"/>
      <c r="G18" s="387">
        <f t="shared" si="0"/>
        <v>114513.435</v>
      </c>
      <c r="H18" s="387"/>
      <c r="I18" s="387">
        <f t="shared" si="1"/>
        <v>118521.40522499999</v>
      </c>
      <c r="J18" s="387"/>
      <c r="K18" s="387">
        <f t="shared" si="2"/>
        <v>122669.65440787499</v>
      </c>
      <c r="L18" s="387"/>
      <c r="M18" s="387">
        <f t="shared" si="3"/>
        <v>126963.09231215061</v>
      </c>
      <c r="N18" s="387"/>
      <c r="O18" s="387">
        <f t="shared" si="4"/>
        <v>131406.80054307586</v>
      </c>
      <c r="P18" s="387"/>
      <c r="Q18" s="387">
        <f t="shared" si="5"/>
        <v>136006.0385620835</v>
      </c>
      <c r="R18" s="387"/>
      <c r="S18" s="387">
        <f t="shared" si="6"/>
        <v>140766.2499117564</v>
      </c>
      <c r="T18" s="387"/>
      <c r="U18" s="387">
        <f t="shared" si="7"/>
        <v>145693.06865866785</v>
      </c>
      <c r="V18" s="387"/>
      <c r="W18" s="387">
        <f t="shared" si="8"/>
        <v>150792.32606172122</v>
      </c>
      <c r="X18" s="387"/>
      <c r="Y18" s="387">
        <f t="shared" si="9"/>
        <v>156070.05747388146</v>
      </c>
      <c r="Z18" s="387"/>
      <c r="AA18" s="387">
        <f t="shared" si="10"/>
        <v>161532.50948546731</v>
      </c>
      <c r="AB18" s="387"/>
      <c r="AC18" s="387">
        <f t="shared" si="11"/>
        <v>167186.14731745864</v>
      </c>
      <c r="AD18" s="387"/>
      <c r="AE18" s="387">
        <f t="shared" si="12"/>
        <v>173037.66247356968</v>
      </c>
      <c r="AF18" s="387"/>
      <c r="AG18" s="387">
        <f t="shared" si="13"/>
        <v>179093.98066014462</v>
      </c>
    </row>
    <row r="19" spans="1:34" ht="13.8">
      <c r="A19" s="376" t="s">
        <v>931</v>
      </c>
      <c r="B19" s="376"/>
      <c r="C19" s="398"/>
      <c r="D19" s="376"/>
      <c r="E19" s="387">
        <f>Application!W842</f>
        <v>90518</v>
      </c>
      <c r="F19" s="387"/>
      <c r="G19" s="387">
        <f t="shared" si="0"/>
        <v>93686.12999999999</v>
      </c>
      <c r="H19" s="387"/>
      <c r="I19" s="387">
        <f t="shared" si="1"/>
        <v>96965.144549999983</v>
      </c>
      <c r="J19" s="387"/>
      <c r="K19" s="387">
        <f t="shared" si="2"/>
        <v>100358.92460924998</v>
      </c>
      <c r="L19" s="387"/>
      <c r="M19" s="387">
        <f t="shared" si="3"/>
        <v>103871.48697057372</v>
      </c>
      <c r="N19" s="387"/>
      <c r="O19" s="387">
        <f t="shared" si="4"/>
        <v>107506.9890145438</v>
      </c>
      <c r="P19" s="387"/>
      <c r="Q19" s="387">
        <f t="shared" si="5"/>
        <v>111269.73363005283</v>
      </c>
      <c r="R19" s="387"/>
      <c r="S19" s="387">
        <f t="shared" si="6"/>
        <v>115164.17430710467</v>
      </c>
      <c r="T19" s="387"/>
      <c r="U19" s="387">
        <f t="shared" si="7"/>
        <v>119194.92040785332</v>
      </c>
      <c r="V19" s="387"/>
      <c r="W19" s="387">
        <f t="shared" si="8"/>
        <v>123366.74262212818</v>
      </c>
      <c r="X19" s="387"/>
      <c r="Y19" s="387">
        <f t="shared" si="9"/>
        <v>127684.57861390266</v>
      </c>
      <c r="Z19" s="387"/>
      <c r="AA19" s="387">
        <f t="shared" si="10"/>
        <v>132153.53886538924</v>
      </c>
      <c r="AB19" s="387"/>
      <c r="AC19" s="387">
        <f t="shared" si="11"/>
        <v>136778.91272567786</v>
      </c>
      <c r="AD19" s="387"/>
      <c r="AE19" s="387">
        <f t="shared" si="12"/>
        <v>141566.17467107659</v>
      </c>
      <c r="AF19" s="387"/>
      <c r="AG19" s="387">
        <f t="shared" si="13"/>
        <v>146520.99078456426</v>
      </c>
    </row>
    <row r="20" spans="1:34" ht="13.8">
      <c r="A20" s="376" t="s">
        <v>55</v>
      </c>
      <c r="B20" s="376"/>
      <c r="C20" s="398"/>
      <c r="D20" s="376"/>
      <c r="E20" s="387">
        <f>Application!W851</f>
        <v>129227</v>
      </c>
      <c r="F20" s="387"/>
      <c r="G20" s="387">
        <f t="shared" si="0"/>
        <v>133749.94499999998</v>
      </c>
      <c r="H20" s="387"/>
      <c r="I20" s="387">
        <f t="shared" si="1"/>
        <v>138431.19307499996</v>
      </c>
      <c r="J20" s="387"/>
      <c r="K20" s="387">
        <f t="shared" si="2"/>
        <v>143276.28483262495</v>
      </c>
      <c r="L20" s="387"/>
      <c r="M20" s="387">
        <f t="shared" si="3"/>
        <v>148290.95480176681</v>
      </c>
      <c r="N20" s="387"/>
      <c r="O20" s="387">
        <f t="shared" si="4"/>
        <v>153481.13821982863</v>
      </c>
      <c r="P20" s="387"/>
      <c r="Q20" s="387">
        <f t="shared" si="5"/>
        <v>158852.97805752262</v>
      </c>
      <c r="R20" s="387"/>
      <c r="S20" s="387">
        <f t="shared" si="6"/>
        <v>164412.8322895359</v>
      </c>
      <c r="T20" s="387"/>
      <c r="U20" s="387">
        <f t="shared" si="7"/>
        <v>170167.28141966966</v>
      </c>
      <c r="V20" s="387"/>
      <c r="W20" s="387">
        <f t="shared" si="8"/>
        <v>176123.13626935807</v>
      </c>
      <c r="X20" s="387"/>
      <c r="Y20" s="387">
        <f t="shared" si="9"/>
        <v>182287.44603878559</v>
      </c>
      <c r="Z20" s="387"/>
      <c r="AA20" s="387">
        <f t="shared" si="10"/>
        <v>188667.50665014307</v>
      </c>
      <c r="AB20" s="387"/>
      <c r="AC20" s="387">
        <f t="shared" si="11"/>
        <v>195270.86938289806</v>
      </c>
      <c r="AD20" s="387"/>
      <c r="AE20" s="387">
        <f t="shared" si="12"/>
        <v>202105.34981129947</v>
      </c>
      <c r="AF20" s="387"/>
      <c r="AG20" s="387">
        <f t="shared" si="13"/>
        <v>209179.03705469493</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494169</v>
      </c>
      <c r="F22" s="388"/>
      <c r="G22" s="388">
        <f>SUM(G15:G21)</f>
        <v>511464.91499999992</v>
      </c>
      <c r="H22" s="388"/>
      <c r="I22" s="388">
        <f>SUM(I15:I21)</f>
        <v>529366.18702499988</v>
      </c>
      <c r="J22" s="388"/>
      <c r="K22" s="388">
        <f>SUM(K15:K21)</f>
        <v>547894.00357087492</v>
      </c>
      <c r="L22" s="388"/>
      <c r="M22" s="388">
        <f>SUM(M15:M21)</f>
        <v>567070.29369585542</v>
      </c>
      <c r="N22" s="388"/>
      <c r="O22" s="388">
        <f>SUM(O15:O21)</f>
        <v>586917.75397521036</v>
      </c>
      <c r="P22" s="388"/>
      <c r="Q22" s="388">
        <f>SUM(Q15:Q21)</f>
        <v>607459.8753643427</v>
      </c>
      <c r="R22" s="388"/>
      <c r="S22" s="388">
        <f>SUM(S15:S21)</f>
        <v>628720.97100209456</v>
      </c>
      <c r="T22" s="388"/>
      <c r="U22" s="388">
        <f>SUM(U15:U21)</f>
        <v>650726.20498716785</v>
      </c>
      <c r="V22" s="388"/>
      <c r="W22" s="388">
        <f>SUM(W15:W21)</f>
        <v>673501.62216171867</v>
      </c>
      <c r="X22" s="388"/>
      <c r="Y22" s="388">
        <f>SUM(Y15:Y21)</f>
        <v>697074.17893737881</v>
      </c>
      <c r="Z22" s="388"/>
      <c r="AA22" s="388">
        <f>SUM(AA15:AA21)</f>
        <v>721471.775200187</v>
      </c>
      <c r="AB22" s="388"/>
      <c r="AC22" s="388">
        <f>SUM(AC15:AC21)</f>
        <v>746723.28733219346</v>
      </c>
      <c r="AD22" s="388"/>
      <c r="AE22" s="388">
        <f>SUM(AE15:AE21)</f>
        <v>772858.60238882015</v>
      </c>
      <c r="AF22" s="388"/>
      <c r="AG22" s="388">
        <f>SUM(AG15:AG21)</f>
        <v>799908.65347242891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45000</v>
      </c>
      <c r="F27" s="387"/>
      <c r="G27" s="387">
        <f>E27*$C$27</f>
        <v>46575</v>
      </c>
      <c r="H27" s="387"/>
      <c r="I27" s="387">
        <f>G27*$C$27</f>
        <v>48205.124999999993</v>
      </c>
      <c r="J27" s="387"/>
      <c r="K27" s="387">
        <f>I27*$C$27</f>
        <v>49892.304374999985</v>
      </c>
      <c r="L27" s="387"/>
      <c r="M27" s="387">
        <f>K27*$C$27</f>
        <v>51638.535028124978</v>
      </c>
      <c r="N27" s="387"/>
      <c r="O27" s="387">
        <f>M27*$C$27</f>
        <v>53445.883754109345</v>
      </c>
      <c r="P27" s="387"/>
      <c r="Q27" s="387">
        <f>O27*$C$27</f>
        <v>55316.489685503169</v>
      </c>
      <c r="R27" s="387"/>
      <c r="S27" s="387">
        <f>Q27*$C$27</f>
        <v>57252.566824495778</v>
      </c>
      <c r="T27" s="387"/>
      <c r="U27" s="387">
        <f>S27*$C$27</f>
        <v>59256.406663353126</v>
      </c>
      <c r="V27" s="387"/>
      <c r="W27" s="387">
        <f>U27*$C$27</f>
        <v>61330.380896570481</v>
      </c>
      <c r="X27" s="387"/>
      <c r="Y27" s="387">
        <f>W27*$C$27</f>
        <v>63476.944227950444</v>
      </c>
      <c r="Z27" s="387"/>
      <c r="AA27" s="387">
        <f>Y27*$C$27</f>
        <v>65698.637275928704</v>
      </c>
      <c r="AB27" s="387"/>
      <c r="AC27" s="387">
        <f>AA27*$C$27</f>
        <v>67998.089580586209</v>
      </c>
      <c r="AD27" s="387"/>
      <c r="AE27" s="387">
        <f>AC27*$C$27</f>
        <v>70378.022715906714</v>
      </c>
      <c r="AF27" s="387"/>
      <c r="AG27" s="387">
        <f>AE27*$C$27</f>
        <v>72841.253510963448</v>
      </c>
    </row>
    <row r="28" spans="1:34" ht="13.8">
      <c r="A28" s="599" t="s">
        <v>1082</v>
      </c>
      <c r="B28" s="376"/>
      <c r="C28" s="407"/>
      <c r="D28" s="376"/>
      <c r="E28" s="387">
        <f>Application!AC868</f>
        <v>35000</v>
      </c>
      <c r="F28" s="387"/>
      <c r="G28" s="387">
        <f>$E$28</f>
        <v>35000</v>
      </c>
      <c r="H28" s="387"/>
      <c r="I28" s="387">
        <f>$E$28</f>
        <v>35000</v>
      </c>
      <c r="J28" s="387"/>
      <c r="K28" s="387">
        <f>$E$28</f>
        <v>35000</v>
      </c>
      <c r="L28" s="387"/>
      <c r="M28" s="387">
        <f>$E$28</f>
        <v>35000</v>
      </c>
      <c r="N28" s="387"/>
      <c r="O28" s="387">
        <f>$E$28</f>
        <v>35000</v>
      </c>
      <c r="P28" s="387"/>
      <c r="Q28" s="387">
        <f>$E$28</f>
        <v>35000</v>
      </c>
      <c r="R28" s="387"/>
      <c r="S28" s="387">
        <f>$E$28</f>
        <v>35000</v>
      </c>
      <c r="T28" s="387"/>
      <c r="U28" s="387">
        <f>$E$28</f>
        <v>35000</v>
      </c>
      <c r="V28" s="387"/>
      <c r="W28" s="387">
        <f>$E$28</f>
        <v>35000</v>
      </c>
      <c r="X28" s="387"/>
      <c r="Y28" s="387">
        <f>$E$28</f>
        <v>35000</v>
      </c>
      <c r="Z28" s="387"/>
      <c r="AA28" s="387">
        <f>$E$28</f>
        <v>35000</v>
      </c>
      <c r="AB28" s="387"/>
      <c r="AC28" s="387">
        <f>$E$28</f>
        <v>35000</v>
      </c>
      <c r="AD28" s="387"/>
      <c r="AE28" s="387">
        <f>$E$28</f>
        <v>35000</v>
      </c>
      <c r="AF28" s="387"/>
      <c r="AG28" s="387">
        <f>$E$28</f>
        <v>35000</v>
      </c>
    </row>
    <row r="29" spans="1:34" ht="13.8">
      <c r="A29" s="599" t="s">
        <v>1937</v>
      </c>
      <c r="B29" s="376"/>
      <c r="C29" s="407"/>
      <c r="D29" s="376"/>
      <c r="E29" s="387">
        <f>Application!AC869</f>
        <v>5000</v>
      </c>
      <c r="F29" s="387"/>
      <c r="G29" s="387">
        <f>$E$29</f>
        <v>5000</v>
      </c>
      <c r="H29" s="387"/>
      <c r="I29" s="387">
        <f>$E$29</f>
        <v>5000</v>
      </c>
      <c r="J29" s="387"/>
      <c r="K29" s="387">
        <f>$E$29</f>
        <v>5000</v>
      </c>
      <c r="L29" s="387"/>
      <c r="M29" s="387">
        <f>$E$29</f>
        <v>5000</v>
      </c>
      <c r="N29" s="387"/>
      <c r="O29" s="387">
        <f>$E$29</f>
        <v>5000</v>
      </c>
      <c r="P29" s="387"/>
      <c r="Q29" s="387">
        <f>$E$29</f>
        <v>5000</v>
      </c>
      <c r="R29" s="387"/>
      <c r="S29" s="387">
        <f>$E$29</f>
        <v>5000</v>
      </c>
      <c r="T29" s="387"/>
      <c r="U29" s="387">
        <f>$E$29</f>
        <v>5000</v>
      </c>
      <c r="V29" s="387"/>
      <c r="W29" s="387">
        <f>$E$29</f>
        <v>5000</v>
      </c>
      <c r="X29" s="387"/>
      <c r="Y29" s="387">
        <f>$E$29</f>
        <v>5000</v>
      </c>
      <c r="Z29" s="387"/>
      <c r="AA29" s="387">
        <f>$E$29</f>
        <v>5000</v>
      </c>
      <c r="AB29" s="387"/>
      <c r="AC29" s="387">
        <f>$E$29</f>
        <v>5000</v>
      </c>
      <c r="AD29" s="387"/>
      <c r="AE29" s="387">
        <f>$E$29</f>
        <v>5000</v>
      </c>
      <c r="AF29" s="387"/>
      <c r="AG29" s="387">
        <f>$E$29</f>
        <v>5000</v>
      </c>
    </row>
    <row r="30" spans="1:34" ht="13.8">
      <c r="A30" s="599" t="s">
        <v>1083</v>
      </c>
      <c r="B30" s="376"/>
      <c r="C30" s="407">
        <v>1.02</v>
      </c>
      <c r="D30" s="376"/>
      <c r="E30" s="387">
        <f>Application!AC870</f>
        <v>1323</v>
      </c>
      <c r="F30" s="387"/>
      <c r="G30" s="387">
        <f>E30*$C$30</f>
        <v>1349.46</v>
      </c>
      <c r="H30" s="387"/>
      <c r="I30" s="387">
        <f>G30*$C$30</f>
        <v>1376.4492</v>
      </c>
      <c r="J30" s="387"/>
      <c r="K30" s="387">
        <f>I30*$C$30</f>
        <v>1403.9781840000001</v>
      </c>
      <c r="L30" s="387"/>
      <c r="M30" s="387">
        <f>K30*$C$30</f>
        <v>1432.0577476800001</v>
      </c>
      <c r="N30" s="387"/>
      <c r="O30" s="387">
        <f>M30*$C$30</f>
        <v>1460.6989026336003</v>
      </c>
      <c r="P30" s="387"/>
      <c r="Q30" s="387">
        <f>O30*$C$30</f>
        <v>1489.9128806862723</v>
      </c>
      <c r="R30" s="387"/>
      <c r="S30" s="387">
        <f>Q30*$C$30</f>
        <v>1519.7111382999979</v>
      </c>
      <c r="T30" s="387"/>
      <c r="U30" s="387">
        <f>S30*$C$30</f>
        <v>1550.1053610659978</v>
      </c>
      <c r="V30" s="387"/>
      <c r="W30" s="387">
        <f>U30*$C$30</f>
        <v>1581.1074682873177</v>
      </c>
      <c r="X30" s="387"/>
      <c r="Y30" s="387">
        <f>W30*$C$30</f>
        <v>1612.729617653064</v>
      </c>
      <c r="Z30" s="387"/>
      <c r="AA30" s="387">
        <f>Y30*$C$30</f>
        <v>1644.9842100061253</v>
      </c>
      <c r="AB30" s="387"/>
      <c r="AC30" s="387">
        <f>AA30*$C$30</f>
        <v>1677.8838942062478</v>
      </c>
      <c r="AD30" s="387"/>
      <c r="AE30" s="387">
        <f>AC30*$C$30</f>
        <v>1711.4415720903728</v>
      </c>
      <c r="AF30" s="387"/>
      <c r="AG30" s="387">
        <f>AE30*$C$30</f>
        <v>1745.6704035321802</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580492</v>
      </c>
      <c r="F35" s="388"/>
      <c r="G35" s="388">
        <f>SUM(G22:G33)</f>
        <v>599389.37499999988</v>
      </c>
      <c r="H35" s="388"/>
      <c r="I35" s="388">
        <f>SUM(I22:I33)</f>
        <v>618947.76122499991</v>
      </c>
      <c r="J35" s="388"/>
      <c r="K35" s="388">
        <f>SUM(K22:K33)</f>
        <v>639190.28612987488</v>
      </c>
      <c r="L35" s="388"/>
      <c r="M35" s="388">
        <f>SUM(M22:M33)</f>
        <v>660140.88647166034</v>
      </c>
      <c r="N35" s="388"/>
      <c r="O35" s="388">
        <f>SUM(O22:O33)</f>
        <v>681824.33663195337</v>
      </c>
      <c r="P35" s="388"/>
      <c r="Q35" s="388">
        <f>SUM(Q22:Q33)</f>
        <v>704266.27793053212</v>
      </c>
      <c r="R35" s="388"/>
      <c r="S35" s="388">
        <f>SUM(S22:S33)</f>
        <v>727493.24896489037</v>
      </c>
      <c r="T35" s="388"/>
      <c r="U35" s="388">
        <f>SUM(U22:U33)</f>
        <v>751532.71701158688</v>
      </c>
      <c r="V35" s="388"/>
      <c r="W35" s="388">
        <f>SUM(W22:W33)</f>
        <v>776413.11052657652</v>
      </c>
      <c r="X35" s="388"/>
      <c r="Y35" s="388">
        <f>SUM(Y22:Y33)</f>
        <v>802163.85278298229</v>
      </c>
      <c r="Z35" s="388"/>
      <c r="AA35" s="388">
        <f>SUM(AA22:AA33)</f>
        <v>828815.39668612182</v>
      </c>
      <c r="AB35" s="388"/>
      <c r="AC35" s="388">
        <f>SUM(AC22:AC33)</f>
        <v>856399.2608069859</v>
      </c>
      <c r="AD35" s="388"/>
      <c r="AE35" s="388">
        <f>SUM(AE22:AE33)</f>
        <v>884948.06667681725</v>
      </c>
      <c r="AF35" s="388"/>
      <c r="AG35" s="388">
        <f>SUM(AG22:AG33)</f>
        <v>914495.57738692453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369167.9</v>
      </c>
      <c r="F37" s="388"/>
      <c r="G37" s="388">
        <f>G11-G35</f>
        <v>372689.90749999997</v>
      </c>
      <c r="H37" s="388"/>
      <c r="I37" s="388">
        <f>I11-I35</f>
        <v>376084.94603750005</v>
      </c>
      <c r="J37" s="388"/>
      <c r="K37" s="388">
        <f>K11-K35</f>
        <v>379342.7103681874</v>
      </c>
      <c r="L37" s="388"/>
      <c r="M37" s="388">
        <f>M11-M35</f>
        <v>382452.39592393325</v>
      </c>
      <c r="N37" s="388"/>
      <c r="O37" s="388">
        <f>O11-O35</f>
        <v>385402.67802831193</v>
      </c>
      <c r="P37" s="388"/>
      <c r="Q37" s="388">
        <f>Q11-Q35</f>
        <v>388181.69030511682</v>
      </c>
      <c r="R37" s="388"/>
      <c r="S37" s="388">
        <f>S11-S35</f>
        <v>390777.00224970467</v>
      </c>
      <c r="T37" s="388"/>
      <c r="U37" s="388">
        <f>U11-U35</f>
        <v>393175.59593188867</v>
      </c>
      <c r="V37" s="388"/>
      <c r="W37" s="388">
        <f>W11-W35</f>
        <v>395363.84179797198</v>
      </c>
      <c r="X37" s="388"/>
      <c r="Y37" s="388">
        <f>Y11-Y35</f>
        <v>397327.47353831574</v>
      </c>
      <c r="Z37" s="388"/>
      <c r="AA37" s="388">
        <f>AA11-AA35</f>
        <v>399051.56198561727</v>
      </c>
      <c r="AB37" s="388"/>
      <c r="AC37" s="388">
        <f>AC11-AC35</f>
        <v>400520.48800780321</v>
      </c>
      <c r="AD37" s="388"/>
      <c r="AE37" s="388">
        <f>AE11-AE35</f>
        <v>401717.91435812355</v>
      </c>
      <c r="AF37" s="388"/>
      <c r="AG37" s="388">
        <f>AG11-AG35</f>
        <v>402626.75644366723</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 Loan- Citi Bank</v>
      </c>
      <c r="B40" s="391"/>
      <c r="C40" s="385"/>
      <c r="D40" s="376"/>
      <c r="E40" s="384">
        <f>Application!AF621</f>
        <v>321015.56515586871</v>
      </c>
      <c r="F40" s="384"/>
      <c r="G40" s="384">
        <f>$E$40</f>
        <v>321015.56515586871</v>
      </c>
      <c r="H40" s="384"/>
      <c r="I40" s="384">
        <f>$E$40</f>
        <v>321015.56515586871</v>
      </c>
      <c r="J40" s="384"/>
      <c r="K40" s="384">
        <f>$E$40</f>
        <v>321015.56515586871</v>
      </c>
      <c r="L40" s="384"/>
      <c r="M40" s="384">
        <f>$E$40</f>
        <v>321015.56515586871</v>
      </c>
      <c r="N40" s="384"/>
      <c r="O40" s="384">
        <f>$E$40</f>
        <v>321015.56515586871</v>
      </c>
      <c r="P40" s="384"/>
      <c r="Q40" s="384">
        <f>$E$40</f>
        <v>321015.56515586871</v>
      </c>
      <c r="R40" s="384"/>
      <c r="S40" s="384">
        <f>$E$40</f>
        <v>321015.56515586871</v>
      </c>
      <c r="T40" s="384"/>
      <c r="U40" s="384">
        <f>$E$40</f>
        <v>321015.56515586871</v>
      </c>
      <c r="V40" s="384"/>
      <c r="W40" s="384">
        <f>$E$40</f>
        <v>321015.56515586871</v>
      </c>
      <c r="X40" s="384"/>
      <c r="Y40" s="384">
        <f>$E$40</f>
        <v>321015.56515586871</v>
      </c>
      <c r="Z40" s="384"/>
      <c r="AA40" s="384">
        <f>$E$40</f>
        <v>321015.56515586871</v>
      </c>
      <c r="AB40" s="384"/>
      <c r="AC40" s="384">
        <f>$E$40</f>
        <v>321015.56515586871</v>
      </c>
      <c r="AD40" s="384"/>
      <c r="AE40" s="384">
        <f>$E$40</f>
        <v>321015.56515586871</v>
      </c>
      <c r="AF40" s="384"/>
      <c r="AG40" s="384">
        <f>$E$40</f>
        <v>321015.56515586871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321015.56515586871</v>
      </c>
      <c r="F43" s="388"/>
      <c r="G43" s="388">
        <f>SUM(G40:G42)</f>
        <v>321015.56515586871</v>
      </c>
      <c r="H43" s="388"/>
      <c r="I43" s="388">
        <f>SUM(I40:I42)</f>
        <v>321015.56515586871</v>
      </c>
      <c r="J43" s="388"/>
      <c r="K43" s="388">
        <f>SUM(K40:K42)</f>
        <v>321015.56515586871</v>
      </c>
      <c r="L43" s="388"/>
      <c r="M43" s="388">
        <f>SUM(M40:M42)</f>
        <v>321015.56515586871</v>
      </c>
      <c r="N43" s="388"/>
      <c r="O43" s="388">
        <f>SUM(O40:O42)</f>
        <v>321015.56515586871</v>
      </c>
      <c r="P43" s="388"/>
      <c r="Q43" s="388">
        <f>SUM(Q40:Q42)</f>
        <v>321015.56515586871</v>
      </c>
      <c r="R43" s="388"/>
      <c r="S43" s="388">
        <f>SUM(S40:S42)</f>
        <v>321015.56515586871</v>
      </c>
      <c r="T43" s="388"/>
      <c r="U43" s="388">
        <f>SUM(U40:U42)</f>
        <v>321015.56515586871</v>
      </c>
      <c r="V43" s="388"/>
      <c r="W43" s="388">
        <f>SUM(W40:W42)</f>
        <v>321015.56515586871</v>
      </c>
      <c r="X43" s="388"/>
      <c r="Y43" s="388">
        <f>SUM(Y40:Y42)</f>
        <v>321015.56515586871</v>
      </c>
      <c r="Z43" s="388"/>
      <c r="AA43" s="388">
        <f>SUM(AA40:AA42)</f>
        <v>321015.56515586871</v>
      </c>
      <c r="AB43" s="388"/>
      <c r="AC43" s="388">
        <f>SUM(AC40:AC42)</f>
        <v>321015.56515586871</v>
      </c>
      <c r="AD43" s="388"/>
      <c r="AE43" s="388">
        <f>SUM(AE40:AE42)</f>
        <v>321015.56515586871</v>
      </c>
      <c r="AF43" s="388"/>
      <c r="AG43" s="388">
        <f>SUM(AG40:AG42)</f>
        <v>321015.56515586871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48152.334844131314</v>
      </c>
      <c r="F45" s="388"/>
      <c r="G45" s="388">
        <f>G37-G43</f>
        <v>51674.342344131263</v>
      </c>
      <c r="H45" s="388"/>
      <c r="I45" s="388">
        <f>I37-I43</f>
        <v>55069.380881631339</v>
      </c>
      <c r="J45" s="388"/>
      <c r="K45" s="388">
        <f>K37-K43</f>
        <v>58327.14521231869</v>
      </c>
      <c r="L45" s="388"/>
      <c r="M45" s="388">
        <f>M37-M43</f>
        <v>61436.830768064538</v>
      </c>
      <c r="N45" s="388"/>
      <c r="O45" s="388">
        <f>O37-O43</f>
        <v>64387.11287244322</v>
      </c>
      <c r="P45" s="388"/>
      <c r="Q45" s="388">
        <f>Q37-Q43</f>
        <v>67166.12514924811</v>
      </c>
      <c r="R45" s="388"/>
      <c r="S45" s="388">
        <f>S37-S43</f>
        <v>69761.437093835964</v>
      </c>
      <c r="T45" s="388"/>
      <c r="U45" s="388">
        <f>U37-U43</f>
        <v>72160.030776019965</v>
      </c>
      <c r="V45" s="388"/>
      <c r="W45" s="388">
        <f>W37-W43</f>
        <v>74348.276642103272</v>
      </c>
      <c r="X45" s="388"/>
      <c r="Y45" s="388">
        <f>Y37-Y43</f>
        <v>76311.908382447029</v>
      </c>
      <c r="Z45" s="388"/>
      <c r="AA45" s="388">
        <f>AA37-AA43</f>
        <v>78035.996829748561</v>
      </c>
      <c r="AB45" s="388"/>
      <c r="AC45" s="388">
        <f>AC37-AC43</f>
        <v>79504.922851934505</v>
      </c>
      <c r="AD45" s="388"/>
      <c r="AE45" s="388">
        <f>AE37-AE43</f>
        <v>80702.349202254845</v>
      </c>
      <c r="AF45" s="388"/>
      <c r="AG45" s="388">
        <f>AG37-AG43</f>
        <v>81611.191287798516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4.8169579553611508E-2</v>
      </c>
      <c r="F47" s="392"/>
      <c r="G47" s="392">
        <f>G45/(G4+G6+G8)</f>
        <v>5.0500639310687816E-2</v>
      </c>
      <c r="H47" s="392"/>
      <c r="I47" s="392">
        <f>I45/(I4+I6+I8)</f>
        <v>5.2577077573137801E-2</v>
      </c>
      <c r="J47" s="392"/>
      <c r="K47" s="392">
        <f>K45/(K4+K6+K8)</f>
        <v>5.440254576161703E-2</v>
      </c>
      <c r="L47" s="392"/>
      <c r="M47" s="392">
        <f>M45/(M4+M6+M8)</f>
        <v>5.5980592063239236E-2</v>
      </c>
      <c r="N47" s="392"/>
      <c r="O47" s="392">
        <f>O45/(O4+O6+O8)</f>
        <v>5.7314663505114556E-2</v>
      </c>
      <c r="P47" s="392"/>
      <c r="Q47" s="392">
        <f>Q45/(Q4+Q6+Q8)</f>
        <v>5.8408107980500078E-2</v>
      </c>
      <c r="R47" s="392"/>
      <c r="S47" s="392">
        <f>S45/(S4+S6+S8)</f>
        <v>5.9264176228565682E-2</v>
      </c>
      <c r="T47" s="392"/>
      <c r="U47" s="392">
        <f>U45/(U4+U6+U8)</f>
        <v>5.9886023768750248E-2</v>
      </c>
      <c r="V47" s="392"/>
      <c r="W47" s="392">
        <f>W45/(W4+W6+W8)</f>
        <v>6.0276712790674009E-2</v>
      </c>
      <c r="X47" s="392"/>
      <c r="Y47" s="392">
        <f>Y45/(Y4+Y6+Y8)</f>
        <v>6.0439214000540156E-2</v>
      </c>
      <c r="Z47" s="392"/>
      <c r="AA47" s="392">
        <f>AA45/(AA4+AA6+AA8)</f>
        <v>6.0376408424945939E-2</v>
      </c>
      <c r="AB47" s="392"/>
      <c r="AC47" s="392">
        <f>AC45/(AC4+AC6+AC8)</f>
        <v>6.00910891730028E-2</v>
      </c>
      <c r="AD47" s="392"/>
      <c r="AE47" s="392">
        <f>AE45/(AE4+AE6+AE8)</f>
        <v>5.9585963157644188E-2</v>
      </c>
      <c r="AF47" s="392"/>
      <c r="AG47" s="392">
        <f>AG45/(AG4+AG6+AG8)</f>
        <v>5.886365277697931E-2</v>
      </c>
      <c r="AH47" s="392"/>
      <c r="AI47" s="392"/>
    </row>
    <row r="48" spans="1:35" ht="13.8">
      <c r="A48" s="392" t="s">
        <v>1089</v>
      </c>
      <c r="B48" s="392"/>
      <c r="C48" s="385"/>
      <c r="D48" s="392"/>
      <c r="E48" s="392">
        <f>E45/E43</f>
        <v>0.15000000022039744</v>
      </c>
      <c r="F48" s="392"/>
      <c r="G48" s="392">
        <f>G45/G43</f>
        <v>0.16097145420048667</v>
      </c>
      <c r="H48" s="392"/>
      <c r="I48" s="392">
        <f>I45/I43</f>
        <v>0.17154738542005735</v>
      </c>
      <c r="J48" s="392"/>
      <c r="K48" s="392">
        <f>K45/K43</f>
        <v>0.18169569187088488</v>
      </c>
      <c r="L48" s="392"/>
      <c r="M48" s="392">
        <f>M45/M43</f>
        <v>0.19138271609426152</v>
      </c>
      <c r="N48" s="392"/>
      <c r="O48" s="392">
        <f>O45/O43</f>
        <v>0.20057318043497405</v>
      </c>
      <c r="P48" s="392"/>
      <c r="Q48" s="392">
        <f>Q45/Q43</f>
        <v>0.20923011978137471</v>
      </c>
      <c r="R48" s="392"/>
      <c r="S48" s="392">
        <f>S45/S43</f>
        <v>0.21731481169756794</v>
      </c>
      <c r="T48" s="392"/>
      <c r="U48" s="392">
        <f>U45/U43</f>
        <v>0.22478670385027202</v>
      </c>
      <c r="V48" s="392"/>
      <c r="W48" s="392">
        <f>W45/W43</f>
        <v>0.23160333862940122</v>
      </c>
      <c r="X48" s="392"/>
      <c r="Y48" s="392">
        <f>Y45/Y43</f>
        <v>0.23772027485768135</v>
      </c>
      <c r="Z48" s="392"/>
      <c r="AA48" s="392">
        <f>AA45/AA43</f>
        <v>0.24309100648081747</v>
      </c>
      <c r="AB48" s="392"/>
      <c r="AC48" s="392">
        <f>AC45/AC43</f>
        <v>0.24766687812577245</v>
      </c>
      <c r="AD48" s="392"/>
      <c r="AE48" s="392">
        <f>AE45/AE43</f>
        <v>0.25139699741060817</v>
      </c>
      <c r="AF48" s="392"/>
      <c r="AG48" s="392">
        <f>AG45/AG43</f>
        <v>0.25422814388508641</v>
      </c>
      <c r="AH48" s="392"/>
      <c r="AI48" s="392"/>
    </row>
    <row r="49" spans="1:35" ht="13.8">
      <c r="A49" s="393" t="s">
        <v>1090</v>
      </c>
      <c r="B49" s="393"/>
      <c r="C49" s="394"/>
      <c r="D49" s="393"/>
      <c r="E49" s="393">
        <f>E37/E43</f>
        <v>1.1500000002203974</v>
      </c>
      <c r="F49" s="393"/>
      <c r="G49" s="393">
        <f>G37/G43</f>
        <v>1.1609714542004868</v>
      </c>
      <c r="H49" s="393"/>
      <c r="I49" s="393">
        <f>I37/I43</f>
        <v>1.1715473854200573</v>
      </c>
      <c r="J49" s="393"/>
      <c r="K49" s="393">
        <f>K37/K43</f>
        <v>1.181695691870885</v>
      </c>
      <c r="L49" s="393"/>
      <c r="M49" s="393">
        <f>M37/M43</f>
        <v>1.1913827160942616</v>
      </c>
      <c r="N49" s="393"/>
      <c r="O49" s="393">
        <f>O37/O43</f>
        <v>1.200573180434974</v>
      </c>
      <c r="P49" s="393"/>
      <c r="Q49" s="393">
        <f>Q37/Q43</f>
        <v>1.2092301197813746</v>
      </c>
      <c r="R49" s="393"/>
      <c r="S49" s="393">
        <f>S37/S43</f>
        <v>1.2173148116975681</v>
      </c>
      <c r="T49" s="393"/>
      <c r="U49" s="393">
        <f>U37/U43</f>
        <v>1.224786703850272</v>
      </c>
      <c r="V49" s="393"/>
      <c r="W49" s="393">
        <f>W37/W43</f>
        <v>1.2316033386294012</v>
      </c>
      <c r="X49" s="393"/>
      <c r="Y49" s="393">
        <f>Y37/Y43</f>
        <v>1.2377202748576814</v>
      </c>
      <c r="Z49" s="393"/>
      <c r="AA49" s="393">
        <f>AA37/AA43</f>
        <v>1.2430910064808174</v>
      </c>
      <c r="AB49" s="393"/>
      <c r="AC49" s="393">
        <f>AC37/AC43</f>
        <v>1.2476668781257725</v>
      </c>
      <c r="AD49" s="393"/>
      <c r="AE49" s="393">
        <f>AE37/AE43</f>
        <v>1.2513969974106083</v>
      </c>
      <c r="AF49" s="393"/>
      <c r="AG49" s="393">
        <f>AG37/AG43</f>
        <v>1.2542281438850864</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10000</v>
      </c>
      <c r="F53" s="374"/>
      <c r="G53" s="819">
        <f>E53*$C$53</f>
        <v>10300</v>
      </c>
      <c r="H53" s="819"/>
      <c r="I53" s="819">
        <f>G53*$C$53</f>
        <v>10609</v>
      </c>
      <c r="J53" s="819"/>
      <c r="K53" s="819">
        <f>I53*$C$53</f>
        <v>10927.27</v>
      </c>
      <c r="L53" s="819"/>
      <c r="M53" s="819">
        <f>K53*$C$53</f>
        <v>11255.088100000001</v>
      </c>
      <c r="N53" s="819"/>
      <c r="O53" s="819">
        <f>M53*$C$53</f>
        <v>11592.740743</v>
      </c>
      <c r="P53" s="819"/>
      <c r="Q53" s="819">
        <f>O53*$C$53</f>
        <v>11940.52296529</v>
      </c>
      <c r="R53" s="819"/>
      <c r="S53" s="819">
        <f>Q53*$C$53</f>
        <v>12298.7386542487</v>
      </c>
      <c r="T53" s="819"/>
      <c r="U53" s="819">
        <f>S53*$C$53</f>
        <v>12667.700813876161</v>
      </c>
      <c r="V53" s="819"/>
      <c r="W53" s="819">
        <f>U53*$C$53</f>
        <v>13047.731838292446</v>
      </c>
      <c r="X53" s="819"/>
      <c r="Y53" s="819">
        <f>W53*$C$53</f>
        <v>13439.163793441219</v>
      </c>
      <c r="Z53" s="819"/>
      <c r="AA53" s="819">
        <f>Y53*$C$53</f>
        <v>13842.338707244457</v>
      </c>
      <c r="AB53" s="819"/>
      <c r="AC53" s="819">
        <f>AA53*$C$53</f>
        <v>14257.60886846179</v>
      </c>
      <c r="AD53" s="819"/>
      <c r="AE53" s="819">
        <f>AC53*$C$53</f>
        <v>14685.337134515645</v>
      </c>
      <c r="AF53" s="819"/>
      <c r="AG53" s="819">
        <f>AE53*$C$53</f>
        <v>15125.897248551115</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15450</v>
      </c>
      <c r="H58" s="380"/>
      <c r="I58" s="380">
        <f>SUM(I53:I57)</f>
        <v>15913.5</v>
      </c>
      <c r="J58" s="380"/>
      <c r="K58" s="380">
        <f>SUM(K53:K57)</f>
        <v>16390.904999999999</v>
      </c>
      <c r="L58" s="380"/>
      <c r="M58" s="380">
        <f>SUM(M53:M57)</f>
        <v>16882.632150000001</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20158.745690161828</v>
      </c>
      <c r="Z58" s="380"/>
      <c r="AA58" s="380">
        <f>SUM(AA53:AA57)</f>
        <v>20763.508060866683</v>
      </c>
      <c r="AB58" s="380"/>
      <c r="AC58" s="380">
        <f>SUM(AC53:AC57)</f>
        <v>21386.413302692687</v>
      </c>
      <c r="AD58" s="380"/>
      <c r="AE58" s="380">
        <f>SUM(AE53:AE57)</f>
        <v>22028.005701773465</v>
      </c>
      <c r="AF58" s="380"/>
      <c r="AG58" s="380">
        <f>SUM(AG53:AG57)</f>
        <v>22688.845872826671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33152.334844131314</v>
      </c>
      <c r="F60" s="374"/>
      <c r="G60" s="374">
        <f>G45-G58</f>
        <v>36224.342344131263</v>
      </c>
      <c r="H60" s="374"/>
      <c r="I60" s="374">
        <f>I45-I58</f>
        <v>39155.880881631339</v>
      </c>
      <c r="J60" s="374"/>
      <c r="K60" s="374">
        <f>K45-K58</f>
        <v>41936.240212318691</v>
      </c>
      <c r="L60" s="374"/>
      <c r="M60" s="374">
        <f>M45-M58</f>
        <v>44554.198618064533</v>
      </c>
      <c r="N60" s="374"/>
      <c r="O60" s="374">
        <f>O45-O58</f>
        <v>46998.001757943217</v>
      </c>
      <c r="P60" s="374"/>
      <c r="Q60" s="374">
        <f>Q45-Q58</f>
        <v>49255.340701313107</v>
      </c>
      <c r="R60" s="374"/>
      <c r="S60" s="374">
        <f>S45-S58</f>
        <v>51313.329112462918</v>
      </c>
      <c r="T60" s="374"/>
      <c r="U60" s="374">
        <f>U45-U58</f>
        <v>53158.479555205718</v>
      </c>
      <c r="V60" s="374"/>
      <c r="W60" s="374">
        <f>W45-W58</f>
        <v>54776.678884664601</v>
      </c>
      <c r="X60" s="374"/>
      <c r="Y60" s="374">
        <f>Y45-Y58</f>
        <v>56153.162692285201</v>
      </c>
      <c r="Z60" s="374"/>
      <c r="AA60" s="374">
        <f>AA45-AA58</f>
        <v>57272.488768881878</v>
      </c>
      <c r="AB60" s="374"/>
      <c r="AC60" s="374">
        <f>AC45-AC58</f>
        <v>58118.509549241819</v>
      </c>
      <c r="AD60" s="374"/>
      <c r="AE60" s="374">
        <f>AE45-AE58</f>
        <v>58674.34350048138</v>
      </c>
      <c r="AF60" s="374"/>
      <c r="AG60" s="374">
        <f>AG45-AG58</f>
        <v>58922.345414971845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967">
        <v>1</v>
      </c>
      <c r="D62" s="374"/>
      <c r="E62" s="401">
        <f>E60*$C$62</f>
        <v>33152.334844131314</v>
      </c>
      <c r="F62" s="374"/>
      <c r="G62" s="821">
        <f>MIN(G60,Application!$AO$623-SUM('15 Year Pro Forma'!$D$62:F62))</f>
        <v>15382.085155868685</v>
      </c>
      <c r="H62" s="374"/>
      <c r="I62" s="821">
        <f>MIN(I60,Application!$AO$623-SUM('15 Year Pro Forma'!$D$62:H62))</f>
        <v>0</v>
      </c>
      <c r="J62" s="374"/>
      <c r="K62" s="821">
        <f>MIN(K60,Application!$AO$623-SUM('15 Year Pro Forma'!$D$62:J62))</f>
        <v>0</v>
      </c>
      <c r="L62" s="374"/>
      <c r="M62" s="821">
        <f>MIN(M60,Application!$AO$623-SUM('15 Year Pro Forma'!$D$62:L62))</f>
        <v>0</v>
      </c>
      <c r="N62" s="374"/>
      <c r="O62" s="821">
        <f>MIN(O60,Application!$AO$623-SUM('15 Year Pro Forma'!$D$62:N62))</f>
        <v>0</v>
      </c>
      <c r="P62" s="374"/>
      <c r="Q62" s="821">
        <f>MIN(Q60,Application!$AO$623-SUM('15 Year Pro Forma'!$D$62:P62))</f>
        <v>0</v>
      </c>
      <c r="R62" s="374"/>
      <c r="S62" s="821">
        <f>MIN(S60,Application!$AO$623-SUM('15 Year Pro Forma'!$D$62:R62))</f>
        <v>0</v>
      </c>
      <c r="T62" s="374"/>
      <c r="U62" s="821">
        <f>MIN(U60,Application!$AO$623-SUM('15 Year Pro Forma'!$D$62:T62))</f>
        <v>0</v>
      </c>
      <c r="V62" s="374"/>
      <c r="W62" s="821">
        <f>MIN(W60,Application!$AO$623-SUM('15 Year Pro Forma'!$D$62:V62))</f>
        <v>0</v>
      </c>
      <c r="X62" s="374"/>
      <c r="Y62" s="821">
        <f>MIN(Y60,Application!$AO$623-SUM('15 Year Pro Forma'!$D$62:X62))</f>
        <v>0</v>
      </c>
      <c r="Z62" s="374"/>
      <c r="AA62" s="821">
        <f>MIN(AA60,Application!$AO$623-SUM('15 Year Pro Forma'!$D$62:Z62))</f>
        <v>0</v>
      </c>
      <c r="AB62" s="374"/>
      <c r="AC62" s="821">
        <f>MIN(AC60,Application!$AO$623-SUM('15 Year Pro Forma'!$D$62:AB62))</f>
        <v>0</v>
      </c>
      <c r="AD62" s="374"/>
      <c r="AE62" s="821">
        <f>MIN(AE60,Application!$AO$623-SUM('15 Year Pro Forma'!$D$62:AD62))</f>
        <v>0</v>
      </c>
      <c r="AF62" s="374"/>
      <c r="AG62" s="821">
        <f>MIN(AG60,Application!$AO$623-SUM('15 Year Pro Forma'!$D$62:AF62))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20842.257188262578</v>
      </c>
      <c r="H72" s="380"/>
      <c r="I72" s="374">
        <f>I60-I62-I70</f>
        <v>39155.880881631339</v>
      </c>
      <c r="J72" s="380"/>
      <c r="K72" s="374">
        <f>K60-K62-K70</f>
        <v>41936.240212318691</v>
      </c>
      <c r="L72" s="380"/>
      <c r="M72" s="374">
        <f>M60-M62-M70</f>
        <v>44554.198618064533</v>
      </c>
      <c r="N72" s="380"/>
      <c r="O72" s="374">
        <f>O60-O62-O70</f>
        <v>46998.001757943217</v>
      </c>
      <c r="P72" s="380"/>
      <c r="Q72" s="374">
        <f>Q60-Q62-Q70</f>
        <v>49255.340701313107</v>
      </c>
      <c r="R72" s="380"/>
      <c r="S72" s="374">
        <f>S60-S62-S70</f>
        <v>51313.329112462918</v>
      </c>
      <c r="T72" s="380"/>
      <c r="U72" s="374">
        <f>U60-U62-U70</f>
        <v>53158.479555205718</v>
      </c>
      <c r="V72" s="380"/>
      <c r="W72" s="374">
        <f>W60-W62-W70</f>
        <v>54776.678884664601</v>
      </c>
      <c r="X72" s="380"/>
      <c r="Y72" s="374">
        <f>Y60-Y62-Y70</f>
        <v>56153.162692285201</v>
      </c>
      <c r="Z72" s="380"/>
      <c r="AA72" s="374">
        <f>AA60-AA62-AA70</f>
        <v>57272.488768881878</v>
      </c>
      <c r="AB72" s="380"/>
      <c r="AC72" s="374">
        <f>AC60-AC62-AC70</f>
        <v>58118.509549241819</v>
      </c>
      <c r="AD72" s="380"/>
      <c r="AE72" s="374">
        <f>AE60-AE62-AE70</f>
        <v>58674.34350048138</v>
      </c>
      <c r="AF72" s="380"/>
      <c r="AG72" s="374">
        <f>AG60-AG62-AG70</f>
        <v>58922.345414971845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1" workbookViewId="0">
      <selection activeCell="F40" sqref="F4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3">
        <f>Application!$G695</f>
        <v>5</v>
      </c>
      <c r="C4" s="602">
        <f>Application!$O695</f>
        <v>383</v>
      </c>
      <c r="D4" s="603"/>
      <c r="E4" s="941">
        <f>1200-Application!Q811</f>
        <v>1073</v>
      </c>
      <c r="F4" s="602">
        <f>$E4*$B4</f>
        <v>5365</v>
      </c>
      <c r="G4" s="603"/>
      <c r="H4" s="602">
        <f>IF($E4=0,0,MAX($E4-$C4,0))</f>
        <v>690</v>
      </c>
      <c r="I4" s="602">
        <f>IF($H4=0,0,($H4*$B4))</f>
        <v>3450</v>
      </c>
    </row>
    <row r="5" spans="1:9">
      <c r="A5" s="602" t="str">
        <f>Application!$B696</f>
        <v>1 Bedroom</v>
      </c>
      <c r="B5" s="942">
        <f>Application!$G696</f>
        <v>9</v>
      </c>
      <c r="C5" s="602">
        <f>Application!$O696</f>
        <v>723</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10</v>
      </c>
      <c r="C6" s="602">
        <f>Application!$O697</f>
        <v>893</v>
      </c>
      <c r="D6" s="603"/>
      <c r="E6" s="941"/>
      <c r="F6" s="602">
        <f t="shared" si="0"/>
        <v>0</v>
      </c>
      <c r="G6" s="603"/>
      <c r="H6" s="602">
        <f t="shared" si="1"/>
        <v>0</v>
      </c>
      <c r="I6" s="602">
        <f t="shared" si="2"/>
        <v>0</v>
      </c>
    </row>
    <row r="7" spans="1:9">
      <c r="A7" s="602">
        <f>Application!$B698</f>
        <v>0</v>
      </c>
      <c r="B7" s="942">
        <f>Application!$G698</f>
        <v>0</v>
      </c>
      <c r="C7" s="602">
        <f>Application!$O698</f>
        <v>0</v>
      </c>
      <c r="D7" s="603"/>
      <c r="E7" s="941"/>
      <c r="F7" s="602">
        <f t="shared" si="0"/>
        <v>0</v>
      </c>
      <c r="G7" s="603"/>
      <c r="H7" s="602">
        <f t="shared" si="1"/>
        <v>0</v>
      </c>
      <c r="I7" s="602">
        <f t="shared" si="2"/>
        <v>0</v>
      </c>
    </row>
    <row r="8" spans="1:9">
      <c r="A8" s="602" t="str">
        <f>Application!$B699</f>
        <v>2 Bedrooms</v>
      </c>
      <c r="B8" s="942">
        <f>Application!$G699</f>
        <v>5</v>
      </c>
      <c r="C8" s="602">
        <f>Application!$O699</f>
        <v>447.6</v>
      </c>
      <c r="D8" s="603"/>
      <c r="E8" s="941">
        <f>1570-Application!U811</f>
        <v>1405</v>
      </c>
      <c r="F8" s="602">
        <f t="shared" si="0"/>
        <v>7025</v>
      </c>
      <c r="G8" s="603"/>
      <c r="H8" s="602">
        <f t="shared" si="1"/>
        <v>957.4</v>
      </c>
      <c r="I8" s="602">
        <f t="shared" si="2"/>
        <v>4787</v>
      </c>
    </row>
    <row r="9" spans="1:9">
      <c r="A9" s="602" t="str">
        <f>Application!$B700</f>
        <v>2 Bedrooms</v>
      </c>
      <c r="B9" s="942">
        <f>Application!$G700</f>
        <v>6</v>
      </c>
      <c r="C9" s="602">
        <f>Application!$O700</f>
        <v>856</v>
      </c>
      <c r="D9" s="603"/>
      <c r="E9" s="941">
        <f>1570-Application!U811</f>
        <v>1405</v>
      </c>
      <c r="F9" s="602">
        <f t="shared" si="0"/>
        <v>8430</v>
      </c>
      <c r="G9" s="603"/>
      <c r="H9" s="602">
        <f t="shared" si="1"/>
        <v>549</v>
      </c>
      <c r="I9" s="602">
        <f t="shared" si="2"/>
        <v>3294</v>
      </c>
    </row>
    <row r="10" spans="1:9">
      <c r="A10" s="602" t="str">
        <f>Application!$B701</f>
        <v>2 Bedrooms</v>
      </c>
      <c r="B10" s="942">
        <f>Application!$G701</f>
        <v>7</v>
      </c>
      <c r="C10" s="602">
        <f>Application!$O701</f>
        <v>856</v>
      </c>
      <c r="D10" s="603"/>
      <c r="E10" s="941"/>
      <c r="F10" s="602">
        <f t="shared" si="0"/>
        <v>0</v>
      </c>
      <c r="G10" s="603"/>
      <c r="H10" s="602">
        <f t="shared" si="1"/>
        <v>0</v>
      </c>
      <c r="I10" s="602">
        <f t="shared" si="2"/>
        <v>0</v>
      </c>
    </row>
    <row r="11" spans="1:9">
      <c r="A11" s="602" t="str">
        <f>Application!$B702</f>
        <v>2 Bedrooms</v>
      </c>
      <c r="B11" s="942">
        <f>Application!$G702</f>
        <v>11</v>
      </c>
      <c r="C11" s="602">
        <f>Application!$O702</f>
        <v>1060.2</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t="str">
        <f>Application!$B704</f>
        <v>3 Bedrooms</v>
      </c>
      <c r="B13" s="942">
        <f>Application!$G704</f>
        <v>5</v>
      </c>
      <c r="C13" s="602">
        <f>Application!$O704</f>
        <v>516.4</v>
      </c>
      <c r="D13" s="603"/>
      <c r="E13" s="941">
        <f>2213-Application!Y811</f>
        <v>2022</v>
      </c>
      <c r="F13" s="602">
        <f t="shared" si="0"/>
        <v>10110</v>
      </c>
      <c r="G13" s="603"/>
      <c r="H13" s="602">
        <f t="shared" si="1"/>
        <v>1505.6</v>
      </c>
      <c r="I13" s="602">
        <f t="shared" si="2"/>
        <v>7528</v>
      </c>
    </row>
    <row r="14" spans="1:9">
      <c r="A14" s="602" t="str">
        <f>Application!$B705</f>
        <v>3 Bedrooms</v>
      </c>
      <c r="B14" s="942">
        <f>Application!$G705</f>
        <v>4</v>
      </c>
      <c r="C14" s="602">
        <f>Application!$O705</f>
        <v>988</v>
      </c>
      <c r="D14" s="603"/>
      <c r="E14" s="941">
        <f>2213-Application!Y811</f>
        <v>2022</v>
      </c>
      <c r="F14" s="602">
        <f t="shared" si="0"/>
        <v>8088</v>
      </c>
      <c r="G14" s="603"/>
      <c r="H14" s="602">
        <f t="shared" si="1"/>
        <v>1034</v>
      </c>
      <c r="I14" s="602">
        <f t="shared" si="2"/>
        <v>4136</v>
      </c>
    </row>
    <row r="15" spans="1:9">
      <c r="A15" s="602" t="str">
        <f>Application!$B706</f>
        <v>3 Bedrooms</v>
      </c>
      <c r="B15" s="942">
        <f>Application!$G706</f>
        <v>3</v>
      </c>
      <c r="C15" s="602">
        <f>Application!$O706</f>
        <v>988</v>
      </c>
      <c r="D15" s="603"/>
      <c r="E15" s="941"/>
      <c r="F15" s="602">
        <f t="shared" si="0"/>
        <v>0</v>
      </c>
      <c r="G15" s="603"/>
      <c r="H15" s="602">
        <f t="shared" si="1"/>
        <v>0</v>
      </c>
      <c r="I15" s="602">
        <f t="shared" si="2"/>
        <v>0</v>
      </c>
    </row>
    <row r="16" spans="1:9">
      <c r="A16" s="602" t="str">
        <f>Application!$B707</f>
        <v>3 Bedrooms</v>
      </c>
      <c r="B16" s="942">
        <f>Application!$G707</f>
        <v>6</v>
      </c>
      <c r="C16" s="602">
        <f>Application!$O707</f>
        <v>1223.8</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710652</v>
      </c>
      <c r="D40" s="603"/>
      <c r="E40" s="603"/>
      <c r="F40" s="606">
        <f>SUM(F4:F38)*12</f>
        <v>468216</v>
      </c>
      <c r="G40" s="607"/>
      <c r="H40" s="605"/>
      <c r="I40" s="606">
        <f>SUM(I4:I38)*12</f>
        <v>278340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D36" sqref="D36"/>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L32" sqref="AL3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10440000</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-10440000</v>
      </c>
      <c r="AJ22" s="1629"/>
      <c r="AK22" s="1629"/>
      <c r="AL22" s="1629"/>
      <c r="AM22" s="1629"/>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38228848.879999995</v>
      </c>
      <c r="U23" s="1293"/>
      <c r="V23" s="1293"/>
      <c r="W23" s="1293"/>
      <c r="X23" s="1293"/>
      <c r="Y23" s="1594">
        <f>Y11+Y22</f>
        <v>0</v>
      </c>
      <c r="Z23" s="1293"/>
      <c r="AA23" s="1293"/>
      <c r="AB23" s="1293"/>
      <c r="AC23" s="1293"/>
      <c r="AD23" s="1594">
        <f>AD11+AD22</f>
        <v>0</v>
      </c>
      <c r="AE23" s="1293"/>
      <c r="AF23" s="1293"/>
      <c r="AG23" s="1293"/>
      <c r="AH23" s="1293"/>
      <c r="AI23" s="1594">
        <f>AI11+AI22</f>
        <v>-10440000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38228848.879999995</v>
      </c>
      <c r="U26" s="1606"/>
      <c r="V26" s="1606"/>
      <c r="W26" s="1606"/>
      <c r="X26" s="1606"/>
      <c r="Y26" s="1093">
        <f>Y23*Y25</f>
        <v>0</v>
      </c>
      <c r="Z26" s="1606"/>
      <c r="AA26" s="1606"/>
      <c r="AB26" s="1606"/>
      <c r="AC26" s="1606"/>
      <c r="AD26" s="1093">
        <f>AD23*AD25</f>
        <v>0</v>
      </c>
      <c r="AE26" s="1606"/>
      <c r="AF26" s="1606"/>
      <c r="AG26" s="1606"/>
      <c r="AH26" s="1606"/>
      <c r="AI26" s="1093">
        <f>AI23*AI25</f>
        <v>-10440000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38228848.879999995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-10440000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593">
        <v>0.04</v>
      </c>
      <c r="AE39" s="1593"/>
      <c r="AF39" s="1593"/>
      <c r="AG39" s="1593"/>
      <c r="AH39" s="1593"/>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4">
        <f>ROUND(AD38*AD39,0)</f>
        <v>0</v>
      </c>
      <c r="AE40" s="1293"/>
      <c r="AF40" s="1293"/>
      <c r="AG40" s="1293"/>
      <c r="AH40" s="1293"/>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43288682.519999996</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43288682.519999996</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226">
        <f>(IF((Y41&lt;AB54),Y41,AB54))</f>
        <v>0</v>
      </c>
      <c r="AC55" s="1227"/>
      <c r="AD55" s="1227"/>
      <c r="AE55" s="1227"/>
      <c r="AF55" s="1228"/>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7">
        <f>AB48-AB56</f>
        <v>43288682.519999996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3"/>
      <c r="AA63" s="1603"/>
      <c r="AB63" s="1603"/>
      <c r="AC63" s="1603"/>
      <c r="AD63" s="1293">
        <f>AI28</f>
        <v>-10440000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3">
        <f>ROUND(Y63*Y66,0)</f>
        <v>0</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0</v>
      </c>
      <c r="AC75" s="1274"/>
      <c r="AD75" s="1274"/>
      <c r="AE75" s="1274"/>
      <c r="AF75" s="1274"/>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7">
        <f>AB48-(AB56+AB77)</f>
        <v>43288682.519999996</v>
      </c>
      <c r="AC79" s="1297"/>
      <c r="AD79" s="1297"/>
      <c r="AE79" s="1297"/>
      <c r="AF79" s="129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10440000</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-10440000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27788848.879999995</v>
      </c>
      <c r="U23" s="1293"/>
      <c r="V23" s="1293"/>
      <c r="W23" s="1293"/>
      <c r="X23" s="1293"/>
      <c r="Y23" s="1594">
        <f>Y11+Y22</f>
        <v>0</v>
      </c>
      <c r="Z23" s="1293"/>
      <c r="AA23" s="1293"/>
      <c r="AB23" s="1293"/>
      <c r="AC23" s="1293"/>
      <c r="AD23" s="1594">
        <f>AD11+AD22</f>
        <v>0</v>
      </c>
      <c r="AE23" s="1293"/>
      <c r="AF23" s="1293"/>
      <c r="AG23" s="1293"/>
      <c r="AH23" s="1293"/>
      <c r="AI23" s="1594">
        <f>AI11+AI22</f>
        <v>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27788848.879999995</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27788848.879999995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2.9" customHeight="1">
      <c r="B36" s="204"/>
      <c r="X36" s="71"/>
      <c r="Y36" s="1597"/>
      <c r="Z36" s="1597"/>
      <c r="AA36" s="1597"/>
      <c r="AB36" s="1597"/>
      <c r="AC36" s="1597"/>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0</v>
      </c>
      <c r="Z38" s="1293"/>
      <c r="AA38" s="1293"/>
      <c r="AB38" s="1293"/>
      <c r="AC38" s="1293"/>
      <c r="AD38" s="1293">
        <f>IF(T24&gt;=(T23+Y23+AD23+AI23),AD28+AI28,0)</f>
        <v>0</v>
      </c>
      <c r="AE38" s="1293"/>
      <c r="AF38" s="1293"/>
      <c r="AG38" s="1293"/>
      <c r="AH38" s="1293"/>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961">
        <f>'Basis &amp; Credits'!AD39:AH39</f>
        <v>0.04</v>
      </c>
      <c r="AE39" s="1961"/>
      <c r="AF39" s="1961"/>
      <c r="AG39" s="1961"/>
      <c r="AH39" s="1961"/>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0</v>
      </c>
      <c r="Z40" s="1293"/>
      <c r="AA40" s="1293"/>
      <c r="AB40" s="1293"/>
      <c r="AC40" s="1293"/>
      <c r="AD40" s="1594">
        <f>ROUND(AD38*AD39,0)</f>
        <v>0</v>
      </c>
      <c r="AE40" s="1293"/>
      <c r="AF40" s="1293"/>
      <c r="AG40" s="1293"/>
      <c r="AH40" s="1293"/>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2.9"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43288682.519999996</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43288682.519999996</v>
      </c>
      <c r="AC48" s="1227"/>
      <c r="AD48" s="1227"/>
      <c r="AE48" s="1227"/>
      <c r="AF48" s="1228"/>
    </row>
    <row r="49" spans="1:40" ht="12.9" customHeight="1">
      <c r="D49" s="3" t="s">
        <v>872</v>
      </c>
      <c r="AA49" s="34"/>
      <c r="AB49" s="1600"/>
      <c r="AC49" s="1601"/>
      <c r="AD49" s="1601"/>
      <c r="AE49" s="1601"/>
      <c r="AF49" s="1602"/>
    </row>
    <row r="50" spans="1:40" s="323" customFormat="1" ht="12.9"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962">
        <f>(IF((Y41&lt;AB54),Y41,AB54))</f>
        <v>0</v>
      </c>
      <c r="AC55" s="1963"/>
      <c r="AD55" s="1963"/>
      <c r="AE55" s="1963"/>
      <c r="AF55" s="1964"/>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7">
        <f>AB48-AB56</f>
        <v>43288682.519999996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3">
        <f>Y28</f>
        <v>0</v>
      </c>
      <c r="Z63" s="1603"/>
      <c r="AA63" s="1603"/>
      <c r="AB63" s="1603"/>
      <c r="AC63" s="1603"/>
      <c r="AD63" s="1293">
        <f>AI28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941</v>
      </c>
      <c r="Y67" s="1293">
        <f>ROUND(Y63*Y66,0)</f>
        <v>0</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00"/>
      <c r="AC70" s="1601"/>
      <c r="AD70" s="1601"/>
      <c r="AE70" s="1601"/>
      <c r="AF70" s="1602"/>
    </row>
    <row r="71" spans="1:34" ht="12.9"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0</v>
      </c>
      <c r="AC75" s="1274"/>
      <c r="AD75" s="1274"/>
      <c r="AE75" s="1274"/>
      <c r="AF75" s="1274"/>
    </row>
    <row r="76" spans="1:34" ht="12.9" customHeight="1">
      <c r="C76" s="3"/>
      <c r="D76" s="3" t="s">
        <v>105</v>
      </c>
      <c r="AB76" s="1175">
        <f>IF((Y67+AD67&lt;AB75),Y67+AD67,AB75)</f>
        <v>0</v>
      </c>
      <c r="AC76" s="1176"/>
      <c r="AD76" s="1176"/>
      <c r="AE76" s="1176"/>
      <c r="AF76" s="1177"/>
    </row>
    <row r="77" spans="1:34" ht="12.9" customHeight="1">
      <c r="C77" s="3"/>
      <c r="D77" s="3" t="s">
        <v>942</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297">
        <f>AB48-(AB56+AB77)</f>
        <v>43288682.519999996</v>
      </c>
      <c r="AC79" s="1297"/>
      <c r="AD79" s="1297"/>
      <c r="AE79" s="1297"/>
      <c r="AF79" s="129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2" t="s">
        <v>342</v>
      </c>
      <c r="B4" s="327"/>
      <c r="C4" s="327"/>
      <c r="D4" s="327"/>
      <c r="E4" s="327"/>
      <c r="F4" s="327"/>
      <c r="G4" s="327"/>
    </row>
    <row r="5" spans="1:7" s="568" customFormat="1" ht="13.2">
      <c r="A5" s="883" t="s">
        <v>956</v>
      </c>
      <c r="B5" s="329">
        <f>'Sources and Uses Budget'!C4</f>
        <v>2700000</v>
      </c>
      <c r="C5" s="329">
        <f>'Sources and Uses Budget'!C4</f>
        <v>2700000</v>
      </c>
      <c r="D5" s="329">
        <f>'Sources and Uses Budget'!C4</f>
        <v>2700000</v>
      </c>
      <c r="E5" s="331">
        <f>C5-B5</f>
        <v>0</v>
      </c>
      <c r="F5" s="330"/>
      <c r="G5" s="330"/>
    </row>
    <row r="6" spans="1:7" s="568" customFormat="1" ht="13.2">
      <c r="A6" s="883" t="s">
        <v>957</v>
      </c>
      <c r="B6" s="329">
        <f>'Sources and Uses Budget'!C5</f>
        <v>0</v>
      </c>
      <c r="C6" s="329">
        <f>'Sources and Uses Budget'!C5</f>
        <v>0</v>
      </c>
      <c r="D6" s="329">
        <f>'Sources and Uses Budget'!C5</f>
        <v>0</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958</v>
      </c>
      <c r="B9" s="331">
        <f>SUM(B5:B8)</f>
        <v>2700000</v>
      </c>
      <c r="C9" s="331">
        <f>SUM(C5:C8)</f>
        <v>2700000</v>
      </c>
      <c r="D9" s="331">
        <f>SUM(D5:D8)</f>
        <v>2700000</v>
      </c>
      <c r="E9" s="331">
        <f t="shared" si="0"/>
        <v>0</v>
      </c>
      <c r="F9" s="330"/>
      <c r="G9" s="330"/>
    </row>
    <row r="10" spans="1:7" s="568" customFormat="1" ht="13.2">
      <c r="A10" s="883" t="s">
        <v>585</v>
      </c>
      <c r="B10" s="329">
        <f>'Sources and Uses Budget'!C9</f>
        <v>0</v>
      </c>
      <c r="C10" s="329">
        <f>'Sources and Uses Budget'!C9</f>
        <v>0</v>
      </c>
      <c r="D10" s="329">
        <f>'Sources and Uses Budget'!C9</f>
        <v>0</v>
      </c>
      <c r="E10" s="331">
        <f t="shared" si="0"/>
        <v>0</v>
      </c>
      <c r="F10" s="330"/>
      <c r="G10" s="330"/>
    </row>
    <row r="11" spans="1:7" s="568" customFormat="1" ht="13.2">
      <c r="A11" s="883" t="s">
        <v>959</v>
      </c>
      <c r="B11" s="329">
        <f>'Sources and Uses Budget'!C10</f>
        <v>0</v>
      </c>
      <c r="C11" s="329">
        <f>'Sources and Uses Budget'!C10</f>
        <v>0</v>
      </c>
      <c r="D11" s="329">
        <f>'Sources and Uses Budget'!C10</f>
        <v>0</v>
      </c>
      <c r="E11" s="331">
        <f t="shared" si="0"/>
        <v>0</v>
      </c>
      <c r="F11" s="330"/>
      <c r="G11" s="330"/>
    </row>
    <row r="12" spans="1:7" s="568" customFormat="1" ht="13.2">
      <c r="A12" s="884" t="s">
        <v>586</v>
      </c>
      <c r="B12" s="331">
        <f>SUM(B10:B11)</f>
        <v>0</v>
      </c>
      <c r="C12" s="331">
        <f>SUM(C10:C11)</f>
        <v>0</v>
      </c>
      <c r="D12" s="331">
        <f>SUM(D10:D11)</f>
        <v>0</v>
      </c>
      <c r="E12" s="331">
        <f t="shared" si="0"/>
        <v>0</v>
      </c>
      <c r="F12" s="330"/>
      <c r="G12" s="330"/>
    </row>
    <row r="13" spans="1:7" s="568" customFormat="1" ht="13.2">
      <c r="A13" s="884" t="s">
        <v>711</v>
      </c>
      <c r="B13" s="331">
        <f>SUM(B9+B12)</f>
        <v>2700000</v>
      </c>
      <c r="C13" s="331">
        <f>SUM(C9+C12)</f>
        <v>2700000</v>
      </c>
      <c r="D13" s="331">
        <f>SUM(D9+D12)</f>
        <v>2700000</v>
      </c>
      <c r="E13" s="331">
        <f t="shared" si="0"/>
        <v>0</v>
      </c>
      <c r="F13" s="330"/>
      <c r="G13" s="330"/>
    </row>
    <row r="14" spans="1:7" s="568" customFormat="1" ht="13.2">
      <c r="A14" s="885" t="s">
        <v>1110</v>
      </c>
      <c r="B14" s="329">
        <f>'Sources and Uses Budget'!C13</f>
        <v>0</v>
      </c>
      <c r="C14" s="329">
        <f>'Sources and Uses Budget'!C13</f>
        <v>0</v>
      </c>
      <c r="D14" s="329">
        <f>'Sources and Uses Budget'!C13</f>
        <v>0</v>
      </c>
      <c r="E14" s="331">
        <f t="shared" si="0"/>
        <v>0</v>
      </c>
      <c r="F14" s="330"/>
      <c r="G14" s="330"/>
    </row>
    <row r="15" spans="1:7" s="568" customFormat="1" ht="22.8">
      <c r="A15" s="883" t="s">
        <v>1141</v>
      </c>
      <c r="B15" s="329">
        <f>'Sources and Uses Budget'!C14</f>
        <v>0</v>
      </c>
      <c r="C15" s="329">
        <f>'Sources and Uses Budget'!C14</f>
        <v>0</v>
      </c>
      <c r="D15" s="329">
        <f>'Sources and Uses Budget'!C14</f>
        <v>0</v>
      </c>
      <c r="E15" s="331">
        <f t="shared" si="0"/>
        <v>0</v>
      </c>
      <c r="F15" s="330"/>
      <c r="G15" s="330"/>
    </row>
    <row r="16" spans="1:7" s="568" customFormat="1" ht="13.2">
      <c r="A16" s="883" t="s">
        <v>1681</v>
      </c>
      <c r="B16" s="329">
        <f>'Sources and Uses Budget'!C15</f>
        <v>0</v>
      </c>
      <c r="C16" s="329">
        <f>'Sources and Uses Budget'!C15</f>
        <v>0</v>
      </c>
      <c r="D16" s="329">
        <f>'Sources and Uses Budget'!C15</f>
        <v>0</v>
      </c>
      <c r="E16" s="331">
        <f t="shared" si="0"/>
        <v>0</v>
      </c>
      <c r="F16" s="330"/>
      <c r="G16" s="330"/>
    </row>
    <row r="17" spans="1:7" s="568" customFormat="1" ht="13.2">
      <c r="A17" s="882"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3">
        <f>'Sources and Uses Budget'!C26</f>
        <v>0</v>
      </c>
      <c r="C27" s="893">
        <f>'Sources and Uses Budget'!C26</f>
        <v>0</v>
      </c>
      <c r="D27" s="893">
        <f>'Sources and Uses Budget'!C26</f>
        <v>0</v>
      </c>
      <c r="E27" s="331">
        <f>C27-B27</f>
        <v>0</v>
      </c>
      <c r="F27" s="330"/>
      <c r="G27" s="330"/>
    </row>
    <row r="28" spans="1:7" s="568" customFormat="1" ht="13.2">
      <c r="A28" s="886" t="s">
        <v>917</v>
      </c>
      <c r="B28" s="329">
        <f>'Sources and Uses Budget'!C27</f>
        <v>0</v>
      </c>
      <c r="C28" s="329">
        <f>'Sources and Uses Budget'!C27</f>
        <v>0</v>
      </c>
      <c r="D28" s="329">
        <f>'Sources and Uses Budget'!C27</f>
        <v>0</v>
      </c>
      <c r="E28" s="331">
        <f>C28-B28</f>
        <v>0</v>
      </c>
      <c r="F28" s="330"/>
      <c r="G28" s="330"/>
    </row>
    <row r="29" spans="1:7" s="568" customFormat="1" ht="13.2">
      <c r="A29" s="882" t="s">
        <v>918</v>
      </c>
      <c r="B29" s="327"/>
      <c r="C29" s="327"/>
      <c r="D29" s="327"/>
      <c r="E29" s="327"/>
      <c r="F29" s="327"/>
      <c r="G29" s="327"/>
    </row>
    <row r="30" spans="1:7" s="568" customFormat="1" ht="13.2">
      <c r="A30" s="239" t="s">
        <v>910</v>
      </c>
      <c r="B30" s="329">
        <f>'Sources and Uses Budget'!C29</f>
        <v>4989702</v>
      </c>
      <c r="C30" s="329">
        <f>'Sources and Uses Budget'!C29</f>
        <v>4989702</v>
      </c>
      <c r="D30" s="329">
        <f>'Sources and Uses Budget'!C29</f>
        <v>4989702</v>
      </c>
      <c r="E30" s="331">
        <f t="shared" si="0"/>
        <v>0</v>
      </c>
      <c r="F30" s="330"/>
      <c r="G30" s="330"/>
    </row>
    <row r="31" spans="1:7" s="568" customFormat="1" ht="13.2">
      <c r="A31" s="239" t="s">
        <v>911</v>
      </c>
      <c r="B31" s="329">
        <f>'Sources and Uses Budget'!C30</f>
        <v>18000000</v>
      </c>
      <c r="C31" s="329">
        <f>'Sources and Uses Budget'!C30</f>
        <v>18000000</v>
      </c>
      <c r="D31" s="329">
        <f>'Sources and Uses Budget'!C30</f>
        <v>18000000</v>
      </c>
      <c r="E31" s="331">
        <f t="shared" si="0"/>
        <v>0</v>
      </c>
      <c r="F31" s="330"/>
      <c r="G31" s="330"/>
    </row>
    <row r="32" spans="1:7" s="568" customFormat="1" ht="13.2">
      <c r="A32" s="239" t="s">
        <v>912</v>
      </c>
      <c r="B32" s="329">
        <f>'Sources and Uses Budget'!C31</f>
        <v>1509925.58</v>
      </c>
      <c r="C32" s="329">
        <f>'Sources and Uses Budget'!C31</f>
        <v>1509925.58</v>
      </c>
      <c r="D32" s="329">
        <f>'Sources and Uses Budget'!C31</f>
        <v>1509925.58</v>
      </c>
      <c r="E32" s="331">
        <f t="shared" si="0"/>
        <v>0</v>
      </c>
      <c r="F32" s="330"/>
      <c r="G32" s="330"/>
    </row>
    <row r="33" spans="1:7" s="568" customFormat="1" ht="13.2">
      <c r="A33" s="239" t="s">
        <v>913</v>
      </c>
      <c r="B33" s="329">
        <f>'Sources and Uses Budget'!C32</f>
        <v>1183583.6160000002</v>
      </c>
      <c r="C33" s="329">
        <f>'Sources and Uses Budget'!C32</f>
        <v>1183583.6160000002</v>
      </c>
      <c r="D33" s="329">
        <f>'Sources and Uses Budget'!C32</f>
        <v>1183583.6160000002</v>
      </c>
      <c r="E33" s="331">
        <f t="shared" si="0"/>
        <v>0</v>
      </c>
      <c r="F33" s="330"/>
      <c r="G33" s="330"/>
    </row>
    <row r="34" spans="1:7" s="568" customFormat="1" ht="13.2">
      <c r="A34" s="239" t="s">
        <v>914</v>
      </c>
      <c r="B34" s="329">
        <f>'Sources and Uses Budget'!C33</f>
        <v>295895.90400000004</v>
      </c>
      <c r="C34" s="329">
        <f>'Sources and Uses Budget'!C33</f>
        <v>295895.90400000004</v>
      </c>
      <c r="D34" s="329">
        <f>'Sources and Uses Budget'!C33</f>
        <v>295895.90400000004</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567582.14</v>
      </c>
      <c r="C36" s="329">
        <f>'Sources and Uses Budget'!C35</f>
        <v>567582.14</v>
      </c>
      <c r="D36" s="329">
        <f>'Sources and Uses Budget'!C35</f>
        <v>567582.14</v>
      </c>
      <c r="E36" s="331">
        <f t="shared" si="0"/>
        <v>0</v>
      </c>
      <c r="F36" s="330"/>
      <c r="G36" s="330"/>
    </row>
    <row r="37" spans="1:7" s="568" customFormat="1" ht="13.2">
      <c r="A37" s="239" t="s">
        <v>1952</v>
      </c>
      <c r="B37" s="329">
        <f>'Sources and Uses Budget'!C36</f>
        <v>250000</v>
      </c>
      <c r="C37" s="329">
        <f>'Sources and Uses Budget'!C36</f>
        <v>250000</v>
      </c>
      <c r="D37" s="329">
        <f>'Sources and Uses Budget'!C36</f>
        <v>250000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6" t="s">
        <v>919</v>
      </c>
      <c r="B39" s="893">
        <f>'Sources and Uses Budget'!C38</f>
        <v>26796689.239999998</v>
      </c>
      <c r="C39" s="893">
        <f>'Sources and Uses Budget'!C38</f>
        <v>26796689.239999998</v>
      </c>
      <c r="D39" s="893">
        <f>'Sources and Uses Budget'!C38</f>
        <v>26796689.239999998</v>
      </c>
      <c r="E39" s="331">
        <f>C39-B39</f>
        <v>0</v>
      </c>
      <c r="F39" s="330"/>
      <c r="G39" s="330"/>
    </row>
    <row r="40" spans="1:7" s="568" customFormat="1" ht="13.2">
      <c r="A40" s="882" t="s">
        <v>920</v>
      </c>
      <c r="B40" s="327"/>
      <c r="C40" s="327"/>
      <c r="D40" s="327"/>
      <c r="E40" s="327"/>
      <c r="F40" s="327"/>
      <c r="G40" s="327"/>
    </row>
    <row r="41" spans="1:7" s="568" customFormat="1" ht="13.2">
      <c r="A41" s="887" t="s">
        <v>921</v>
      </c>
      <c r="B41" s="329">
        <f>'Sources and Uses Budget'!C40</f>
        <v>651345</v>
      </c>
      <c r="C41" s="329">
        <f>'Sources and Uses Budget'!C40</f>
        <v>651345</v>
      </c>
      <c r="D41" s="329">
        <f>'Sources and Uses Budget'!C40</f>
        <v>651345</v>
      </c>
      <c r="E41" s="331">
        <f>C41-B41</f>
        <v>0</v>
      </c>
      <c r="F41" s="330"/>
      <c r="G41" s="330"/>
    </row>
    <row r="42" spans="1:7" s="568" customFormat="1" ht="13.2">
      <c r="A42" s="887" t="s">
        <v>922</v>
      </c>
      <c r="B42" s="329">
        <f>'Sources and Uses Budget'!C41</f>
        <v>651345</v>
      </c>
      <c r="C42" s="329">
        <f>'Sources and Uses Budget'!C41</f>
        <v>651345</v>
      </c>
      <c r="D42" s="329">
        <f>'Sources and Uses Budget'!C41</f>
        <v>651345</v>
      </c>
      <c r="E42" s="331">
        <f>C42-B42</f>
        <v>0</v>
      </c>
      <c r="F42" s="330"/>
      <c r="G42" s="330"/>
    </row>
    <row r="43" spans="1:7" s="568" customFormat="1" ht="12" customHeight="1">
      <c r="A43" s="886" t="s">
        <v>923</v>
      </c>
      <c r="B43" s="893">
        <f>'Sources and Uses Budget'!C42</f>
        <v>1302690</v>
      </c>
      <c r="C43" s="893">
        <f>'Sources and Uses Budget'!C42</f>
        <v>1302690</v>
      </c>
      <c r="D43" s="893">
        <f>'Sources and Uses Budget'!C42</f>
        <v>1302690</v>
      </c>
      <c r="E43" s="331">
        <f>C43-B43</f>
        <v>0</v>
      </c>
      <c r="F43" s="330"/>
      <c r="G43" s="330"/>
    </row>
    <row r="44" spans="1:7" s="568" customFormat="1" ht="13.2">
      <c r="A44" s="886" t="s">
        <v>924</v>
      </c>
      <c r="B44" s="329">
        <f>'Sources and Uses Budget'!C43</f>
        <v>0</v>
      </c>
      <c r="C44" s="329">
        <f>'Sources and Uses Budget'!C43</f>
        <v>0</v>
      </c>
      <c r="D44" s="329">
        <f>'Sources and Uses Budget'!C43</f>
        <v>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3887398.11</v>
      </c>
      <c r="C46" s="329">
        <f>'Sources and Uses Budget'!C45</f>
        <v>3887398.11</v>
      </c>
      <c r="D46" s="329">
        <f>'Sources and Uses Budget'!C45</f>
        <v>3887398.11</v>
      </c>
      <c r="E46" s="331">
        <f t="shared" si="0"/>
        <v>0</v>
      </c>
      <c r="F46" s="330"/>
      <c r="G46" s="330"/>
    </row>
    <row r="47" spans="1:7" s="568" customFormat="1" ht="13.2">
      <c r="A47" s="239" t="s">
        <v>927</v>
      </c>
      <c r="B47" s="329">
        <f>'Sources and Uses Budget'!C46</f>
        <v>421540.16</v>
      </c>
      <c r="C47" s="329">
        <f>'Sources and Uses Budget'!C46</f>
        <v>421540.16</v>
      </c>
      <c r="D47" s="329">
        <f>'Sources and Uses Budget'!C46</f>
        <v>421540.16</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283791.07</v>
      </c>
      <c r="C49" s="329">
        <f>'Sources and Uses Budget'!C48</f>
        <v>283791.07</v>
      </c>
      <c r="D49" s="329">
        <f>'Sources and Uses Budget'!C48</f>
        <v>283791.07</v>
      </c>
      <c r="E49" s="331">
        <f t="shared" si="0"/>
        <v>0</v>
      </c>
      <c r="F49" s="330"/>
      <c r="G49" s="330"/>
    </row>
    <row r="50" spans="1:7" s="568" customFormat="1" ht="13.2">
      <c r="A50" s="239" t="s">
        <v>932</v>
      </c>
      <c r="B50" s="329">
        <f>'Sources and Uses Budget'!C49</f>
        <v>60000</v>
      </c>
      <c r="C50" s="329">
        <f>'Sources and Uses Budget'!C49</f>
        <v>60000</v>
      </c>
      <c r="D50" s="329">
        <f>'Sources and Uses Budget'!C49</f>
        <v>60000</v>
      </c>
      <c r="E50" s="331">
        <f t="shared" si="0"/>
        <v>0</v>
      </c>
      <c r="F50" s="330"/>
      <c r="G50" s="330"/>
    </row>
    <row r="51" spans="1:7" s="568" customFormat="1" ht="13.2">
      <c r="A51" s="239" t="s">
        <v>930</v>
      </c>
      <c r="B51" s="329">
        <f>'Sources and Uses Budget'!C50</f>
        <v>0</v>
      </c>
      <c r="C51" s="329">
        <f>'Sources and Uses Budget'!C50</f>
        <v>0</v>
      </c>
      <c r="D51" s="329">
        <f>'Sources and Uses Budget'!C50</f>
        <v>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50000</v>
      </c>
      <c r="C53" s="329">
        <f>'Sources and Uses Budget'!C52</f>
        <v>50000</v>
      </c>
      <c r="D53" s="329">
        <f>'Sources and Uses Budget'!C52</f>
        <v>50000</v>
      </c>
      <c r="E53" s="331">
        <f t="shared" si="0"/>
        <v>0</v>
      </c>
      <c r="F53" s="330"/>
      <c r="G53" s="330"/>
    </row>
    <row r="54" spans="1:7" s="568" customFormat="1" ht="13.2">
      <c r="A54" s="243" t="s">
        <v>933</v>
      </c>
      <c r="B54" s="893">
        <f>'Sources and Uses Budget'!C53</f>
        <v>4702729.34</v>
      </c>
      <c r="C54" s="893">
        <f>'Sources and Uses Budget'!C53</f>
        <v>4702729.34</v>
      </c>
      <c r="D54" s="893">
        <f>'Sources and Uses Budget'!C53</f>
        <v>4702729.34</v>
      </c>
      <c r="E54" s="331">
        <f t="shared" si="0"/>
        <v>0</v>
      </c>
      <c r="F54" s="330"/>
      <c r="G54" s="330"/>
    </row>
    <row r="55" spans="1:7" s="568" customFormat="1" ht="12" customHeight="1">
      <c r="A55" s="882" t="s">
        <v>683</v>
      </c>
      <c r="B55" s="327"/>
      <c r="C55" s="327"/>
      <c r="D55" s="327"/>
      <c r="E55" s="327"/>
      <c r="F55" s="327"/>
      <c r="G55" s="327"/>
    </row>
    <row r="56" spans="1:7" s="568" customFormat="1" ht="13.2">
      <c r="A56" s="887" t="s">
        <v>934</v>
      </c>
      <c r="B56" s="329">
        <f>'Sources and Uses Budget'!C55</f>
        <v>46758.41</v>
      </c>
      <c r="C56" s="329">
        <f>'Sources and Uses Budget'!C55</f>
        <v>46758.41</v>
      </c>
      <c r="D56" s="329">
        <f>'Sources and Uses Budget'!C55</f>
        <v>46758.41</v>
      </c>
      <c r="E56" s="331">
        <f t="shared" si="0"/>
        <v>0</v>
      </c>
      <c r="F56" s="330"/>
      <c r="G56" s="330"/>
    </row>
    <row r="57" spans="1:7" s="568" customFormat="1" ht="13.2">
      <c r="A57" s="887" t="s">
        <v>928</v>
      </c>
      <c r="B57" s="329">
        <f>'Sources and Uses Budget'!C56</f>
        <v>500</v>
      </c>
      <c r="C57" s="329">
        <f>'Sources and Uses Budget'!C56</f>
        <v>500</v>
      </c>
      <c r="D57" s="329">
        <f>'Sources and Uses Budget'!C56</f>
        <v>500</v>
      </c>
      <c r="E57" s="331">
        <f t="shared" si="0"/>
        <v>0</v>
      </c>
      <c r="F57" s="330"/>
      <c r="G57" s="330"/>
    </row>
    <row r="58" spans="1:7" s="568" customFormat="1" ht="13.2">
      <c r="A58" s="887" t="s">
        <v>932</v>
      </c>
      <c r="B58" s="329">
        <f>'Sources and Uses Budget'!C57</f>
        <v>0</v>
      </c>
      <c r="C58" s="329">
        <f>'Sources and Uses Budget'!C57</f>
        <v>0</v>
      </c>
      <c r="D58" s="329">
        <f>'Sources and Uses Budget'!C57</f>
        <v>0</v>
      </c>
      <c r="E58" s="331">
        <f t="shared" si="0"/>
        <v>0</v>
      </c>
      <c r="F58" s="330"/>
      <c r="G58" s="330"/>
    </row>
    <row r="59" spans="1:7" s="568" customFormat="1" ht="13.2">
      <c r="A59" s="887" t="s">
        <v>930</v>
      </c>
      <c r="B59" s="329">
        <f>'Sources and Uses Budget'!C58</f>
        <v>0</v>
      </c>
      <c r="C59" s="329">
        <f>'Sources and Uses Budget'!C58</f>
        <v>0</v>
      </c>
      <c r="D59" s="329">
        <f>'Sources and Uses Budget'!C58</f>
        <v>0</v>
      </c>
      <c r="E59" s="331">
        <f t="shared" si="0"/>
        <v>0</v>
      </c>
      <c r="F59" s="330"/>
      <c r="G59" s="330"/>
    </row>
    <row r="60" spans="1:7" s="568" customFormat="1" ht="13.2">
      <c r="A60" s="887" t="s">
        <v>931</v>
      </c>
      <c r="B60" s="329">
        <f>'Sources and Uses Budget'!C59</f>
        <v>0</v>
      </c>
      <c r="C60" s="329">
        <f>'Sources and Uses Budget'!C59</f>
        <v>0</v>
      </c>
      <c r="D60" s="329">
        <f>'Sources and Uses Budget'!C59</f>
        <v>0</v>
      </c>
      <c r="E60" s="331">
        <f t="shared" si="0"/>
        <v>0</v>
      </c>
      <c r="F60" s="330"/>
      <c r="G60" s="330"/>
    </row>
    <row r="61" spans="1:7" s="568" customFormat="1" ht="13.95" customHeight="1">
      <c r="A61" s="888" t="s">
        <v>533</v>
      </c>
      <c r="B61" s="329">
        <f>'Sources and Uses Budget'!C60</f>
        <v>88000</v>
      </c>
      <c r="C61" s="329">
        <f>'Sources and Uses Budget'!C60</f>
        <v>88000</v>
      </c>
      <c r="D61" s="329">
        <f>'Sources and Uses Budget'!C60</f>
        <v>88000</v>
      </c>
      <c r="E61" s="331">
        <f t="shared" si="0"/>
        <v>0</v>
      </c>
      <c r="F61" s="330"/>
      <c r="G61" s="330"/>
    </row>
    <row r="62" spans="1:7" s="568" customFormat="1" ht="13.2">
      <c r="A62" s="886" t="s">
        <v>500</v>
      </c>
      <c r="B62" s="893">
        <f>'Sources and Uses Budget'!C61</f>
        <v>135258.41</v>
      </c>
      <c r="C62" s="893">
        <f>'Sources and Uses Budget'!C61</f>
        <v>135258.41</v>
      </c>
      <c r="D62" s="893">
        <f>'Sources and Uses Budget'!C61</f>
        <v>135258.41</v>
      </c>
      <c r="E62" s="331">
        <f t="shared" si="0"/>
        <v>0</v>
      </c>
      <c r="F62" s="330"/>
      <c r="G62" s="330"/>
    </row>
    <row r="63" spans="1:7" s="568" customFormat="1" ht="13.2">
      <c r="A63" s="889" t="s">
        <v>501</v>
      </c>
      <c r="B63" s="893">
        <f>'Sources and Uses Budget'!C62</f>
        <v>35637366.989999995</v>
      </c>
      <c r="C63" s="893">
        <f>'Sources and Uses Budget'!C62</f>
        <v>35637366.989999995</v>
      </c>
      <c r="D63" s="893">
        <f>'Sources and Uses Budget'!C62</f>
        <v>35637366.989999995</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185000</v>
      </c>
      <c r="C65" s="329">
        <f>'Sources and Uses Budget'!C64</f>
        <v>185000</v>
      </c>
      <c r="D65" s="329">
        <f>'Sources and Uses Budget'!C64</f>
        <v>185000</v>
      </c>
      <c r="E65" s="331">
        <f t="shared" si="0"/>
        <v>0</v>
      </c>
      <c r="F65" s="330"/>
      <c r="G65" s="330"/>
    </row>
    <row r="66" spans="1:7" s="568" customFormat="1" ht="22.8">
      <c r="A66" s="239" t="s">
        <v>1954</v>
      </c>
      <c r="B66" s="329">
        <f>'Sources and Uses Budget'!C65</f>
        <v>250000</v>
      </c>
      <c r="C66" s="329">
        <f>'Sources and Uses Budget'!C65</f>
        <v>250000</v>
      </c>
      <c r="D66" s="329">
        <f>'Sources and Uses Budget'!C65</f>
        <v>250000</v>
      </c>
      <c r="E66" s="331">
        <f t="shared" si="0"/>
        <v>0</v>
      </c>
      <c r="F66" s="330"/>
      <c r="G66" s="330"/>
    </row>
    <row r="67" spans="1:7" s="568" customFormat="1" ht="22.8">
      <c r="A67" s="239" t="s">
        <v>1955</v>
      </c>
      <c r="B67" s="329">
        <f>'Sources and Uses Budget'!C66</f>
        <v>352440</v>
      </c>
      <c r="C67" s="329">
        <f>'Sources and Uses Budget'!C66</f>
        <v>352440</v>
      </c>
      <c r="D67" s="329">
        <f>'Sources and Uses Budget'!C66</f>
        <v>352440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0</v>
      </c>
      <c r="C69" s="329">
        <f>'Sources and Uses Budget'!C68</f>
        <v>0</v>
      </c>
      <c r="D69" s="329">
        <f>'Sources and Uses Budget'!C68</f>
        <v>0</v>
      </c>
      <c r="E69" s="331">
        <f t="shared" si="0"/>
        <v>0</v>
      </c>
      <c r="F69" s="330"/>
      <c r="G69" s="330"/>
    </row>
    <row r="70" spans="1:7" s="568" customFormat="1" ht="13.2">
      <c r="A70" s="243" t="s">
        <v>1957</v>
      </c>
      <c r="B70" s="893">
        <f>'Sources and Uses Budget'!C69</f>
        <v>787440</v>
      </c>
      <c r="C70" s="893">
        <f>'Sources and Uses Budget'!C69</f>
        <v>787440</v>
      </c>
      <c r="D70" s="893">
        <f>'Sources and Uses Budget'!C69</f>
        <v>787440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0</v>
      </c>
      <c r="C72" s="329">
        <f>'Sources and Uses Budget'!C71</f>
        <v>0</v>
      </c>
      <c r="D72" s="329">
        <f>'Sources and Uses Budget'!C71</f>
        <v>0</v>
      </c>
      <c r="E72" s="331">
        <f t="shared" si="0"/>
        <v>0</v>
      </c>
      <c r="F72" s="330"/>
      <c r="G72" s="330"/>
    </row>
    <row r="73" spans="1:7" s="568" customFormat="1" ht="13.2">
      <c r="A73" s="887" t="s">
        <v>287</v>
      </c>
      <c r="B73" s="329">
        <f>'Sources and Uses Budget'!C72</f>
        <v>0</v>
      </c>
      <c r="C73" s="329">
        <f>'Sources and Uses Budget'!C72</f>
        <v>0</v>
      </c>
      <c r="D73" s="329">
        <f>'Sources and Uses Budget'!C72</f>
        <v>0</v>
      </c>
      <c r="E73" s="331">
        <f t="shared" si="0"/>
        <v>0</v>
      </c>
      <c r="F73" s="330"/>
      <c r="G73" s="330"/>
    </row>
    <row r="74" spans="1:7" s="568" customFormat="1" ht="13.2">
      <c r="A74" s="890" t="s">
        <v>1239</v>
      </c>
      <c r="B74" s="329">
        <f>'Sources and Uses Budget'!C73</f>
        <v>0</v>
      </c>
      <c r="C74" s="329">
        <f>'Sources and Uses Budget'!C73</f>
        <v>0</v>
      </c>
      <c r="D74" s="329">
        <f>'Sources and Uses Budget'!C73</f>
        <v>0</v>
      </c>
      <c r="E74" s="331">
        <f>C74-B74</f>
        <v>0</v>
      </c>
      <c r="F74" s="330"/>
      <c r="G74" s="330"/>
    </row>
    <row r="75" spans="1:7" s="568" customFormat="1" ht="13.2">
      <c r="A75" s="887" t="s">
        <v>288</v>
      </c>
      <c r="B75" s="329">
        <f>'Sources and Uses Budget'!C74</f>
        <v>225376.89</v>
      </c>
      <c r="C75" s="329">
        <f>'Sources and Uses Budget'!C74</f>
        <v>225376.89</v>
      </c>
      <c r="D75" s="329">
        <f>'Sources and Uses Budget'!C74</f>
        <v>225376.89</v>
      </c>
      <c r="E75" s="331">
        <f>C75-B75</f>
        <v>0</v>
      </c>
      <c r="F75" s="330"/>
      <c r="G75" s="330"/>
    </row>
    <row r="76" spans="1:7" s="568" customFormat="1" ht="13.2">
      <c r="A76" s="891" t="s">
        <v>533</v>
      </c>
      <c r="B76" s="329">
        <f>'Sources and Uses Budget'!C75</f>
        <v>0</v>
      </c>
      <c r="C76" s="329">
        <f>'Sources and Uses Budget'!C75</f>
        <v>0</v>
      </c>
      <c r="D76" s="329">
        <f>'Sources and Uses Budget'!C75</f>
        <v>0</v>
      </c>
      <c r="E76" s="331">
        <f>C76-B76</f>
        <v>0</v>
      </c>
      <c r="F76" s="330"/>
      <c r="G76" s="330"/>
    </row>
    <row r="77" spans="1:7" s="568" customFormat="1" ht="13.2">
      <c r="A77" s="886" t="s">
        <v>289</v>
      </c>
      <c r="B77" s="893">
        <f>'Sources and Uses Budget'!C76</f>
        <v>225376.89</v>
      </c>
      <c r="C77" s="893">
        <f>'Sources and Uses Budget'!C76</f>
        <v>225376.89</v>
      </c>
      <c r="D77" s="893">
        <f>'Sources and Uses Budget'!C76</f>
        <v>225376.89</v>
      </c>
      <c r="E77" s="331">
        <f>C77-B77</f>
        <v>0</v>
      </c>
      <c r="F77" s="330"/>
      <c r="G77" s="330"/>
    </row>
    <row r="78" spans="1:7" s="568" customFormat="1" ht="13.2">
      <c r="A78" s="882" t="s">
        <v>1743</v>
      </c>
      <c r="B78" s="327"/>
      <c r="C78" s="327"/>
      <c r="D78" s="327"/>
      <c r="E78" s="327"/>
      <c r="F78" s="327"/>
      <c r="G78" s="327"/>
    </row>
    <row r="79" spans="1:7" s="568" customFormat="1" ht="13.95" customHeight="1">
      <c r="A79" s="887" t="s">
        <v>1741</v>
      </c>
      <c r="B79" s="329">
        <f>'Sources and Uses Budget'!C78</f>
        <v>2554119.64</v>
      </c>
      <c r="C79" s="329">
        <f>'Sources and Uses Budget'!C78</f>
        <v>2554119.64</v>
      </c>
      <c r="D79" s="329">
        <f>'Sources and Uses Budget'!C78</f>
        <v>2554119.64</v>
      </c>
      <c r="E79" s="331">
        <f t="shared" ref="E79:E105" si="2">C79-B79</f>
        <v>0</v>
      </c>
      <c r="F79" s="330"/>
      <c r="G79" s="330"/>
    </row>
    <row r="80" spans="1:7" s="568" customFormat="1" ht="13.2">
      <c r="A80" s="887" t="s">
        <v>538</v>
      </c>
      <c r="B80" s="329">
        <f>'Sources and Uses Budget'!C79</f>
        <v>580000</v>
      </c>
      <c r="C80" s="329">
        <f>'Sources and Uses Budget'!C79</f>
        <v>580000</v>
      </c>
      <c r="D80" s="329">
        <f>'Sources and Uses Budget'!C79</f>
        <v>580000</v>
      </c>
      <c r="E80" s="331">
        <f t="shared" si="2"/>
        <v>0</v>
      </c>
      <c r="F80" s="330"/>
      <c r="G80" s="330"/>
    </row>
    <row r="81" spans="1:7" s="568" customFormat="1" ht="13.2">
      <c r="A81" s="886" t="s">
        <v>1742</v>
      </c>
      <c r="B81" s="893">
        <f>'Sources and Uses Budget'!C80</f>
        <v>3134119.64</v>
      </c>
      <c r="C81" s="893">
        <f>'Sources and Uses Budget'!C80</f>
        <v>3134119.64</v>
      </c>
      <c r="D81" s="893">
        <f>'Sources and Uses Budget'!C80</f>
        <v>3134119.64</v>
      </c>
      <c r="E81" s="331">
        <f t="shared" si="2"/>
        <v>0</v>
      </c>
      <c r="F81" s="330"/>
      <c r="G81" s="330"/>
    </row>
    <row r="82" spans="1:7" s="568" customFormat="1" ht="13.2">
      <c r="A82" s="882" t="s">
        <v>515</v>
      </c>
      <c r="B82" s="327"/>
      <c r="C82" s="327"/>
      <c r="D82" s="327"/>
      <c r="E82" s="327"/>
      <c r="F82" s="327"/>
      <c r="G82" s="327"/>
    </row>
    <row r="83" spans="1:7" s="568" customFormat="1" ht="13.2">
      <c r="A83" s="239" t="s">
        <v>2113</v>
      </c>
      <c r="B83" s="329">
        <f>'Sources and Uses Budget'!C82</f>
        <v>152200</v>
      </c>
      <c r="C83" s="329">
        <f>'Sources and Uses Budget'!C82</f>
        <v>152200</v>
      </c>
      <c r="D83" s="329">
        <f>'Sources and Uses Budget'!C82</f>
        <v>152200</v>
      </c>
      <c r="E83" s="331">
        <f t="shared" si="2"/>
        <v>0</v>
      </c>
      <c r="F83" s="330"/>
      <c r="G83" s="330"/>
    </row>
    <row r="84" spans="1:7" s="568" customFormat="1" ht="13.2">
      <c r="A84" s="239" t="s">
        <v>516</v>
      </c>
      <c r="B84" s="329">
        <f>'Sources and Uses Budget'!C83</f>
        <v>0</v>
      </c>
      <c r="C84" s="329">
        <f>'Sources and Uses Budget'!C83</f>
        <v>0</v>
      </c>
      <c r="D84" s="329">
        <f>'Sources and Uses Budget'!C83</f>
        <v>0</v>
      </c>
      <c r="E84" s="331">
        <f t="shared" si="2"/>
        <v>0</v>
      </c>
      <c r="F84" s="330"/>
      <c r="G84" s="330"/>
    </row>
    <row r="85" spans="1:7" s="568" customFormat="1" ht="13.2">
      <c r="A85" s="239" t="s">
        <v>517</v>
      </c>
      <c r="B85" s="329">
        <f>'Sources and Uses Budget'!C84</f>
        <v>567004</v>
      </c>
      <c r="C85" s="329">
        <f>'Sources and Uses Budget'!C84</f>
        <v>567004</v>
      </c>
      <c r="D85" s="329">
        <f>'Sources and Uses Budget'!C84</f>
        <v>567004</v>
      </c>
      <c r="E85" s="331">
        <f t="shared" si="2"/>
        <v>0</v>
      </c>
      <c r="F85" s="330"/>
      <c r="G85" s="330"/>
    </row>
    <row r="86" spans="1:7" s="568" customFormat="1" ht="13.2">
      <c r="A86" s="239" t="s">
        <v>518</v>
      </c>
      <c r="B86" s="329">
        <f>'Sources and Uses Budget'!C85</f>
        <v>0</v>
      </c>
      <c r="C86" s="329">
        <f>'Sources and Uses Budget'!C85</f>
        <v>0</v>
      </c>
      <c r="D86" s="329">
        <f>'Sources and Uses Budget'!C85</f>
        <v>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80175</v>
      </c>
      <c r="C88" s="329">
        <f>'Sources and Uses Budget'!C87</f>
        <v>80175</v>
      </c>
      <c r="D88" s="329">
        <f>'Sources and Uses Budget'!C87</f>
        <v>80175</v>
      </c>
      <c r="E88" s="331">
        <f t="shared" si="2"/>
        <v>0</v>
      </c>
      <c r="F88" s="330"/>
      <c r="G88" s="330"/>
    </row>
    <row r="89" spans="1:7" s="568" customFormat="1" ht="13.2">
      <c r="A89" s="239" t="s">
        <v>521</v>
      </c>
      <c r="B89" s="329">
        <f>'Sources and Uses Budget'!C88</f>
        <v>100000</v>
      </c>
      <c r="C89" s="329">
        <f>'Sources and Uses Budget'!C88</f>
        <v>100000</v>
      </c>
      <c r="D89" s="329">
        <f>'Sources and Uses Budget'!C88</f>
        <v>100000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75000</v>
      </c>
      <c r="C91" s="329">
        <f>'Sources and Uses Budget'!C90</f>
        <v>75000</v>
      </c>
      <c r="D91" s="329">
        <f>'Sources and Uses Budget'!C90</f>
        <v>75000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3">
        <f>'Sources and Uses Budget'!C95</f>
        <v>1004379</v>
      </c>
      <c r="C96" s="893">
        <f>'Sources and Uses Budget'!C95</f>
        <v>1004379</v>
      </c>
      <c r="D96" s="893">
        <f>'Sources and Uses Budget'!C95</f>
        <v>1004379</v>
      </c>
      <c r="E96" s="331">
        <f t="shared" si="2"/>
        <v>0</v>
      </c>
      <c r="F96" s="330"/>
      <c r="G96" s="330"/>
    </row>
    <row r="97" spans="1:7" s="568" customFormat="1" ht="13.2">
      <c r="A97" s="243" t="s">
        <v>524</v>
      </c>
      <c r="B97" s="893">
        <f>'Sources and Uses Budget'!C96</f>
        <v>40788682.519999996</v>
      </c>
      <c r="C97" s="893">
        <f>'Sources and Uses Budget'!C96</f>
        <v>40788682.519999996</v>
      </c>
      <c r="D97" s="893">
        <f>'Sources and Uses Budget'!C96</f>
        <v>40788682.519999996</v>
      </c>
      <c r="E97" s="331">
        <f t="shared" si="2"/>
        <v>0</v>
      </c>
      <c r="F97" s="330"/>
      <c r="G97" s="330"/>
    </row>
    <row r="98" spans="1:7" s="568" customFormat="1" ht="13.2">
      <c r="A98" s="882"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8" t="s">
        <v>533</v>
      </c>
      <c r="B103" s="329">
        <f>'Sources and Uses Budget'!C102</f>
        <v>0</v>
      </c>
      <c r="C103" s="329">
        <f>'Sources and Uses Budget'!C102</f>
        <v>0</v>
      </c>
      <c r="D103" s="329">
        <f>'Sources and Uses Budget'!C102</f>
        <v>0</v>
      </c>
      <c r="E103" s="331">
        <f t="shared" si="2"/>
        <v>0</v>
      </c>
      <c r="F103" s="330"/>
      <c r="G103" s="330"/>
    </row>
    <row r="104" spans="1:7" s="568"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3.2">
      <c r="A105" s="886" t="s">
        <v>529</v>
      </c>
      <c r="B105" s="893">
        <f>'Sources and Uses Budget'!C104</f>
        <v>43288682.519999996</v>
      </c>
      <c r="C105" s="893">
        <f>'Sources and Uses Budget'!C104</f>
        <v>43288682.519999996</v>
      </c>
      <c r="D105" s="893">
        <f>'Sources and Uses Budget'!C104</f>
        <v>43288682.519999996</v>
      </c>
      <c r="E105" s="331">
        <f t="shared" si="2"/>
        <v>0</v>
      </c>
      <c r="F105" s="330"/>
      <c r="G105" s="892"/>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94" workbookViewId="0">
      <selection activeCell="B1207" sqref="B1207"/>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1376</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1376</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2135</v>
      </c>
      <c r="E34" s="978"/>
      <c r="F34" s="978"/>
    </row>
    <row r="35" spans="1:6" ht="14.4">
      <c r="A35" s="271"/>
      <c r="B35" s="271"/>
      <c r="D35" s="978"/>
      <c r="E35" s="978"/>
      <c r="F35" s="978"/>
    </row>
    <row r="36" spans="1:6" ht="14.4">
      <c r="A36" s="271"/>
      <c r="B36" s="271"/>
      <c r="D36" s="209"/>
      <c r="E36" s="209"/>
      <c r="F36" s="209"/>
    </row>
    <row r="37" spans="1:6" ht="14.4">
      <c r="A37" s="271"/>
      <c r="B37" s="609" t="s">
        <v>124</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124</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124</v>
      </c>
      <c r="D77" s="978" t="s">
        <v>1444</v>
      </c>
      <c r="E77" s="978"/>
      <c r="F77" s="978"/>
    </row>
    <row r="78" spans="1:6" ht="13.2">
      <c r="D78" s="978"/>
      <c r="E78" s="978"/>
      <c r="F78" s="978"/>
    </row>
    <row r="79" spans="1:6" ht="13.2"/>
    <row r="80" spans="1:6" ht="14.4">
      <c r="A80" s="271" t="s">
        <v>229</v>
      </c>
      <c r="B80" s="609"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1376</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124</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124</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124</v>
      </c>
      <c r="D181" s="1001" t="s">
        <v>1733</v>
      </c>
      <c r="E181" s="1002"/>
      <c r="F181" s="1002"/>
    </row>
    <row r="182" spans="1:6" ht="14.4">
      <c r="A182" s="271"/>
      <c r="D182" s="312"/>
      <c r="E182" s="102"/>
      <c r="F182" s="102"/>
    </row>
    <row r="183" spans="1:6" ht="14.4">
      <c r="A183" s="271"/>
      <c r="B183" s="609" t="s">
        <v>124</v>
      </c>
      <c r="D183" s="1002" t="s">
        <v>1550</v>
      </c>
      <c r="E183" s="1002"/>
      <c r="F183" s="1002"/>
    </row>
    <row r="184" spans="1:6" ht="14.4">
      <c r="A184" s="271"/>
      <c r="D184" s="102"/>
      <c r="E184" s="102"/>
      <c r="F184" s="102"/>
    </row>
    <row r="185" spans="1:6" ht="14.4">
      <c r="A185" s="271"/>
      <c r="B185" s="609" t="s">
        <v>124</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1376</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1376</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1376</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124</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124</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124</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1376</v>
      </c>
      <c r="C267" s="879"/>
      <c r="D267" s="1013" t="s">
        <v>2007</v>
      </c>
      <c r="E267" s="1013"/>
      <c r="F267" s="1013"/>
      <c r="G267"/>
    </row>
    <row r="268" spans="1:7" ht="14.4">
      <c r="A268" s="271"/>
      <c r="B268" s="880"/>
      <c r="C268" s="879"/>
      <c r="D268" s="1013"/>
      <c r="E268" s="1013"/>
      <c r="F268" s="1013"/>
      <c r="G268"/>
    </row>
    <row r="269" spans="1:7" ht="14.4">
      <c r="A269" s="271"/>
      <c r="B269" s="880"/>
      <c r="C269" s="879"/>
      <c r="D269" s="1013"/>
      <c r="E269" s="1013"/>
      <c r="F269" s="1013"/>
      <c r="G269"/>
    </row>
    <row r="270" spans="1:7" ht="14.4" customHeight="1">
      <c r="A270" s="271"/>
      <c r="B270" s="880"/>
      <c r="C270" s="879"/>
      <c r="D270" s="1013"/>
      <c r="E270" s="1013"/>
      <c r="F270" s="1013"/>
      <c r="G270"/>
    </row>
    <row r="271" spans="1:7" ht="14.4">
      <c r="A271" s="271"/>
      <c r="B271" s="880"/>
      <c r="C271" s="879"/>
      <c r="D271" s="881"/>
      <c r="E271" s="881"/>
      <c r="F271" s="881"/>
      <c r="G271"/>
    </row>
    <row r="272" spans="1:7" ht="14.4">
      <c r="A272" s="271"/>
      <c r="B272" s="609" t="s">
        <v>1376</v>
      </c>
      <c r="C272" s="879"/>
      <c r="D272" s="1013" t="s">
        <v>2008</v>
      </c>
      <c r="E272" s="1013"/>
      <c r="F272" s="1013"/>
      <c r="G272"/>
    </row>
    <row r="273" spans="1:7" ht="14.4">
      <c r="A273" s="271"/>
      <c r="B273" s="880"/>
      <c r="C273" s="879"/>
      <c r="D273" s="1013"/>
      <c r="E273" s="1013"/>
      <c r="F273" s="1013"/>
      <c r="G273"/>
    </row>
    <row r="274" spans="1:7" ht="14.4">
      <c r="A274" s="271"/>
      <c r="B274" s="880"/>
      <c r="C274" s="879"/>
      <c r="D274" s="1013"/>
      <c r="E274" s="1013"/>
      <c r="F274" s="1013"/>
      <c r="G274"/>
    </row>
    <row r="275" spans="1:7" ht="14.4">
      <c r="A275" s="271"/>
      <c r="B275" s="880"/>
      <c r="C275" s="879"/>
      <c r="D275" s="1013"/>
      <c r="E275" s="1013"/>
      <c r="F275" s="1013"/>
      <c r="G275"/>
    </row>
    <row r="276" spans="1:7" ht="14.4">
      <c r="A276" s="271"/>
      <c r="B276" s="880"/>
      <c r="C276" s="879"/>
      <c r="D276" s="1013"/>
      <c r="E276" s="1013"/>
      <c r="F276" s="1013"/>
      <c r="G276"/>
    </row>
    <row r="277" spans="1:7" ht="14.4">
      <c r="A277" s="271"/>
      <c r="B277" s="880"/>
      <c r="C277" s="879"/>
      <c r="D277" s="881"/>
      <c r="E277" s="881"/>
      <c r="F277" s="881"/>
      <c r="G277"/>
    </row>
    <row r="278" spans="1:7" ht="14.4">
      <c r="A278" s="271"/>
      <c r="B278" s="880"/>
      <c r="C278" s="879"/>
      <c r="D278" s="1013" t="s">
        <v>1559</v>
      </c>
      <c r="E278" s="1013"/>
      <c r="F278" s="1013"/>
      <c r="G278"/>
    </row>
    <row r="279" spans="1:7" ht="14.4">
      <c r="A279" s="271"/>
      <c r="B279" s="880"/>
      <c r="C279" s="879"/>
      <c r="D279" s="1013"/>
      <c r="E279" s="1013"/>
      <c r="F279" s="1013"/>
      <c r="G279"/>
    </row>
    <row r="280" spans="1:7" ht="14.4">
      <c r="A280" s="271"/>
      <c r="B280" s="880"/>
      <c r="C280" s="879"/>
      <c r="D280" s="1013"/>
      <c r="E280" s="1013"/>
      <c r="F280" s="1013"/>
      <c r="G280"/>
    </row>
    <row r="281" spans="1:7" ht="14.4">
      <c r="A281" s="271"/>
      <c r="B281" s="880"/>
      <c r="C281" s="879"/>
      <c r="D281" s="1013"/>
      <c r="E281" s="1013"/>
      <c r="F281" s="1013"/>
      <c r="G281"/>
    </row>
    <row r="282" spans="1:7" ht="14.4">
      <c r="A282" s="271"/>
      <c r="B282" s="880"/>
      <c r="C282" s="879"/>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5"/>
      <c r="E287" s="926" t="s">
        <v>2072</v>
      </c>
      <c r="F287" s="925"/>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6" t="s">
        <v>2073</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124</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124</v>
      </c>
      <c r="D318" s="978" t="s">
        <v>1564</v>
      </c>
      <c r="E318" s="978"/>
      <c r="F318" s="978"/>
    </row>
    <row r="319" spans="1:7" ht="14.4">
      <c r="A319" s="271"/>
      <c r="B319" s="271"/>
      <c r="D319" s="978"/>
      <c r="E319" s="978"/>
      <c r="F319" s="978"/>
    </row>
    <row r="320" spans="1:7" ht="13.2"/>
    <row r="321" spans="1:7" ht="14.4"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4"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124</v>
      </c>
      <c r="C373" s="361"/>
      <c r="D373" s="1008" t="s">
        <v>2139</v>
      </c>
      <c r="E373" s="1008"/>
      <c r="F373" s="1008"/>
    </row>
    <row r="374" spans="1:6" ht="14.4">
      <c r="A374" s="271"/>
      <c r="B374" s="271"/>
      <c r="C374" s="361"/>
      <c r="D374" s="420"/>
    </row>
    <row r="375" spans="1:6" ht="14.4">
      <c r="A375" s="271"/>
      <c r="B375" s="609" t="s">
        <v>124</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124</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2078</v>
      </c>
      <c r="E466" s="998"/>
      <c r="F466" s="998"/>
    </row>
    <row r="467" spans="1:6" ht="13.2">
      <c r="D467"/>
      <c r="E467" s="927" t="s">
        <v>2077</v>
      </c>
      <c r="F467" s="927"/>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1718</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124</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1376</v>
      </c>
      <c r="C531" s="191"/>
      <c r="D531" s="928" t="s">
        <v>2079</v>
      </c>
      <c r="E531" s="929"/>
      <c r="G531"/>
    </row>
    <row r="532" spans="1:7" ht="13.2">
      <c r="A532" s="191"/>
      <c r="B532" s="191"/>
      <c r="C532" s="191"/>
      <c r="D532" s="929"/>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4"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2081</v>
      </c>
      <c r="E574" s="1026"/>
      <c r="F574" s="1026"/>
      <c r="G574"/>
    </row>
    <row r="575" spans="1:7" ht="13.2">
      <c r="A575" s="18"/>
      <c r="B575" s="18"/>
      <c r="C575" s="207"/>
      <c r="D575" s="930"/>
      <c r="E575" s="104" t="s">
        <v>2082</v>
      </c>
      <c r="F575" s="931"/>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1376</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4" customHeight="1">
      <c r="A606" s="271"/>
      <c r="B606" s="609" t="s">
        <v>1376</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2084</v>
      </c>
      <c r="E628" s="994"/>
      <c r="F628" s="994"/>
    </row>
    <row r="629" spans="1:7" ht="13.2">
      <c r="D629" s="994"/>
      <c r="E629" s="994"/>
      <c r="F629" s="994"/>
    </row>
    <row r="630" spans="1:7" ht="13.2">
      <c r="D630" s="932"/>
      <c r="E630" s="926" t="s">
        <v>2083</v>
      </c>
      <c r="F630" s="932"/>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2" t="s">
        <v>1921</v>
      </c>
      <c r="E643" s="972"/>
      <c r="F643" s="972"/>
    </row>
    <row r="644" spans="1:7" ht="13.65" customHeight="1">
      <c r="D644" s="972"/>
      <c r="E644" s="972"/>
      <c r="F644" s="972"/>
    </row>
    <row r="645" spans="1:7" ht="13.2"/>
    <row r="646" spans="1:7" ht="14.4">
      <c r="A646" s="271"/>
      <c r="B646" s="609" t="s">
        <v>124</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2147</v>
      </c>
      <c r="E652" s="993"/>
      <c r="F652" s="993"/>
    </row>
    <row r="653" spans="1:7" ht="14.4">
      <c r="A653" s="271"/>
      <c r="B653" s="271"/>
      <c r="D653" s="993"/>
      <c r="E653" s="993"/>
      <c r="F653" s="993"/>
    </row>
    <row r="654" spans="1:7" ht="13.2">
      <c r="D654" s="932"/>
      <c r="E654" s="926" t="s">
        <v>2086</v>
      </c>
      <c r="F654" s="932"/>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1376</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6" t="s">
        <v>2088</v>
      </c>
      <c r="F695" s="15"/>
    </row>
    <row r="696" spans="1:7" ht="13.2">
      <c r="A696" s="191"/>
      <c r="B696" s="191"/>
      <c r="C696" s="191"/>
      <c r="E696" s="925" t="s">
        <v>2087</v>
      </c>
      <c r="F696" s="15"/>
    </row>
    <row r="697" spans="1:7" ht="13.2">
      <c r="A697" s="191"/>
      <c r="B697" s="191"/>
      <c r="C697" s="191"/>
      <c r="D697" s="212"/>
      <c r="E697" s="212"/>
      <c r="F697" s="212"/>
    </row>
    <row r="698" spans="1:7" ht="14.4">
      <c r="A698" s="271"/>
      <c r="B698" s="609" t="s">
        <v>124</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124</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1376</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1376</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1376</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1376</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124</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1376</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1376</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1376</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1376</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124</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1376</v>
      </c>
      <c r="D1164" s="995" t="s">
        <v>2091</v>
      </c>
      <c r="E1164" s="995"/>
      <c r="F1164" s="995"/>
      <c r="G1164"/>
    </row>
    <row r="1165" spans="1:7" ht="13.2">
      <c r="D1165" s="995"/>
      <c r="E1165" s="995"/>
      <c r="F1165" s="995"/>
      <c r="G1165"/>
    </row>
    <row r="1166" spans="1:7" ht="13.2">
      <c r="D1166" s="15"/>
      <c r="E1166" s="926"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124</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1376</v>
      </c>
      <c r="D1184" s="998" t="s">
        <v>1670</v>
      </c>
      <c r="E1184" s="998"/>
      <c r="F1184" s="998"/>
      <c r="G1184"/>
    </row>
    <row r="1185" spans="1:7" ht="13.2">
      <c r="D1185" s="44"/>
      <c r="G1185"/>
    </row>
    <row r="1186" spans="1:7" ht="14.4">
      <c r="A1186" s="271"/>
      <c r="B1186" s="609" t="s">
        <v>1376</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1917</v>
      </c>
      <c r="E1208" s="1030"/>
      <c r="F1208" s="1030"/>
    </row>
    <row r="1209" spans="1:7" ht="13.2">
      <c r="G1209"/>
    </row>
    <row r="1210" spans="1:7" ht="12.75" customHeight="1">
      <c r="B1210" s="609" t="s">
        <v>124</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124</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124</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zoomScaleSheetLayoutView="100" workbookViewId="0">
      <selection activeCell="AA24" sqref="AA24"/>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 customHeight="1">
      <c r="A10" s="1062" t="s">
        <v>2300</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 customHeight="1">
      <c r="A11" s="1063" t="s">
        <v>2320</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1" t="s">
        <v>2321</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793</v>
      </c>
      <c r="C17" s="5"/>
      <c r="D17" s="5"/>
      <c r="E17" s="5"/>
      <c r="F17" s="5"/>
      <c r="G17" s="5"/>
      <c r="H17" s="1314" t="s">
        <v>2477</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9">
        <f>ROUND('Basis &amp; Credits'!AB55,0)</f>
        <v>2500000</v>
      </c>
      <c r="N25" s="1419"/>
      <c r="O25" s="1419"/>
      <c r="P25" s="1419"/>
      <c r="Q25" s="1419"/>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9">
        <f>'Basis &amp; Credits'!AB76</f>
        <v>8333321</v>
      </c>
      <c r="N27" s="1419"/>
      <c r="O27" s="1419"/>
      <c r="P27" s="1419"/>
      <c r="Q27" s="1419"/>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2249</v>
      </c>
      <c r="B33"/>
      <c r="C33" s="102"/>
      <c r="D33" s="102"/>
      <c r="E33" s="102"/>
      <c r="F33" s="102"/>
      <c r="G33" s="102"/>
      <c r="H33" s="102"/>
      <c r="I33" s="102"/>
      <c r="J33" s="102"/>
      <c r="K33" s="102"/>
      <c r="L33" s="102"/>
      <c r="M33" s="102"/>
      <c r="N33" s="102"/>
      <c r="O33" s="1115" t="s">
        <v>108</v>
      </c>
      <c r="P33" s="1115"/>
      <c r="Q33" s="1064" t="s">
        <v>2252</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3">
        <v>4</v>
      </c>
      <c r="H115" s="1113"/>
      <c r="I115" s="41" t="s">
        <v>412</v>
      </c>
      <c r="J115" s="41"/>
      <c r="L115" s="1342" t="s">
        <v>2468</v>
      </c>
      <c r="M115" s="1343"/>
      <c r="N115" s="1343"/>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2" t="s">
        <v>109</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4" t="s">
        <v>2322</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4" t="s">
        <v>2323</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14" t="s">
        <v>2324</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6" t="s">
        <v>2472</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 customHeight="1">
      <c r="D159" t="s">
        <v>647</v>
      </c>
      <c r="O159" s="1056" t="s">
        <v>2325</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314" t="s">
        <v>2326</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8">
        <v>95969</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7" t="s">
        <v>2327</v>
      </c>
      <c r="P162" s="1317"/>
      <c r="Q162" s="1317"/>
      <c r="R162" s="1317"/>
      <c r="S162" s="1317"/>
      <c r="T162" s="1317"/>
      <c r="V162" s="179" t="s">
        <v>12</v>
      </c>
      <c r="W162" s="1329">
        <v>160</v>
      </c>
      <c r="X162" s="1329"/>
      <c r="Y162" s="14"/>
      <c r="Z162" s="14"/>
      <c r="AA162" s="14"/>
      <c r="AB162" s="14"/>
      <c r="AC162" s="14"/>
      <c r="AD162" s="14"/>
      <c r="AE162" s="14"/>
      <c r="AF162" s="14"/>
      <c r="BJ162" t="s">
        <v>108</v>
      </c>
      <c r="BN162" s="30" t="s">
        <v>77</v>
      </c>
      <c r="BT162" t="s">
        <v>387</v>
      </c>
    </row>
    <row r="163" spans="1:72" ht="12.9"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 customHeight="1">
      <c r="D164" t="s">
        <v>652</v>
      </c>
      <c r="O164" s="1060" t="s">
        <v>2473</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6" t="s">
        <v>2305</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59"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 customHeight="1">
      <c r="C174" s="31"/>
      <c r="D174" t="s">
        <v>438</v>
      </c>
      <c r="U174" s="1115"/>
      <c r="V174" s="1115"/>
      <c r="BN174" s="30" t="s">
        <v>594</v>
      </c>
      <c r="BT174" t="s">
        <v>399</v>
      </c>
    </row>
    <row r="175" spans="1:72" ht="12.9" customHeight="1">
      <c r="C175" s="12"/>
      <c r="D175" s="33"/>
      <c r="E175" t="s">
        <v>230</v>
      </c>
      <c r="O175" s="34"/>
      <c r="P175" t="s">
        <v>2104</v>
      </c>
      <c r="T175" s="34" t="s">
        <v>231</v>
      </c>
      <c r="U175" s="1100"/>
      <c r="V175" s="1100"/>
      <c r="W175" s="1" t="s">
        <v>232</v>
      </c>
      <c r="X175" s="1344"/>
      <c r="Y175" s="1344"/>
      <c r="BN175" s="30" t="s">
        <v>595</v>
      </c>
      <c r="BT175" t="s">
        <v>400</v>
      </c>
    </row>
    <row r="176" spans="1:72" ht="12.9" customHeight="1">
      <c r="C176" s="31"/>
      <c r="D176" t="s">
        <v>279</v>
      </c>
      <c r="U176" s="1115" t="s">
        <v>482</v>
      </c>
      <c r="V176" s="1115"/>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39" t="s">
        <v>231</v>
      </c>
      <c r="J178" s="1332"/>
      <c r="K178" s="1332"/>
      <c r="L178" s="370" t="s">
        <v>232</v>
      </c>
      <c r="M178" s="1333"/>
      <c r="N178" s="1112"/>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5" t="s">
        <v>482</v>
      </c>
      <c r="Z180" s="1318"/>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4" t="str">
        <f>H17</f>
        <v>Clark Road Apartments Phase II</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 customHeight="1">
      <c r="C185" s="29"/>
      <c r="D185" t="s">
        <v>429</v>
      </c>
      <c r="I185" s="1054" t="s">
        <v>2328</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 customHeight="1">
      <c r="C189" s="29"/>
      <c r="D189" t="s">
        <v>430</v>
      </c>
      <c r="I189" s="1056" t="s">
        <v>2326</v>
      </c>
      <c r="J189" s="1056"/>
      <c r="K189" s="1056"/>
      <c r="L189" s="1056"/>
      <c r="M189" s="1056"/>
      <c r="N189" s="1056"/>
      <c r="O189" s="1056"/>
      <c r="P189" s="1056"/>
      <c r="Q189" t="s">
        <v>432</v>
      </c>
      <c r="T189" s="1056" t="s">
        <v>385</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95969</v>
      </c>
      <c r="J190" s="1054"/>
      <c r="K190" s="1054"/>
      <c r="L190" s="1054"/>
      <c r="M190" s="1054"/>
      <c r="N190" s="1054"/>
      <c r="O190" t="s">
        <v>435</v>
      </c>
      <c r="T190" s="1330">
        <v>60070019003</v>
      </c>
      <c r="U190" s="1330"/>
      <c r="V190" s="1330"/>
      <c r="W190" s="1330"/>
      <c r="X190" s="1330"/>
      <c r="Y190" s="1330"/>
      <c r="Z190" s="1330"/>
      <c r="AA190" s="1330"/>
      <c r="AB190" s="1330"/>
      <c r="AC190" s="1330"/>
      <c r="AD190" s="1330"/>
      <c r="AE190" s="1330"/>
      <c r="BC190" t="s">
        <v>663</v>
      </c>
      <c r="BH190" t="s">
        <v>663</v>
      </c>
      <c r="BN190" s="30" t="s">
        <v>421</v>
      </c>
      <c r="BT190" t="s">
        <v>110</v>
      </c>
    </row>
    <row r="191" spans="1:72" ht="12.9" customHeight="1">
      <c r="C191" s="29"/>
      <c r="D191" t="s">
        <v>81</v>
      </c>
      <c r="N191" s="1335" t="s">
        <v>2329</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 customHeight="1">
      <c r="C193" s="29"/>
      <c r="D193" t="s">
        <v>436</v>
      </c>
      <c r="T193" s="1115" t="s">
        <v>482</v>
      </c>
      <c r="U193" s="1115"/>
      <c r="W193" s="41" t="s">
        <v>1886</v>
      </c>
      <c r="AA193" s="1323"/>
      <c r="AB193" s="1323"/>
      <c r="AC193" s="1323"/>
      <c r="BC193" t="s">
        <v>564</v>
      </c>
      <c r="BH193" s="5" t="s">
        <v>1429</v>
      </c>
      <c r="BN193" s="30" t="s">
        <v>584</v>
      </c>
      <c r="BT193" t="s">
        <v>113</v>
      </c>
    </row>
    <row r="194" spans="1:73" ht="12.9" customHeight="1">
      <c r="C194" s="29"/>
      <c r="D194" t="s">
        <v>118</v>
      </c>
      <c r="T194" s="1142" t="s">
        <v>482</v>
      </c>
      <c r="U194" s="1142"/>
      <c r="W194" t="s">
        <v>63</v>
      </c>
      <c r="AI194" s="1115" t="s">
        <v>482</v>
      </c>
      <c r="AJ194" s="1115"/>
      <c r="AX194" s="5" t="s">
        <v>124</v>
      </c>
      <c r="BC194" t="s">
        <v>615</v>
      </c>
      <c r="BN194" s="30" t="s">
        <v>753</v>
      </c>
      <c r="BT194" t="s">
        <v>114</v>
      </c>
    </row>
    <row r="195" spans="1:73" ht="12.9" customHeight="1">
      <c r="C195" s="29"/>
      <c r="D195" s="41" t="s">
        <v>1734</v>
      </c>
      <c r="T195" s="1142" t="s">
        <v>482</v>
      </c>
      <c r="U195" s="1142"/>
      <c r="X195" s="797" t="s">
        <v>2106</v>
      </c>
      <c r="AX195" s="5" t="s">
        <v>1150</v>
      </c>
      <c r="BN195" s="30" t="s">
        <v>754</v>
      </c>
      <c r="BT195" t="s">
        <v>115</v>
      </c>
    </row>
    <row r="196" spans="1:73" ht="12.9" customHeight="1">
      <c r="C196" s="29"/>
      <c r="D196" s="5" t="s">
        <v>1155</v>
      </c>
      <c r="T196" s="1142" t="s">
        <v>482</v>
      </c>
      <c r="U196" s="1142"/>
      <c r="AK196" s="1322"/>
      <c r="AL196" s="1322"/>
      <c r="AX196" s="41" t="s">
        <v>2199</v>
      </c>
      <c r="BN196" s="30" t="s">
        <v>755</v>
      </c>
      <c r="BT196" t="s">
        <v>116</v>
      </c>
    </row>
    <row r="197" spans="1:73" ht="12.9" customHeight="1">
      <c r="C197" s="29"/>
      <c r="D197" s="41" t="s">
        <v>1887</v>
      </c>
      <c r="T197" s="1115" t="s">
        <v>482</v>
      </c>
      <c r="U197" s="1115"/>
      <c r="AX197" s="5" t="s">
        <v>1151</v>
      </c>
      <c r="BC197" t="s">
        <v>79</v>
      </c>
      <c r="BN197" s="30" t="s">
        <v>756</v>
      </c>
      <c r="BT197" t="s">
        <v>117</v>
      </c>
    </row>
    <row r="198" spans="1:73" ht="12.9" customHeight="1">
      <c r="C198" s="29"/>
      <c r="D198" s="41" t="s">
        <v>1915</v>
      </c>
      <c r="W198" s="1319" t="s">
        <v>482</v>
      </c>
      <c r="X198" s="1115"/>
      <c r="AX198" s="5" t="s">
        <v>1152</v>
      </c>
      <c r="BC198" t="s">
        <v>1103</v>
      </c>
      <c r="BN198" s="30" t="s">
        <v>757</v>
      </c>
      <c r="BT198" t="s">
        <v>803</v>
      </c>
    </row>
    <row r="199" spans="1:73" ht="12.9" customHeight="1">
      <c r="C199" s="29"/>
      <c r="L199" s="309"/>
      <c r="M199" s="309"/>
      <c r="N199" s="309"/>
      <c r="O199" s="309"/>
      <c r="P199" s="309"/>
      <c r="Q199" s="921" t="s">
        <v>2107</v>
      </c>
      <c r="R199" s="1314" t="s">
        <v>2020</v>
      </c>
      <c r="S199" s="1314"/>
      <c r="T199" s="1314"/>
      <c r="U199" s="1314"/>
      <c r="V199" s="1314"/>
      <c r="W199" s="1314"/>
      <c r="X199" s="1314"/>
      <c r="Y199" s="1314"/>
      <c r="Z199" s="1314"/>
      <c r="AA199" s="1314"/>
      <c r="AB199" s="1314"/>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4"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4" t="str">
        <f>IF(AND(M25&gt;0,M27&gt;0),"Federal and State","Federal Only")</f>
        <v>Federal and State</v>
      </c>
      <c r="E203" s="1184"/>
      <c r="F203" s="1184"/>
      <c r="G203" s="1184"/>
      <c r="H203" s="1184"/>
      <c r="I203" s="1184"/>
      <c r="J203" s="1184"/>
      <c r="K203" s="1184"/>
      <c r="L203" s="1184"/>
      <c r="M203" s="1184"/>
      <c r="P203" s="1327">
        <f>M25</f>
        <v>2500000</v>
      </c>
      <c r="Q203" s="1327"/>
      <c r="R203" s="1327"/>
      <c r="S203" s="1327"/>
      <c r="T203" s="1327"/>
      <c r="U203" s="1327"/>
      <c r="W203" s="1327">
        <f>M27</f>
        <v>8333321</v>
      </c>
      <c r="X203" s="1327"/>
      <c r="Y203" s="1327"/>
      <c r="Z203" s="1327"/>
      <c r="AA203" s="1327"/>
      <c r="AB203" s="1327"/>
      <c r="AV203" t="s">
        <v>124</v>
      </c>
      <c r="AX203" s="5" t="s">
        <v>564</v>
      </c>
      <c r="BC203" t="s">
        <v>1434</v>
      </c>
      <c r="BN203" s="30" t="s">
        <v>661</v>
      </c>
      <c r="BT203" s="40" t="s">
        <v>808</v>
      </c>
      <c r="BU203" s="21"/>
    </row>
    <row r="204" spans="1:73" ht="12.9"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3"/>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3" t="s">
        <v>2330</v>
      </c>
      <c r="E208" s="1053"/>
      <c r="F208" s="1053"/>
      <c r="G208" s="1053"/>
      <c r="H208" s="1053"/>
      <c r="I208" s="1053"/>
      <c r="J208" s="1053"/>
      <c r="K208" s="1053"/>
      <c r="L208" s="1053"/>
      <c r="M208" s="1053"/>
      <c r="X208" s="803"/>
      <c r="Y208" s="914"/>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4"/>
      <c r="Z210" s="804"/>
      <c r="AA210" s="804"/>
      <c r="AB210" s="804"/>
      <c r="AC210" s="804"/>
      <c r="AD210" s="804"/>
      <c r="AE210" s="804"/>
      <c r="AF210" s="804"/>
      <c r="AG210" s="804"/>
      <c r="AH210" s="804"/>
      <c r="AI210" s="804"/>
      <c r="AJ210" s="804"/>
      <c r="AK210" s="805"/>
      <c r="BN210" s="30" t="s">
        <v>4</v>
      </c>
      <c r="BT210" s="40" t="s">
        <v>814</v>
      </c>
    </row>
    <row r="211" spans="1:72" ht="12.9" customHeight="1">
      <c r="C211" s="29"/>
      <c r="D211" s="1314" t="s">
        <v>2290</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5"/>
      <c r="AD215" s="1325"/>
      <c r="AF215" s="1337">
        <f>IFERROR(AC215/AG433,"")</f>
        <v>0</v>
      </c>
      <c r="AG215" s="1337"/>
      <c r="AX215" t="s">
        <v>2020</v>
      </c>
      <c r="BC215" t="s">
        <v>627</v>
      </c>
    </row>
    <row r="216" spans="1:72" ht="12.9" customHeight="1">
      <c r="D216" s="35"/>
      <c r="E216" s="937" t="s">
        <v>1432</v>
      </c>
      <c r="AX216" t="s">
        <v>2021</v>
      </c>
      <c r="BC216" t="s">
        <v>744</v>
      </c>
    </row>
    <row r="217" spans="1:72" ht="12.9"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2023</v>
      </c>
      <c r="BC217" t="s">
        <v>628</v>
      </c>
    </row>
    <row r="218" spans="1:72" ht="12.9" customHeight="1">
      <c r="E218" s="41" t="s">
        <v>1959</v>
      </c>
      <c r="AA218" s="49"/>
      <c r="AC218" s="1320"/>
      <c r="AD218" s="1320"/>
      <c r="AE218" s="1320"/>
      <c r="AF218" s="1320"/>
      <c r="AG218" s="1320"/>
      <c r="AH218" s="1320"/>
      <c r="AI218" s="1320"/>
      <c r="AJ218" s="1320"/>
      <c r="AK218" s="1320"/>
      <c r="AL218" s="1320"/>
      <c r="AM218" s="1320"/>
      <c r="BC218" t="s">
        <v>629</v>
      </c>
      <c r="BI218" s="39"/>
    </row>
    <row r="219" spans="1:72" ht="12.9" customHeight="1">
      <c r="E219" s="41" t="s">
        <v>1960</v>
      </c>
      <c r="AA219" s="49"/>
      <c r="AC219" s="1320"/>
      <c r="AD219" s="1320"/>
      <c r="AE219" s="1320"/>
      <c r="AF219" s="1320"/>
      <c r="AG219" s="1320"/>
      <c r="AH219" s="1320"/>
      <c r="AI219" s="1320"/>
      <c r="AJ219" s="1320"/>
      <c r="AK219" s="1320"/>
      <c r="AL219" s="1320"/>
      <c r="AM219" s="132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14" t="s">
        <v>1435</v>
      </c>
      <c r="E223" s="1314"/>
      <c r="F223" s="1314"/>
      <c r="G223" s="1314"/>
      <c r="H223" s="1314"/>
      <c r="I223" s="1314"/>
      <c r="J223" s="1314"/>
      <c r="K223" s="1314"/>
      <c r="L223" s="1314"/>
      <c r="M223" s="1314"/>
      <c r="N223" s="1314"/>
      <c r="O223" s="1314"/>
      <c r="P223" s="1314"/>
      <c r="Q223" s="1314"/>
      <c r="R223" s="1314"/>
      <c r="S223" s="1314"/>
      <c r="T223" s="1314"/>
      <c r="U223" s="1314"/>
      <c r="V223" s="1314"/>
      <c r="W223" s="1314"/>
      <c r="X223" s="1314"/>
      <c r="Y223" s="1314"/>
      <c r="Z223" s="1314"/>
      <c r="AA223" s="1314"/>
      <c r="AB223" s="1314"/>
      <c r="AC223" s="1314"/>
      <c r="AD223" s="1314"/>
      <c r="AE223" s="1314"/>
      <c r="AF223" s="1314"/>
      <c r="AG223" s="1314"/>
      <c r="AH223" s="1314"/>
      <c r="AI223" s="1314"/>
      <c r="AJ223" s="21"/>
      <c r="AK223" s="21"/>
      <c r="AL223" s="21"/>
    </row>
    <row r="224" spans="1:72" ht="12.9" customHeight="1">
      <c r="AJ224" s="5"/>
    </row>
    <row r="225" spans="1:59" ht="12.9" customHeight="1">
      <c r="D225" t="s">
        <v>557</v>
      </c>
      <c r="O225" s="1115">
        <v>1</v>
      </c>
      <c r="P225" s="1115"/>
    </row>
    <row r="226" spans="1:59" ht="12.9" customHeight="1">
      <c r="D226" t="s">
        <v>558</v>
      </c>
      <c r="O226" s="1115">
        <v>3</v>
      </c>
      <c r="P226" s="1115"/>
      <c r="BB226" s="5" t="s">
        <v>638</v>
      </c>
      <c r="BG226" s="410">
        <f>IF(AND(AND($M$251="for profit",$M$259="for profit",$M$267="nonprofit")),2,0)</f>
        <v>0</v>
      </c>
    </row>
    <row r="227" spans="1:59" ht="12.9" customHeight="1">
      <c r="D227" t="s">
        <v>559</v>
      </c>
      <c r="O227" s="1115">
        <v>1</v>
      </c>
      <c r="P227" s="1115"/>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2</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20" t="str">
        <f>H15</f>
        <v>Kingdom Development, Inc.</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 customHeight="1">
      <c r="D236" s="5" t="s">
        <v>372</v>
      </c>
      <c r="E236" s="5"/>
      <c r="F236" s="5"/>
      <c r="G236" s="5"/>
      <c r="H236" s="5"/>
      <c r="I236" s="5"/>
      <c r="J236" s="5"/>
      <c r="K236" s="5"/>
      <c r="M236" s="1053" t="s">
        <v>2331</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053" t="s">
        <v>109</v>
      </c>
      <c r="N237" s="1053"/>
      <c r="O237" s="1053"/>
      <c r="P237" s="1053"/>
      <c r="Q237" s="1053"/>
      <c r="R237" s="1053"/>
      <c r="S237" s="1053"/>
      <c r="T237" s="1053"/>
      <c r="V237" s="42" t="s">
        <v>373</v>
      </c>
      <c r="W237" s="1315" t="s">
        <v>2332</v>
      </c>
      <c r="X237" s="1315"/>
      <c r="Y237" s="5" t="s">
        <v>433</v>
      </c>
      <c r="AC237" s="1053">
        <v>92507</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053" t="s">
        <v>2333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058" t="s">
        <v>2334</v>
      </c>
      <c r="N239" s="1058"/>
      <c r="O239" s="1058"/>
      <c r="P239" s="1058"/>
      <c r="Q239" s="1058"/>
      <c r="R239" s="1058"/>
      <c r="S239" s="5" t="s">
        <v>818</v>
      </c>
      <c r="T239" s="5"/>
      <c r="U239" s="1315"/>
      <c r="V239" s="1315"/>
      <c r="W239" s="1315"/>
      <c r="X239" s="5" t="s">
        <v>376</v>
      </c>
      <c r="Z239" s="1058"/>
      <c r="AA239" s="1058"/>
      <c r="AB239" s="1058"/>
      <c r="AC239" s="1058"/>
      <c r="AD239" s="1058"/>
      <c r="AE239" s="1058"/>
      <c r="AM239" s="41"/>
      <c r="AN239" s="41"/>
      <c r="BB239" t="s">
        <v>1009</v>
      </c>
      <c r="BG239" s="410">
        <f>IF(AND(AND($M$251="for profit",$M$259="for profit",$M$267="for profit")),3,0)</f>
        <v>0</v>
      </c>
    </row>
    <row r="240" spans="1:59" ht="12.9" customHeight="1">
      <c r="D240" s="5" t="s">
        <v>377</v>
      </c>
      <c r="E240" s="5"/>
      <c r="F240" s="5"/>
      <c r="M240" s="1060" t="s">
        <v>2335</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494</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 customHeight="1">
      <c r="D242" t="s">
        <v>631</v>
      </c>
      <c r="M242" s="1314"/>
      <c r="N242" s="1056"/>
      <c r="O242" s="1056"/>
      <c r="P242" s="1056"/>
      <c r="Q242" s="1056"/>
      <c r="R242" s="1056"/>
      <c r="S242" s="1056"/>
      <c r="T242" s="1056"/>
      <c r="U242" s="1056"/>
      <c r="V242" s="1056"/>
      <c r="W242" s="1056"/>
      <c r="X242" s="1056"/>
      <c r="Y242" s="1056"/>
      <c r="Z242" s="1056"/>
      <c r="AA242" s="1056"/>
      <c r="AB242" s="1056"/>
      <c r="AC242" s="1056"/>
      <c r="AD242" s="1056"/>
      <c r="AE242" s="1056"/>
      <c r="AF242" s="938" t="str">
        <f>IF(AND(M241="other",M242=""),"!","")</f>
        <v/>
      </c>
      <c r="AG242" s="938"/>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1" t="s">
        <v>2338</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2337</v>
      </c>
      <c r="AG245" s="1324"/>
      <c r="AH245" s="1324"/>
      <c r="AI245" s="1324"/>
      <c r="AJ245" s="1324"/>
      <c r="AK245" s="1324"/>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2331</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109</v>
      </c>
      <c r="N247" s="1053"/>
      <c r="O247" s="1053"/>
      <c r="P247" s="1053"/>
      <c r="Q247" s="1053"/>
      <c r="R247" s="1053"/>
      <c r="S247" s="1053"/>
      <c r="T247" s="1053"/>
      <c r="V247" s="42" t="s">
        <v>373</v>
      </c>
      <c r="W247" s="1315" t="s">
        <v>2332</v>
      </c>
      <c r="X247" s="1315"/>
      <c r="Y247" s="5" t="s">
        <v>433</v>
      </c>
      <c r="AC247" s="1053">
        <v>92507</v>
      </c>
      <c r="AD247" s="1053"/>
      <c r="AE247" s="1053"/>
      <c r="AN247" s="41"/>
    </row>
    <row r="248" spans="1:67" ht="12.9" customHeight="1">
      <c r="A248" s="28"/>
      <c r="B248" s="5"/>
      <c r="C248" s="5"/>
      <c r="D248" s="5" t="s">
        <v>374</v>
      </c>
      <c r="E248" s="5"/>
      <c r="F248" s="5"/>
      <c r="G248" s="5"/>
      <c r="H248" s="5"/>
      <c r="I248" s="5"/>
      <c r="J248" s="5"/>
      <c r="K248" s="5"/>
      <c r="L248" s="28"/>
      <c r="M248" s="1053" t="s">
        <v>2322</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8" t="s">
        <v>2334</v>
      </c>
      <c r="N249" s="1058"/>
      <c r="O249" s="1058"/>
      <c r="P249" s="1058"/>
      <c r="Q249" s="1058"/>
      <c r="R249" s="1058"/>
      <c r="S249" s="5" t="s">
        <v>818</v>
      </c>
      <c r="T249" s="5"/>
      <c r="U249" s="1315"/>
      <c r="V249" s="1315"/>
      <c r="W249" s="1315"/>
      <c r="X249" s="5" t="s">
        <v>376</v>
      </c>
      <c r="Z249" s="1058"/>
      <c r="AA249" s="1058"/>
      <c r="AB249" s="1058"/>
      <c r="AC249" s="1058"/>
      <c r="AD249" s="1058"/>
      <c r="AE249" s="1058"/>
      <c r="AM249" s="5"/>
      <c r="AN249" s="41"/>
    </row>
    <row r="250" spans="1:67" ht="12.9" customHeight="1">
      <c r="A250" s="28"/>
      <c r="B250" s="5"/>
      <c r="C250" s="5"/>
      <c r="D250" s="5" t="s">
        <v>377</v>
      </c>
      <c r="E250" s="5"/>
      <c r="F250" s="5"/>
      <c r="M250" s="1060" t="s">
        <v>2335</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146" t="s">
        <v>2339</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1" t="s">
        <v>2340</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2336</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314" t="s">
        <v>2341</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314" t="s">
        <v>2474</v>
      </c>
      <c r="N255" s="1053"/>
      <c r="O255" s="1053"/>
      <c r="P255" s="1053"/>
      <c r="Q255" s="1053"/>
      <c r="R255" s="1053"/>
      <c r="S255" s="1053"/>
      <c r="T255" s="1053"/>
      <c r="V255" s="42" t="s">
        <v>373</v>
      </c>
      <c r="W255" s="1315" t="s">
        <v>2332</v>
      </c>
      <c r="X255" s="1315"/>
      <c r="Y255" s="5" t="s">
        <v>433</v>
      </c>
      <c r="AC255" s="1053">
        <v>94947</v>
      </c>
      <c r="AD255" s="1053"/>
      <c r="AE255" s="1053"/>
    </row>
    <row r="256" spans="1:67" ht="12.9" customHeight="1">
      <c r="A256" s="28"/>
      <c r="B256" s="5"/>
      <c r="C256" s="5"/>
      <c r="D256" s="5" t="s">
        <v>374</v>
      </c>
      <c r="E256" s="5"/>
      <c r="F256" s="5"/>
      <c r="G256" s="5"/>
      <c r="H256" s="5"/>
      <c r="I256" s="5"/>
      <c r="J256" s="5"/>
      <c r="K256" s="5"/>
      <c r="L256" s="28"/>
      <c r="M256" s="1053" t="s">
        <v>2342</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8" t="s">
        <v>2343</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 customHeight="1">
      <c r="A258" s="28"/>
      <c r="B258" s="5"/>
      <c r="C258" s="5"/>
      <c r="D258" s="5" t="s">
        <v>377</v>
      </c>
      <c r="E258" s="5"/>
      <c r="F258" s="5"/>
      <c r="M258" s="1060" t="s">
        <v>2344</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2321</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3" t="s">
        <v>2331</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109</v>
      </c>
      <c r="M278" s="1053"/>
      <c r="N278" s="1053"/>
      <c r="O278" s="1053"/>
      <c r="P278" s="1053"/>
      <c r="Q278" s="1053"/>
      <c r="R278" s="1053"/>
      <c r="S278" s="1053"/>
      <c r="U278" s="42" t="s">
        <v>373</v>
      </c>
      <c r="V278" s="1315" t="s">
        <v>2332</v>
      </c>
      <c r="W278" s="1315"/>
      <c r="X278" s="5" t="s">
        <v>433</v>
      </c>
      <c r="AB278" s="1053">
        <v>92507</v>
      </c>
      <c r="AC278" s="1053"/>
      <c r="AD278" s="1053"/>
      <c r="AK278" s="41"/>
      <c r="AL278" s="41"/>
      <c r="BA278" s="43"/>
    </row>
    <row r="279" spans="1:53" ht="12.9" customHeight="1">
      <c r="D279" s="5" t="s">
        <v>374</v>
      </c>
      <c r="E279" s="5"/>
      <c r="F279" s="5"/>
      <c r="G279" s="5"/>
      <c r="H279" s="5"/>
      <c r="I279" s="5"/>
      <c r="J279" s="5"/>
      <c r="K279" s="28"/>
      <c r="L279" s="1053" t="s">
        <v>2333</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8" t="s">
        <v>2334</v>
      </c>
      <c r="M280" s="1058"/>
      <c r="N280" s="1058"/>
      <c r="O280" s="1058"/>
      <c r="P280" s="1058"/>
      <c r="Q280" s="1058"/>
      <c r="R280" s="5" t="s">
        <v>818</v>
      </c>
      <c r="S280" s="5"/>
      <c r="T280" s="1315"/>
      <c r="U280" s="1315"/>
      <c r="V280" s="1315"/>
      <c r="W280" s="5" t="s">
        <v>376</v>
      </c>
      <c r="Y280" s="1058"/>
      <c r="Z280" s="1058"/>
      <c r="AA280" s="1058"/>
      <c r="AB280" s="1058"/>
      <c r="AC280" s="1058"/>
      <c r="AD280" s="1058"/>
      <c r="BA280" s="43"/>
    </row>
    <row r="281" spans="1:53" ht="12.9" customHeight="1">
      <c r="D281" s="5" t="s">
        <v>377</v>
      </c>
      <c r="E281" s="5"/>
      <c r="F281" s="5"/>
      <c r="L281" s="1060" t="s">
        <v>2335</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 customHeight="1">
      <c r="D282" s="41" t="s">
        <v>186</v>
      </c>
      <c r="E282" s="41"/>
      <c r="F282" s="41"/>
      <c r="G282" s="41"/>
      <c r="H282" s="41"/>
      <c r="I282" s="41"/>
      <c r="L282" s="1316" t="s">
        <v>2345</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2340</v>
      </c>
      <c r="I289" s="1056"/>
      <c r="J289" s="1056"/>
      <c r="K289" s="1056"/>
      <c r="L289" s="1056"/>
      <c r="M289" s="1056"/>
      <c r="N289" s="1056"/>
      <c r="O289" s="1056"/>
      <c r="P289" s="1056"/>
      <c r="Q289" s="1056"/>
      <c r="R289" s="1056"/>
      <c r="T289" s="41" t="s">
        <v>745</v>
      </c>
      <c r="V289" s="41"/>
      <c r="W289" s="41"/>
      <c r="X289" s="41"/>
      <c r="Y289" s="41"/>
      <c r="AA289" s="1056" t="s">
        <v>2346</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2341</v>
      </c>
      <c r="I290" s="1054"/>
      <c r="J290" s="1054"/>
      <c r="K290" s="1054"/>
      <c r="L290" s="1054"/>
      <c r="M290" s="1054"/>
      <c r="N290" s="1054"/>
      <c r="O290" s="1054"/>
      <c r="P290" s="1054"/>
      <c r="Q290" s="1054"/>
      <c r="R290" s="1054"/>
      <c r="T290" s="41" t="s">
        <v>699</v>
      </c>
      <c r="V290" s="41"/>
      <c r="W290" s="41"/>
      <c r="X290" s="41"/>
      <c r="Y290" s="41"/>
      <c r="AA290" s="1054" t="s">
        <v>2347</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2475</v>
      </c>
      <c r="I291" s="1054"/>
      <c r="J291" s="1054"/>
      <c r="K291" s="1054"/>
      <c r="L291" s="1054"/>
      <c r="M291" s="1054"/>
      <c r="N291" s="1054"/>
      <c r="O291" s="1054"/>
      <c r="P291" s="1054"/>
      <c r="Q291" s="1054"/>
      <c r="R291" s="1054"/>
      <c r="T291" s="41" t="s">
        <v>700</v>
      </c>
      <c r="V291" s="41"/>
      <c r="W291" s="41"/>
      <c r="X291" s="41"/>
      <c r="Y291" s="41"/>
      <c r="AA291" s="1054" t="s">
        <v>2348</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2342</v>
      </c>
      <c r="I292" s="1054"/>
      <c r="J292" s="1054"/>
      <c r="K292" s="1054"/>
      <c r="L292" s="1054"/>
      <c r="M292" s="1054"/>
      <c r="N292" s="1054"/>
      <c r="O292" s="1054"/>
      <c r="P292" s="1054"/>
      <c r="Q292" s="1054"/>
      <c r="R292" s="1054"/>
      <c r="T292" s="41" t="s">
        <v>374</v>
      </c>
      <c r="V292" s="41"/>
      <c r="W292" s="41"/>
      <c r="X292" s="41"/>
      <c r="Y292" s="41"/>
      <c r="AA292" s="1054" t="s">
        <v>2349</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2343</v>
      </c>
      <c r="I293" s="1057"/>
      <c r="J293" s="1057"/>
      <c r="K293" s="1057"/>
      <c r="L293" s="1057"/>
      <c r="M293" s="1057"/>
      <c r="N293" s="5" t="s">
        <v>818</v>
      </c>
      <c r="O293" s="5"/>
      <c r="P293" s="1053"/>
      <c r="Q293" s="1053"/>
      <c r="R293" s="1053"/>
      <c r="S293" s="41"/>
      <c r="T293" s="41" t="s">
        <v>375</v>
      </c>
      <c r="V293" s="41"/>
      <c r="W293" s="41"/>
      <c r="X293" s="41"/>
      <c r="Y293" s="41"/>
      <c r="AA293" s="1057" t="s">
        <v>2350</v>
      </c>
      <c r="AB293" s="1057"/>
      <c r="AC293" s="1057"/>
      <c r="AD293" s="1057"/>
      <c r="AE293" s="1057"/>
      <c r="AF293" s="1057"/>
      <c r="AG293" s="5" t="s">
        <v>818</v>
      </c>
      <c r="AH293" s="5"/>
      <c r="AI293" s="1053"/>
      <c r="AJ293" s="1053"/>
      <c r="AK293" s="1053"/>
      <c r="BA293" s="43"/>
    </row>
    <row r="294" spans="2:53" ht="12.9" customHeight="1">
      <c r="B294" s="41" t="s">
        <v>376</v>
      </c>
      <c r="C294" s="41"/>
      <c r="D294" s="41"/>
      <c r="E294" s="41"/>
      <c r="F294" s="41"/>
      <c r="G294" s="41"/>
      <c r="H294" s="1058"/>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 customHeight="1">
      <c r="B295" s="41" t="s">
        <v>702</v>
      </c>
      <c r="C295" s="41"/>
      <c r="D295" s="41"/>
      <c r="E295" s="41"/>
      <c r="F295" s="41"/>
      <c r="G295" s="41"/>
      <c r="H295" s="1054" t="s">
        <v>2344</v>
      </c>
      <c r="I295" s="1054"/>
      <c r="J295" s="1054"/>
      <c r="K295" s="1054"/>
      <c r="L295" s="1054"/>
      <c r="M295" s="1054"/>
      <c r="N295" s="1056"/>
      <c r="O295" s="1056"/>
      <c r="P295" s="1056"/>
      <c r="Q295" s="1056"/>
      <c r="R295" s="1056"/>
      <c r="S295" s="41"/>
      <c r="T295" s="41" t="s">
        <v>702</v>
      </c>
      <c r="V295" s="41"/>
      <c r="W295" s="41"/>
      <c r="X295" s="41"/>
      <c r="Y295" s="41"/>
      <c r="AA295" s="1054" t="s">
        <v>2351</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2352</v>
      </c>
      <c r="I297" s="1056"/>
      <c r="J297" s="1056"/>
      <c r="K297" s="1056"/>
      <c r="L297" s="1056"/>
      <c r="M297" s="1056"/>
      <c r="N297" s="1056"/>
      <c r="O297" s="1056"/>
      <c r="P297" s="1056"/>
      <c r="Q297" s="1056"/>
      <c r="R297" s="1056"/>
      <c r="T297" s="41" t="s">
        <v>35</v>
      </c>
      <c r="V297" s="41"/>
      <c r="W297" s="41"/>
      <c r="X297" s="41"/>
      <c r="Y297" s="41"/>
      <c r="AA297" s="1056" t="s">
        <v>2358</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2353</v>
      </c>
      <c r="I298" s="1054"/>
      <c r="J298" s="1054"/>
      <c r="K298" s="1054"/>
      <c r="L298" s="1054"/>
      <c r="M298" s="1054"/>
      <c r="N298" s="1054"/>
      <c r="O298" s="1054"/>
      <c r="P298" s="1054"/>
      <c r="Q298" s="1054"/>
      <c r="R298" s="1054"/>
      <c r="T298" s="41" t="s">
        <v>699</v>
      </c>
      <c r="V298" s="41"/>
      <c r="W298" s="41"/>
      <c r="X298" s="41"/>
      <c r="Y298" s="41"/>
      <c r="AA298" s="1054" t="s">
        <v>2359</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2354</v>
      </c>
      <c r="I299" s="1054"/>
      <c r="J299" s="1054"/>
      <c r="K299" s="1054"/>
      <c r="L299" s="1054"/>
      <c r="M299" s="1054"/>
      <c r="N299" s="1054"/>
      <c r="O299" s="1054"/>
      <c r="P299" s="1054"/>
      <c r="Q299" s="1054"/>
      <c r="R299" s="1054"/>
      <c r="T299" s="41" t="s">
        <v>700</v>
      </c>
      <c r="V299" s="41"/>
      <c r="W299" s="41"/>
      <c r="X299" s="41"/>
      <c r="Y299" s="41"/>
      <c r="AA299" s="1054" t="s">
        <v>2360</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2355</v>
      </c>
      <c r="I300" s="1054"/>
      <c r="J300" s="1054"/>
      <c r="K300" s="1054"/>
      <c r="L300" s="1054"/>
      <c r="M300" s="1054"/>
      <c r="N300" s="1054"/>
      <c r="O300" s="1054"/>
      <c r="P300" s="1054"/>
      <c r="Q300" s="1054"/>
      <c r="R300" s="1054"/>
      <c r="T300" s="41" t="s">
        <v>374</v>
      </c>
      <c r="V300" s="41"/>
      <c r="W300" s="41"/>
      <c r="X300" s="41"/>
      <c r="Y300" s="41"/>
      <c r="AA300" s="1054" t="s">
        <v>2361</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7" t="s">
        <v>2356</v>
      </c>
      <c r="I301" s="1057"/>
      <c r="J301" s="1057"/>
      <c r="K301" s="1057"/>
      <c r="L301" s="1057"/>
      <c r="M301" s="1057"/>
      <c r="N301" s="5" t="s">
        <v>818</v>
      </c>
      <c r="O301" s="5"/>
      <c r="P301" s="1053"/>
      <c r="Q301" s="1053"/>
      <c r="R301" s="1053"/>
      <c r="S301" s="41"/>
      <c r="T301" s="41" t="s">
        <v>375</v>
      </c>
      <c r="V301" s="41"/>
      <c r="W301" s="41"/>
      <c r="X301" s="41"/>
      <c r="Y301" s="41"/>
      <c r="AA301" s="1057" t="s">
        <v>2362</v>
      </c>
      <c r="AB301" s="1057"/>
      <c r="AC301" s="1057"/>
      <c r="AD301" s="1057"/>
      <c r="AE301" s="1057"/>
      <c r="AF301" s="1057"/>
      <c r="AG301" s="5" t="s">
        <v>818</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c r="AB302" s="1058"/>
      <c r="AC302" s="1058"/>
      <c r="AD302" s="1058"/>
      <c r="AE302" s="1058"/>
      <c r="AF302" s="1058"/>
      <c r="AG302" s="5"/>
      <c r="AH302" s="5"/>
      <c r="AI302" s="44"/>
      <c r="AJ302" s="44"/>
      <c r="AK302" s="44"/>
      <c r="BA302" s="43"/>
    </row>
    <row r="303" spans="2:53" ht="12.9" customHeight="1">
      <c r="B303" s="41" t="s">
        <v>702</v>
      </c>
      <c r="C303" s="41"/>
      <c r="D303" s="41"/>
      <c r="E303" s="41"/>
      <c r="F303" s="41"/>
      <c r="G303" s="41"/>
      <c r="H303" s="1054" t="s">
        <v>2357</v>
      </c>
      <c r="I303" s="1054"/>
      <c r="J303" s="1054"/>
      <c r="K303" s="1054"/>
      <c r="L303" s="1054"/>
      <c r="M303" s="1054"/>
      <c r="N303" s="1056"/>
      <c r="O303" s="1056"/>
      <c r="P303" s="1056"/>
      <c r="Q303" s="1056"/>
      <c r="R303" s="1056"/>
      <c r="S303" s="41"/>
      <c r="T303" s="41" t="s">
        <v>702</v>
      </c>
      <c r="V303" s="41"/>
      <c r="W303" s="41"/>
      <c r="X303" s="41"/>
      <c r="Y303" s="41"/>
      <c r="AA303" s="1054" t="s">
        <v>2363</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2364</v>
      </c>
      <c r="I305" s="1056"/>
      <c r="J305" s="1056"/>
      <c r="K305" s="1056"/>
      <c r="L305" s="1056"/>
      <c r="M305" s="1056"/>
      <c r="N305" s="1056"/>
      <c r="O305" s="1056"/>
      <c r="P305" s="1056"/>
      <c r="Q305" s="1056"/>
      <c r="R305" s="1056"/>
      <c r="T305" s="5" t="s">
        <v>1105</v>
      </c>
      <c r="V305" s="41"/>
      <c r="W305" s="41"/>
      <c r="X305" s="41"/>
      <c r="Y305" s="41"/>
      <c r="AA305" s="1056" t="s">
        <v>2364</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c r="I309" s="1057"/>
      <c r="J309" s="1057"/>
      <c r="K309" s="1057"/>
      <c r="L309" s="1057"/>
      <c r="M309" s="1057"/>
      <c r="N309" s="5" t="s">
        <v>818</v>
      </c>
      <c r="O309" s="5"/>
      <c r="P309" s="1053"/>
      <c r="Q309" s="1053"/>
      <c r="R309" s="1053"/>
      <c r="S309" s="41"/>
      <c r="T309" s="41" t="s">
        <v>375</v>
      </c>
      <c r="V309" s="41"/>
      <c r="W309" s="41"/>
      <c r="X309" s="41"/>
      <c r="Y309" s="41"/>
      <c r="AA309" s="1057"/>
      <c r="AB309" s="1057"/>
      <c r="AC309" s="1057"/>
      <c r="AD309" s="1057"/>
      <c r="AE309" s="1057"/>
      <c r="AF309" s="1057"/>
      <c r="AG309" s="5" t="s">
        <v>818</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 customHeight="1">
      <c r="B311" s="41" t="s">
        <v>702</v>
      </c>
      <c r="C311" s="41"/>
      <c r="D311" s="41"/>
      <c r="E311" s="41"/>
      <c r="F311" s="41"/>
      <c r="G311" s="41"/>
      <c r="H311" s="1054"/>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t="s">
        <v>2365</v>
      </c>
      <c r="I313" s="1056"/>
      <c r="J313" s="1056"/>
      <c r="K313" s="1056"/>
      <c r="L313" s="1056"/>
      <c r="M313" s="1056"/>
      <c r="N313" s="1056"/>
      <c r="O313" s="1056"/>
      <c r="P313" s="1056"/>
      <c r="Q313" s="1056"/>
      <c r="R313" s="1056"/>
      <c r="T313" s="41" t="s">
        <v>36</v>
      </c>
      <c r="V313" s="41"/>
      <c r="W313" s="41"/>
      <c r="X313" s="41"/>
      <c r="Y313" s="41"/>
      <c r="AA313" s="1056" t="s">
        <v>2371</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t="s">
        <v>2366</v>
      </c>
      <c r="I314" s="1054"/>
      <c r="J314" s="1054"/>
      <c r="K314" s="1054"/>
      <c r="L314" s="1054"/>
      <c r="M314" s="1054"/>
      <c r="N314" s="1054"/>
      <c r="O314" s="1054"/>
      <c r="P314" s="1054"/>
      <c r="Q314" s="1054"/>
      <c r="R314" s="1054"/>
      <c r="T314" s="41" t="s">
        <v>699</v>
      </c>
      <c r="V314" s="41"/>
      <c r="W314" s="41"/>
      <c r="X314" s="41"/>
      <c r="Y314" s="41"/>
      <c r="AA314" s="1054" t="s">
        <v>2372</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t="s">
        <v>2367</v>
      </c>
      <c r="I315" s="1054"/>
      <c r="J315" s="1054"/>
      <c r="K315" s="1054"/>
      <c r="L315" s="1054"/>
      <c r="M315" s="1054"/>
      <c r="N315" s="1054"/>
      <c r="O315" s="1054"/>
      <c r="P315" s="1054"/>
      <c r="Q315" s="1054"/>
      <c r="R315" s="1054"/>
      <c r="T315" s="41" t="s">
        <v>700</v>
      </c>
      <c r="V315" s="41"/>
      <c r="W315" s="41"/>
      <c r="X315" s="41"/>
      <c r="Y315" s="41"/>
      <c r="AA315" s="1054" t="s">
        <v>2373</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2368</v>
      </c>
      <c r="I316" s="1054"/>
      <c r="J316" s="1054"/>
      <c r="K316" s="1054"/>
      <c r="L316" s="1054"/>
      <c r="M316" s="1054"/>
      <c r="N316" s="1054"/>
      <c r="O316" s="1054"/>
      <c r="P316" s="1054"/>
      <c r="Q316" s="1054"/>
      <c r="R316" s="1054"/>
      <c r="T316" s="41" t="s">
        <v>374</v>
      </c>
      <c r="V316" s="41"/>
      <c r="W316" s="41"/>
      <c r="X316" s="41"/>
      <c r="Y316" s="41"/>
      <c r="AA316" s="1054" t="s">
        <v>2374</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7" t="s">
        <v>2369</v>
      </c>
      <c r="I317" s="1057"/>
      <c r="J317" s="1057"/>
      <c r="K317" s="1057"/>
      <c r="L317" s="1057"/>
      <c r="M317" s="1057"/>
      <c r="N317" s="5" t="s">
        <v>818</v>
      </c>
      <c r="O317" s="5"/>
      <c r="P317" s="1053"/>
      <c r="Q317" s="1053"/>
      <c r="R317" s="1053"/>
      <c r="S317" s="41"/>
      <c r="T317" s="41" t="s">
        <v>375</v>
      </c>
      <c r="V317" s="41"/>
      <c r="W317" s="41"/>
      <c r="X317" s="41"/>
      <c r="Y317" s="41"/>
      <c r="AA317" s="1057" t="s">
        <v>2375</v>
      </c>
      <c r="AB317" s="1057"/>
      <c r="AC317" s="1057"/>
      <c r="AD317" s="1057"/>
      <c r="AE317" s="1057"/>
      <c r="AF317" s="1057"/>
      <c r="AG317" s="5" t="s">
        <v>818</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702</v>
      </c>
      <c r="C319" s="41"/>
      <c r="D319" s="41"/>
      <c r="E319" s="41"/>
      <c r="F319" s="41"/>
      <c r="G319" s="41"/>
      <c r="H319" s="1054" t="s">
        <v>2370</v>
      </c>
      <c r="I319" s="1054"/>
      <c r="J319" s="1054"/>
      <c r="K319" s="1054"/>
      <c r="L319" s="1054"/>
      <c r="M319" s="1054"/>
      <c r="N319" s="1056"/>
      <c r="O319" s="1056"/>
      <c r="P319" s="1056"/>
      <c r="Q319" s="1056"/>
      <c r="R319" s="1056"/>
      <c r="S319" s="41"/>
      <c r="T319" s="41" t="s">
        <v>702</v>
      </c>
      <c r="V319" s="41"/>
      <c r="W319" s="41"/>
      <c r="X319" s="41"/>
      <c r="Y319" s="41"/>
      <c r="AA319" s="1054" t="s">
        <v>2376</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t="s">
        <v>2321</v>
      </c>
      <c r="I321" s="1056"/>
      <c r="J321" s="1056"/>
      <c r="K321" s="1056"/>
      <c r="L321" s="1056"/>
      <c r="M321" s="1056"/>
      <c r="N321" s="1056"/>
      <c r="O321" s="1056"/>
      <c r="P321" s="1056"/>
      <c r="Q321" s="1056"/>
      <c r="R321" s="1056"/>
      <c r="T321" s="41" t="s">
        <v>37</v>
      </c>
      <c r="V321" s="41"/>
      <c r="W321" s="41"/>
      <c r="X321" s="41"/>
      <c r="Y321" s="41"/>
      <c r="AA321" s="1056" t="s">
        <v>2379</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t="s">
        <v>2377</v>
      </c>
      <c r="I322" s="1054"/>
      <c r="J322" s="1054"/>
      <c r="K322" s="1054"/>
      <c r="L322" s="1054"/>
      <c r="M322" s="1054"/>
      <c r="N322" s="1054"/>
      <c r="O322" s="1054"/>
      <c r="P322" s="1054"/>
      <c r="Q322" s="1054"/>
      <c r="R322" s="1054"/>
      <c r="T322" s="41" t="s">
        <v>699</v>
      </c>
      <c r="V322" s="41"/>
      <c r="W322" s="41"/>
      <c r="X322" s="41"/>
      <c r="Y322" s="41"/>
      <c r="AA322" s="1054" t="s">
        <v>2380</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t="s">
        <v>2378</v>
      </c>
      <c r="I323" s="1054"/>
      <c r="J323" s="1054"/>
      <c r="K323" s="1054"/>
      <c r="L323" s="1054"/>
      <c r="M323" s="1054"/>
      <c r="N323" s="1054"/>
      <c r="O323" s="1054"/>
      <c r="P323" s="1054"/>
      <c r="Q323" s="1054"/>
      <c r="R323" s="1054"/>
      <c r="T323" s="41" t="s">
        <v>700</v>
      </c>
      <c r="V323" s="41"/>
      <c r="W323" s="41"/>
      <c r="X323" s="41"/>
      <c r="Y323" s="41"/>
      <c r="AA323" s="1054" t="s">
        <v>2381</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t="s">
        <v>2333</v>
      </c>
      <c r="I324" s="1054"/>
      <c r="J324" s="1054"/>
      <c r="K324" s="1054"/>
      <c r="L324" s="1054"/>
      <c r="M324" s="1054"/>
      <c r="N324" s="1054"/>
      <c r="O324" s="1054"/>
      <c r="P324" s="1054"/>
      <c r="Q324" s="1054"/>
      <c r="R324" s="1054"/>
      <c r="T324" s="41" t="s">
        <v>374</v>
      </c>
      <c r="V324" s="41"/>
      <c r="W324" s="41"/>
      <c r="X324" s="41"/>
      <c r="Y324" s="41"/>
      <c r="AA324" s="1054" t="s">
        <v>2382</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t="s">
        <v>2334</v>
      </c>
      <c r="I325" s="1057"/>
      <c r="J325" s="1057"/>
      <c r="K325" s="1057"/>
      <c r="L325" s="1057"/>
      <c r="M325" s="1057"/>
      <c r="N325" s="5" t="s">
        <v>818</v>
      </c>
      <c r="O325" s="5"/>
      <c r="P325" s="1053"/>
      <c r="Q325" s="1053"/>
      <c r="R325" s="1053"/>
      <c r="S325" s="41"/>
      <c r="T325" s="41" t="s">
        <v>375</v>
      </c>
      <c r="V325" s="41"/>
      <c r="W325" s="41"/>
      <c r="X325" s="41"/>
      <c r="Y325" s="41"/>
      <c r="AA325" s="1057">
        <v>9163726100</v>
      </c>
      <c r="AB325" s="1057"/>
      <c r="AC325" s="1057"/>
      <c r="AD325" s="1057"/>
      <c r="AE325" s="1057"/>
      <c r="AF325" s="1057"/>
      <c r="AG325" s="5" t="s">
        <v>818</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c r="AB326" s="1058"/>
      <c r="AC326" s="1058"/>
      <c r="AD326" s="1058"/>
      <c r="AE326" s="1058"/>
      <c r="AF326" s="1058"/>
      <c r="AG326" s="5"/>
      <c r="AH326" s="5"/>
      <c r="AI326" s="44"/>
      <c r="AJ326" s="44"/>
      <c r="AK326" s="44"/>
      <c r="BA326" s="43"/>
    </row>
    <row r="327" spans="2:53" ht="12.9" customHeight="1">
      <c r="B327" s="41" t="s">
        <v>702</v>
      </c>
      <c r="C327" s="41"/>
      <c r="D327" s="41"/>
      <c r="E327" s="41"/>
      <c r="F327" s="41"/>
      <c r="G327" s="41"/>
      <c r="H327" s="1054" t="s">
        <v>2335</v>
      </c>
      <c r="I327" s="1054"/>
      <c r="J327" s="1054"/>
      <c r="K327" s="1054"/>
      <c r="L327" s="1054"/>
      <c r="M327" s="1054"/>
      <c r="N327" s="1056"/>
      <c r="O327" s="1056"/>
      <c r="P327" s="1056"/>
      <c r="Q327" s="1056"/>
      <c r="R327" s="1056"/>
      <c r="S327" s="41"/>
      <c r="T327" s="41" t="s">
        <v>702</v>
      </c>
      <c r="V327" s="41"/>
      <c r="W327" s="41"/>
      <c r="X327" s="41"/>
      <c r="Y327" s="41"/>
      <c r="AA327" s="1054" t="s">
        <v>2383</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t="s">
        <v>2384</v>
      </c>
      <c r="I329" s="1056"/>
      <c r="J329" s="1056"/>
      <c r="K329" s="1056"/>
      <c r="L329" s="1056"/>
      <c r="M329" s="1056"/>
      <c r="N329" s="1056"/>
      <c r="O329" s="1056"/>
      <c r="P329" s="1056"/>
      <c r="Q329" s="1056"/>
      <c r="R329" s="1056"/>
      <c r="T329" s="5" t="s">
        <v>1106</v>
      </c>
      <c r="V329" s="41"/>
      <c r="W329" s="41"/>
      <c r="X329" s="41"/>
      <c r="Y329" s="41"/>
      <c r="AA329" s="1056" t="s">
        <v>2390</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t="s">
        <v>2385</v>
      </c>
      <c r="I330" s="1054"/>
      <c r="J330" s="1054"/>
      <c r="K330" s="1054"/>
      <c r="L330" s="1054"/>
      <c r="M330" s="1054"/>
      <c r="N330" s="1054"/>
      <c r="O330" s="1054"/>
      <c r="P330" s="1054"/>
      <c r="Q330" s="1054"/>
      <c r="R330" s="1054"/>
      <c r="T330" s="41" t="s">
        <v>699</v>
      </c>
      <c r="V330" s="41"/>
      <c r="W330" s="41"/>
      <c r="X330" s="41"/>
      <c r="Y330" s="41"/>
      <c r="AA330" s="1054" t="s">
        <v>2391</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t="s">
        <v>2386</v>
      </c>
      <c r="I331" s="1054"/>
      <c r="J331" s="1054"/>
      <c r="K331" s="1054"/>
      <c r="L331" s="1054"/>
      <c r="M331" s="1054"/>
      <c r="N331" s="1054"/>
      <c r="O331" s="1054"/>
      <c r="P331" s="1054"/>
      <c r="Q331" s="1054"/>
      <c r="R331" s="1054"/>
      <c r="T331" s="41" t="s">
        <v>700</v>
      </c>
      <c r="V331" s="41"/>
      <c r="W331" s="41"/>
      <c r="X331" s="41"/>
      <c r="Y331" s="41"/>
      <c r="AA331" s="1054" t="s">
        <v>2392</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t="s">
        <v>2387</v>
      </c>
      <c r="I332" s="1054"/>
      <c r="J332" s="1054"/>
      <c r="K332" s="1054"/>
      <c r="L332" s="1054"/>
      <c r="M332" s="1054"/>
      <c r="N332" s="1054"/>
      <c r="O332" s="1054"/>
      <c r="P332" s="1054"/>
      <c r="Q332" s="1054"/>
      <c r="R332" s="1054"/>
      <c r="T332" s="41" t="s">
        <v>374</v>
      </c>
      <c r="V332" s="41"/>
      <c r="W332" s="41"/>
      <c r="X332" s="41"/>
      <c r="Y332" s="41"/>
      <c r="AA332" s="1054" t="s">
        <v>2393</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t="s">
        <v>2388</v>
      </c>
      <c r="I333" s="1057"/>
      <c r="J333" s="1057"/>
      <c r="K333" s="1057"/>
      <c r="L333" s="1057"/>
      <c r="M333" s="1057"/>
      <c r="N333" s="5" t="s">
        <v>818</v>
      </c>
      <c r="O333" s="5"/>
      <c r="P333" s="1053"/>
      <c r="Q333" s="1053"/>
      <c r="R333" s="1053"/>
      <c r="T333" s="41" t="s">
        <v>375</v>
      </c>
      <c r="V333" s="41"/>
      <c r="W333" s="41"/>
      <c r="X333" s="41"/>
      <c r="Y333" s="41"/>
      <c r="AA333" s="1057" t="s">
        <v>2394</v>
      </c>
      <c r="AB333" s="1057"/>
      <c r="AC333" s="1057"/>
      <c r="AD333" s="1057"/>
      <c r="AE333" s="1057"/>
      <c r="AF333" s="1057"/>
      <c r="AG333" s="5" t="s">
        <v>818</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c r="AB334" s="1058"/>
      <c r="AC334" s="1058"/>
      <c r="AD334" s="1058"/>
      <c r="AE334" s="1058"/>
      <c r="AF334" s="1058"/>
      <c r="AG334" s="5"/>
      <c r="AH334" s="5"/>
      <c r="AI334" s="44"/>
      <c r="AJ334" s="44"/>
      <c r="AK334" s="44"/>
      <c r="BA334" s="43"/>
    </row>
    <row r="335" spans="2:53" ht="12.9" customHeight="1">
      <c r="B335" s="41" t="s">
        <v>702</v>
      </c>
      <c r="C335" s="41"/>
      <c r="D335" s="41"/>
      <c r="E335" s="41"/>
      <c r="F335" s="41"/>
      <c r="G335" s="41"/>
      <c r="H335" s="1054" t="s">
        <v>2389</v>
      </c>
      <c r="I335" s="1054"/>
      <c r="J335" s="1054"/>
      <c r="K335" s="1054"/>
      <c r="L335" s="1054"/>
      <c r="M335" s="1054"/>
      <c r="N335" s="1056"/>
      <c r="O335" s="1056"/>
      <c r="P335" s="1056"/>
      <c r="Q335" s="1056"/>
      <c r="R335" s="1056"/>
      <c r="T335" s="41" t="s">
        <v>702</v>
      </c>
      <c r="V335" s="41"/>
      <c r="W335" s="41"/>
      <c r="X335" s="41"/>
      <c r="Y335" s="41"/>
      <c r="AA335" s="1054" t="s">
        <v>2395</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1145</v>
      </c>
      <c r="AA337" s="1056" t="s">
        <v>124</v>
      </c>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5" t="s">
        <v>108</v>
      </c>
      <c r="N349" s="1115"/>
      <c r="P349" t="s">
        <v>1961</v>
      </c>
      <c r="AJ349" s="1115" t="s">
        <v>124</v>
      </c>
      <c r="AK349" s="1115"/>
    </row>
    <row r="350" spans="1:53" ht="12.9" customHeight="1">
      <c r="D350" s="41" t="s">
        <v>1888</v>
      </c>
      <c r="M350" s="1115" t="s">
        <v>124</v>
      </c>
      <c r="N350" s="1115"/>
      <c r="P350" s="41" t="s">
        <v>1962</v>
      </c>
      <c r="AJ350" s="1144"/>
      <c r="AK350" s="1144"/>
    </row>
    <row r="351" spans="1:53" ht="12.9" customHeight="1">
      <c r="D351" t="s">
        <v>313</v>
      </c>
      <c r="M351" s="1115" t="s">
        <v>124</v>
      </c>
      <c r="N351" s="1115"/>
      <c r="P351" t="s">
        <v>1963</v>
      </c>
      <c r="AJ351" s="1115" t="s">
        <v>124</v>
      </c>
      <c r="AK351" s="1115"/>
    </row>
    <row r="352" spans="1:53" ht="12.9" customHeight="1">
      <c r="D352" t="s">
        <v>314</v>
      </c>
      <c r="M352" s="1115" t="s">
        <v>124</v>
      </c>
      <c r="N352" s="1115"/>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 customHeight="1">
      <c r="E358" t="s">
        <v>733</v>
      </c>
      <c r="Y358" s="1115" t="s">
        <v>124</v>
      </c>
      <c r="Z358" s="1115"/>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39" t="s">
        <v>2104</v>
      </c>
      <c r="Q370" s="361" t="s">
        <v>231</v>
      </c>
      <c r="R370" s="361"/>
      <c r="S370" s="1345"/>
      <c r="T370" s="1345"/>
      <c r="U370" s="370" t="s">
        <v>232</v>
      </c>
      <c r="V370" s="1345"/>
      <c r="W370" s="1345"/>
      <c r="X370" s="361"/>
      <c r="Z370" s="361"/>
      <c r="AA370" s="939" t="s">
        <v>2104</v>
      </c>
      <c r="AB370" s="361" t="s">
        <v>231</v>
      </c>
      <c r="AC370" s="361"/>
      <c r="AD370" s="1345"/>
      <c r="AE370" s="1345"/>
      <c r="AF370" s="370" t="s">
        <v>232</v>
      </c>
      <c r="AG370" s="1345"/>
      <c r="AH370" s="1345"/>
    </row>
    <row r="371" spans="1:36" ht="12.9"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2396</v>
      </c>
      <c r="K378" s="1056"/>
      <c r="L378" s="1056"/>
      <c r="M378" s="1056"/>
      <c r="N378" s="1056"/>
      <c r="O378" s="1056"/>
      <c r="P378" s="1056"/>
      <c r="Q378" s="1056"/>
      <c r="R378" s="1056"/>
      <c r="S378" s="1056"/>
      <c r="T378" s="1056"/>
      <c r="U378" s="1056"/>
      <c r="V378" s="12" t="s">
        <v>710</v>
      </c>
      <c r="W378" s="12"/>
      <c r="X378" s="12"/>
      <c r="Y378" s="12"/>
      <c r="Z378" s="12"/>
      <c r="AA378" s="12"/>
      <c r="AB378" s="12"/>
      <c r="AC378" s="1056" t="s">
        <v>2397</v>
      </c>
      <c r="AD378" s="1056"/>
      <c r="AE378" s="1056"/>
      <c r="AF378" s="1056"/>
      <c r="AG378" s="1056"/>
      <c r="AH378" s="1056"/>
      <c r="AI378" s="1056"/>
      <c r="AJ378" s="1056"/>
    </row>
    <row r="379" spans="1:36" ht="12.9" customHeight="1">
      <c r="D379" s="41" t="s">
        <v>1964</v>
      </c>
      <c r="J379" s="1054" t="s">
        <v>2397</v>
      </c>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t="s">
        <v>2398</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2" t="s">
        <v>2399</v>
      </c>
      <c r="K381" s="1142"/>
      <c r="L381" s="1142"/>
      <c r="M381" s="1142"/>
      <c r="N381" s="1142"/>
      <c r="O381" s="1142"/>
      <c r="P381" s="1142"/>
      <c r="Q381" s="1142"/>
      <c r="R381" s="1142"/>
      <c r="S381" s="1142"/>
      <c r="T381" s="1142"/>
      <c r="U381" s="1142"/>
      <c r="V381" s="1056" t="s">
        <v>2400</v>
      </c>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4">
        <v>44904</v>
      </c>
      <c r="R382" s="1474"/>
      <c r="S382" s="1474"/>
      <c r="T382" s="1474"/>
      <c r="U382" s="1474"/>
      <c r="V382" t="s">
        <v>168</v>
      </c>
      <c r="AI382" s="1115" t="s">
        <v>482</v>
      </c>
      <c r="AJ382" s="1115"/>
    </row>
    <row r="383" spans="1:36" ht="12.9" customHeight="1">
      <c r="D383" t="s">
        <v>555</v>
      </c>
      <c r="Q383" s="1258">
        <v>45657</v>
      </c>
      <c r="R383" s="1352"/>
      <c r="S383" s="1352"/>
      <c r="T383" s="1352"/>
      <c r="U383" s="1352"/>
      <c r="W383" s="29" t="s">
        <v>20</v>
      </c>
      <c r="AG383" s="1130"/>
      <c r="AH383" s="1130"/>
      <c r="AI383" s="1130"/>
      <c r="AJ383" s="1130"/>
    </row>
    <row r="384" spans="1:36" ht="12.9" customHeight="1">
      <c r="D384" t="s">
        <v>274</v>
      </c>
      <c r="Q384" s="1114">
        <v>2700000</v>
      </c>
      <c r="R384" s="1114"/>
      <c r="S384" s="1114"/>
      <c r="T384" s="1114"/>
      <c r="U384" s="1114"/>
      <c r="V384" s="41" t="s">
        <v>1966</v>
      </c>
      <c r="AG384" s="1276">
        <v>45657</v>
      </c>
      <c r="AH384" s="1276"/>
      <c r="AI384" s="1276"/>
      <c r="AJ384" s="1276"/>
    </row>
    <row r="385" spans="4:36" ht="12.9" customHeight="1">
      <c r="D385" t="s">
        <v>375</v>
      </c>
      <c r="I385" s="1146" t="s">
        <v>2401</v>
      </c>
      <c r="J385" s="1146"/>
      <c r="K385" s="1146"/>
      <c r="L385" s="1146"/>
      <c r="M385" s="1146"/>
      <c r="N385" s="1146"/>
      <c r="Q385" s="41" t="s">
        <v>818</v>
      </c>
      <c r="S385" s="1147"/>
      <c r="T385" s="1147"/>
      <c r="U385" s="1147"/>
      <c r="V385" t="s">
        <v>19</v>
      </c>
      <c r="AI385" s="1115" t="s">
        <v>482</v>
      </c>
      <c r="AJ385" s="1115"/>
    </row>
    <row r="386" spans="4:36" ht="12.9" customHeight="1">
      <c r="D386" t="s">
        <v>169</v>
      </c>
      <c r="Q386" s="1173"/>
      <c r="R386" s="1173"/>
      <c r="S386" s="1173"/>
      <c r="T386" s="1173"/>
      <c r="U386" s="1173"/>
      <c r="V386" t="s">
        <v>170</v>
      </c>
      <c r="AG386" s="1130"/>
      <c r="AH386" s="1130"/>
      <c r="AI386" s="1130"/>
      <c r="AJ386" s="1130"/>
    </row>
    <row r="387" spans="4:36" ht="12.9" customHeight="1">
      <c r="D387" t="s">
        <v>25</v>
      </c>
      <c r="Q387" s="1416"/>
      <c r="R387" s="1416"/>
      <c r="S387" s="1416"/>
      <c r="T387" s="1416"/>
      <c r="U387" s="1416"/>
      <c r="V387" t="s">
        <v>1682</v>
      </c>
      <c r="AG387" s="1130"/>
      <c r="AH387" s="1130"/>
      <c r="AI387" s="1130"/>
      <c r="AJ387" s="1130"/>
    </row>
    <row r="388" spans="4:36" ht="12.9" customHeight="1">
      <c r="D388" t="s">
        <v>1967</v>
      </c>
      <c r="AG388" s="1130"/>
      <c r="AH388" s="1130"/>
      <c r="AI388" s="1130"/>
      <c r="AJ388" s="1130"/>
    </row>
    <row r="389" spans="4:36" ht="12.9" customHeight="1">
      <c r="AG389" s="831"/>
      <c r="AH389" s="831"/>
      <c r="AI389" s="831"/>
      <c r="AJ389" s="831"/>
    </row>
    <row r="390" spans="4:36" ht="12.9" customHeight="1">
      <c r="D390" s="41" t="s">
        <v>2206</v>
      </c>
      <c r="AG390" s="831"/>
      <c r="AH390" s="831"/>
      <c r="AI390" s="1115" t="s">
        <v>482</v>
      </c>
      <c r="AJ390" s="1115"/>
    </row>
    <row r="391" spans="4:36" ht="12.9"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2.9"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2.9" customHeight="1">
      <c r="AG393" s="831"/>
      <c r="AH393" s="831"/>
      <c r="AI393" s="831"/>
      <c r="AJ393" s="831"/>
    </row>
    <row r="394" spans="4:36" ht="12.9" customHeight="1">
      <c r="D394" s="41" t="s">
        <v>1970</v>
      </c>
      <c r="S394" s="1128" t="s">
        <v>482</v>
      </c>
      <c r="T394" s="1128"/>
      <c r="U394" s="1128"/>
      <c r="V394" t="s">
        <v>1971</v>
      </c>
      <c r="AG394" s="1473"/>
      <c r="AH394" s="1473"/>
      <c r="AI394" s="1473"/>
      <c r="AJ394" s="1473"/>
    </row>
    <row r="395" spans="4:36" ht="12.9" customHeight="1">
      <c r="D395" s="41" t="s">
        <v>1972</v>
      </c>
      <c r="S395" s="1128" t="s">
        <v>124</v>
      </c>
      <c r="T395" s="1128"/>
      <c r="U395" s="1128"/>
      <c r="V395" t="s">
        <v>1973</v>
      </c>
      <c r="AE395" s="1129"/>
      <c r="AF395" s="1129"/>
      <c r="AG395" s="1129"/>
      <c r="AH395" s="1129"/>
      <c r="AI395" s="1129"/>
      <c r="AJ395" s="1129"/>
    </row>
    <row r="396" spans="4:36" ht="12.9"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1976</v>
      </c>
      <c r="E398" s="813"/>
      <c r="F398" s="813"/>
      <c r="G398" s="813"/>
      <c r="H398" s="813"/>
      <c r="I398" s="813"/>
      <c r="J398" s="813"/>
      <c r="K398" s="813"/>
      <c r="L398" s="813"/>
      <c r="M398" s="813"/>
      <c r="N398" s="813"/>
      <c r="O398" s="813"/>
      <c r="P398" s="813"/>
      <c r="Q398" s="813"/>
      <c r="R398" s="813"/>
      <c r="S398" s="1475" t="s">
        <v>1977</v>
      </c>
      <c r="T398" s="1475"/>
      <c r="U398" s="1475"/>
      <c r="V398" s="1475"/>
      <c r="W398" s="1475"/>
      <c r="X398" s="1475"/>
      <c r="Y398" s="1475"/>
      <c r="Z398" s="1475"/>
      <c r="AA398" s="1475"/>
      <c r="AB398" s="1475"/>
      <c r="AC398" s="1475"/>
      <c r="AD398" s="1475"/>
      <c r="AE398" s="1475"/>
      <c r="AF398" s="1475"/>
      <c r="AG398" s="1475"/>
      <c r="AH398" s="1475"/>
      <c r="AI398" s="1475"/>
      <c r="AJ398" s="1475"/>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1"/>
      <c r="AH401" s="831"/>
      <c r="AI401" s="831"/>
      <c r="AJ401" s="831"/>
    </row>
    <row r="402" spans="1:36" ht="12.9" customHeight="1">
      <c r="A402" s="3" t="s">
        <v>122</v>
      </c>
      <c r="B402" s="3"/>
      <c r="C402" s="3" t="s">
        <v>899</v>
      </c>
    </row>
    <row r="403" spans="1:36" ht="12.9" customHeight="1">
      <c r="D403" s="3" t="s">
        <v>1735</v>
      </c>
      <c r="I403" s="1314" t="s">
        <v>2402</v>
      </c>
      <c r="J403" s="1314"/>
      <c r="K403" s="1314"/>
      <c r="L403" s="1314"/>
      <c r="M403" s="1314"/>
      <c r="N403" s="1314"/>
      <c r="O403" s="1314"/>
      <c r="P403" s="1314"/>
      <c r="Q403" s="1314"/>
      <c r="R403" s="1314"/>
      <c r="S403" s="1314"/>
      <c r="T403" s="1314"/>
      <c r="U403" s="1314"/>
      <c r="V403" s="1314"/>
      <c r="W403" s="1314"/>
      <c r="X403" s="1314"/>
      <c r="Y403" s="1314"/>
      <c r="Z403" s="1314"/>
      <c r="AA403" s="1314"/>
      <c r="AB403" s="1314"/>
      <c r="AC403" s="1314"/>
      <c r="AD403" s="1314"/>
    </row>
    <row r="404" spans="1:36" ht="12.9" customHeight="1">
      <c r="E404" t="s">
        <v>855</v>
      </c>
      <c r="R404" s="1115" t="s">
        <v>124</v>
      </c>
      <c r="S404" s="1115"/>
      <c r="T404" t="s">
        <v>291</v>
      </c>
      <c r="AD404" s="1113">
        <v>0</v>
      </c>
      <c r="AE404" s="1113"/>
    </row>
    <row r="405" spans="1:36" ht="12.9" customHeight="1">
      <c r="E405" t="s">
        <v>856</v>
      </c>
      <c r="R405" s="1115" t="s">
        <v>108</v>
      </c>
      <c r="S405" s="1115"/>
      <c r="T405" t="s">
        <v>291</v>
      </c>
      <c r="AD405" s="1113">
        <v>2</v>
      </c>
      <c r="AE405" s="1113"/>
    </row>
    <row r="406" spans="1:36" ht="12.9" customHeight="1">
      <c r="E406" t="s">
        <v>857</v>
      </c>
      <c r="S406" s="1115" t="s">
        <v>124</v>
      </c>
      <c r="T406" s="1115"/>
    </row>
    <row r="407" spans="1:36" ht="12.9"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 customHeight="1"/>
    <row r="410" spans="1:36" ht="12.9" customHeight="1">
      <c r="A410" s="3" t="s">
        <v>123</v>
      </c>
      <c r="B410" s="3"/>
      <c r="C410" s="3"/>
      <c r="D410" s="3" t="s">
        <v>902</v>
      </c>
      <c r="AE410" s="5"/>
      <c r="AF410" s="3" t="s">
        <v>1214</v>
      </c>
    </row>
    <row r="411" spans="1:36" ht="12.9" customHeight="1">
      <c r="E411" s="1430"/>
      <c r="F411" s="1430"/>
      <c r="G411" s="1430"/>
      <c r="H411" s="18" t="s">
        <v>903</v>
      </c>
      <c r="I411" s="1430"/>
      <c r="J411" s="1430"/>
      <c r="K411" s="1430"/>
      <c r="L411" t="s">
        <v>904</v>
      </c>
      <c r="N411" s="34" t="s">
        <v>851</v>
      </c>
      <c r="P411" s="1432">
        <v>7.55</v>
      </c>
      <c r="Q411" s="1432"/>
      <c r="R411" s="1432"/>
      <c r="S411" t="s">
        <v>905</v>
      </c>
      <c r="W411" s="1433">
        <f>IF(E411&gt;0,(E411*I411),(P411*43560))</f>
        <v>328878</v>
      </c>
      <c r="X411" s="1433"/>
      <c r="Y411" s="1433"/>
      <c r="Z411" t="s">
        <v>906</v>
      </c>
      <c r="AF411" s="1490" cm="1">
        <f t="array" ref="AF411">_xlfn.IFS(P411&gt;0,(AG430/P411),W411&gt;0,(AG430/(W411/43560)),TRUE,0)</f>
        <v>9.5364238410596034</v>
      </c>
      <c r="AG411" s="1490"/>
      <c r="AH411" s="1490"/>
    </row>
    <row r="412" spans="1:36" ht="12.9" customHeight="1">
      <c r="E412" t="s">
        <v>203</v>
      </c>
    </row>
    <row r="413" spans="1:36" ht="12.9"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 customHeight="1">
      <c r="E414" s="270" t="s">
        <v>1979</v>
      </c>
      <c r="F414" s="29"/>
      <c r="G414" s="29"/>
      <c r="H414" s="29"/>
      <c r="I414" s="1468">
        <v>7.55</v>
      </c>
      <c r="J414" s="1468"/>
      <c r="K414" s="1468"/>
      <c r="L414" s="29"/>
      <c r="M414" s="270"/>
      <c r="N414" s="29"/>
      <c r="O414" s="29"/>
      <c r="P414" s="1489">
        <f>(CQ628+CS633+CQ647)/I414</f>
        <v>18.14569536423841</v>
      </c>
      <c r="Q414" s="1489"/>
      <c r="R414" s="1489"/>
      <c r="S414" s="270" t="s">
        <v>1980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908</v>
      </c>
    </row>
    <row r="417" spans="1:36" ht="12.9" customHeight="1">
      <c r="E417" t="s">
        <v>451</v>
      </c>
      <c r="P417" s="1115">
        <v>7</v>
      </c>
      <c r="Q417" s="1115"/>
      <c r="S417" t="s">
        <v>134</v>
      </c>
      <c r="AE417" s="1115">
        <v>6</v>
      </c>
      <c r="AF417" s="1115"/>
    </row>
    <row r="418" spans="1:36" ht="12.9" customHeight="1">
      <c r="E418" t="s">
        <v>135</v>
      </c>
      <c r="P418" s="1115">
        <v>1</v>
      </c>
      <c r="Q418" s="1115"/>
      <c r="S418" t="s">
        <v>726</v>
      </c>
      <c r="AE418" s="1115" t="s">
        <v>124</v>
      </c>
      <c r="AF418" s="1115"/>
    </row>
    <row r="419" spans="1:36" ht="12.9" customHeight="1">
      <c r="F419" s="36" t="s">
        <v>221</v>
      </c>
    </row>
    <row r="420" spans="1:36" ht="12.9"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 customHeight="1">
      <c r="E422" t="s">
        <v>858</v>
      </c>
      <c r="P422" s="1"/>
      <c r="Q422" s="1115" t="s">
        <v>108</v>
      </c>
      <c r="R422" s="1115"/>
      <c r="AE422" s="1"/>
      <c r="AF422" s="1"/>
    </row>
    <row r="423" spans="1:36" ht="12.9" customHeight="1">
      <c r="F423" t="s">
        <v>859</v>
      </c>
      <c r="P423" s="1"/>
      <c r="Q423" s="1"/>
      <c r="AE423" s="1115" t="s">
        <v>124</v>
      </c>
      <c r="AF423" s="1341"/>
    </row>
    <row r="424" spans="1:36" ht="12.9" customHeight="1"/>
    <row r="425" spans="1:36" ht="12.9" customHeight="1">
      <c r="A425" s="3"/>
      <c r="B425" s="3"/>
      <c r="C425" s="3"/>
      <c r="E425" s="5" t="s">
        <v>80</v>
      </c>
      <c r="Z425" s="1115" t="s">
        <v>482</v>
      </c>
      <c r="AA425" s="1115"/>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5" t="s">
        <v>124</v>
      </c>
      <c r="AA427" s="1115"/>
    </row>
    <row r="428" spans="1:36" ht="12.9" customHeight="1"/>
    <row r="429" spans="1:36" ht="12.9" customHeight="1">
      <c r="A429" s="3" t="s">
        <v>367</v>
      </c>
      <c r="B429" s="3"/>
      <c r="C429" s="3"/>
      <c r="D429" s="3" t="s">
        <v>172</v>
      </c>
      <c r="AF429" s="54"/>
    </row>
    <row r="430" spans="1:36" ht="12.9"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1"/>
      <c r="AG430" s="1466">
        <v>72</v>
      </c>
      <c r="AH430" s="1466"/>
      <c r="AI430" s="1466"/>
      <c r="AJ430" s="1466"/>
    </row>
    <row r="431" spans="1:36" ht="12.9" customHeight="1">
      <c r="D431" s="1431" t="s">
        <v>2272</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6">
        <v>71</v>
      </c>
      <c r="AH432" s="1466"/>
      <c r="AI432" s="1466"/>
      <c r="AJ432" s="1466"/>
    </row>
    <row r="433" spans="4:36" ht="12.9"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6">
        <v>71</v>
      </c>
      <c r="AH433" s="1466"/>
      <c r="AI433" s="1466"/>
      <c r="AJ433" s="1466"/>
    </row>
    <row r="434" spans="4:36" ht="12.9"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5">
        <v>61004</v>
      </c>
      <c r="AH435" s="1425"/>
      <c r="AI435" s="1425"/>
      <c r="AJ435" s="1425"/>
    </row>
    <row r="436" spans="4:36" ht="12.9"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5">
        <v>61004</v>
      </c>
      <c r="AH436" s="1425"/>
      <c r="AI436" s="1425"/>
      <c r="AJ436" s="1425"/>
    </row>
    <row r="437" spans="4:36" ht="12.9"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 customHeight="1">
      <c r="D439" s="1431"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1"/>
      <c r="AG439" s="1425">
        <v>2988</v>
      </c>
      <c r="AH439" s="1425"/>
      <c r="AI439" s="1425"/>
      <c r="AJ439" s="1425"/>
    </row>
    <row r="440" spans="4:36" ht="12.9"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5">
        <v>0</v>
      </c>
      <c r="AH440" s="1425"/>
      <c r="AI440" s="1425"/>
      <c r="AJ440" s="1425"/>
    </row>
    <row r="441" spans="4:36" ht="12.9" customHeight="1">
      <c r="D441" s="1431"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5">
        <v>3856</v>
      </c>
      <c r="AH441" s="1425"/>
      <c r="AI441" s="1425"/>
      <c r="AJ441" s="1425"/>
    </row>
    <row r="442" spans="4:36" ht="12.9"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5">
        <v>0</v>
      </c>
      <c r="AH442" s="1425"/>
      <c r="AI442" s="1425"/>
      <c r="AJ442" s="1425"/>
    </row>
    <row r="443" spans="4:36" ht="12.9"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7">
        <f>AG435+AG439+AG441+AG442</f>
        <v>67848</v>
      </c>
      <c r="AH443" s="1467"/>
      <c r="AI443" s="1467"/>
      <c r="AJ443" s="1467"/>
    </row>
    <row r="444" spans="4:36" ht="12.9" customHeight="1">
      <c r="D444" s="1469" t="s">
        <v>1737</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601231.70166666666</v>
      </c>
      <c r="AD447" s="1156"/>
      <c r="AE447" s="1156"/>
      <c r="AF447" s="1156"/>
      <c r="AG447" s="1476"/>
      <c r="AH447" s="1476"/>
      <c r="AI447" s="1476"/>
      <c r="AJ447" s="1476"/>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601231.70166666666</v>
      </c>
      <c r="AD448" s="1156"/>
      <c r="AE448" s="1156"/>
      <c r="AF448" s="1156"/>
      <c r="AG448" s="1476"/>
      <c r="AH448" s="1476"/>
      <c r="AI448" s="1476"/>
      <c r="AJ448" s="1476"/>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530956.23444444442</v>
      </c>
      <c r="AD449" s="1156"/>
      <c r="AE449" s="1156"/>
      <c r="AF449" s="1156"/>
      <c r="AG449" s="362"/>
      <c r="AH449" s="362"/>
      <c r="AI449" s="362"/>
      <c r="AJ449" s="362"/>
    </row>
    <row r="450" spans="1:38" ht="12.9"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 customHeight="1">
      <c r="A464" s="41"/>
      <c r="B464" s="41"/>
      <c r="C464" s="41"/>
      <c r="D464" s="1483"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v>0</v>
      </c>
      <c r="X466" s="1464"/>
      <c r="Y466" s="1465"/>
      <c r="Z466" s="558"/>
      <c r="AA466" s="558"/>
      <c r="AB466" s="558"/>
      <c r="AC466" s="558"/>
      <c r="AD466" s="559"/>
      <c r="AE466" s="559"/>
      <c r="AF466" s="559"/>
      <c r="AG466" s="559"/>
      <c r="AH466" s="559"/>
      <c r="AI466" s="559"/>
      <c r="AJ466" s="362"/>
    </row>
    <row r="467" spans="1:97" ht="12.9" customHeight="1">
      <c r="A467" s="557"/>
      <c r="B467" s="557"/>
      <c r="C467" s="557"/>
      <c r="D467" s="1117" t="s">
        <v>2281</v>
      </c>
      <c r="E467" s="1118"/>
      <c r="F467" s="1118"/>
      <c r="G467" s="1118"/>
      <c r="H467" s="1118"/>
      <c r="I467" s="1118"/>
      <c r="J467" s="1118"/>
      <c r="K467" s="1118"/>
      <c r="L467" s="1118"/>
      <c r="M467" s="1118"/>
      <c r="N467" s="1118"/>
      <c r="O467" s="1118"/>
      <c r="P467" s="1118"/>
      <c r="Q467" s="1118"/>
      <c r="R467" s="1118"/>
      <c r="S467" s="1118"/>
      <c r="T467" s="1118"/>
      <c r="U467" s="1118"/>
      <c r="V467" s="1119"/>
      <c r="W467" s="1463">
        <v>0</v>
      </c>
      <c r="X467" s="1464"/>
      <c r="Y467" s="1465"/>
      <c r="Z467" s="558"/>
      <c r="AA467" s="558"/>
      <c r="AB467" s="558"/>
      <c r="AC467" s="558"/>
      <c r="AD467" s="559"/>
      <c r="AE467" s="559"/>
      <c r="AF467" s="559"/>
      <c r="AG467" s="559"/>
      <c r="AH467" s="559"/>
      <c r="AI467" s="559"/>
      <c r="AJ467" s="362"/>
    </row>
    <row r="468" spans="1:97" ht="12.9" customHeight="1">
      <c r="A468" s="41"/>
      <c r="B468" s="41"/>
      <c r="C468" s="41"/>
      <c r="D468" s="1117" t="s">
        <v>2216</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1" t="s">
        <v>663</v>
      </c>
      <c r="H469" s="1152"/>
      <c r="I469" s="1152"/>
      <c r="J469" s="1152"/>
      <c r="K469" s="1152"/>
      <c r="L469" s="1152"/>
      <c r="M469" s="1152"/>
      <c r="N469" s="1152"/>
      <c r="O469" s="1152"/>
      <c r="P469" s="1152"/>
      <c r="Q469" s="1152"/>
      <c r="R469" s="1152"/>
      <c r="S469" s="1152"/>
      <c r="T469" s="1152"/>
      <c r="U469" s="1152"/>
      <c r="V469" s="1153"/>
      <c r="W469" s="1123">
        <v>71</v>
      </c>
      <c r="X469" s="1124"/>
      <c r="Y469" s="1125"/>
      <c r="Z469" s="310"/>
      <c r="AA469" s="310"/>
      <c r="AB469" s="310"/>
      <c r="AC469" s="310"/>
      <c r="AD469" s="310"/>
      <c r="AE469" s="310"/>
      <c r="AF469" s="310"/>
      <c r="AG469" s="310"/>
      <c r="AH469" s="310"/>
      <c r="AI469" s="310"/>
      <c r="AJ469" s="41"/>
      <c r="AK469" s="41"/>
      <c r="AL469" s="41"/>
    </row>
    <row r="470" spans="1:97" ht="12.9"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6" t="s">
        <v>2403</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6" t="s">
        <v>2404</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6" t="s">
        <v>2405</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2211</v>
      </c>
      <c r="C487" s="814"/>
      <c r="D487" s="814"/>
      <c r="E487" s="814"/>
      <c r="F487" s="814"/>
      <c r="G487" s="814"/>
      <c r="H487" s="814"/>
      <c r="I487" s="814"/>
      <c r="J487" s="814"/>
      <c r="K487" s="814"/>
      <c r="L487" s="814"/>
      <c r="M487" s="814"/>
      <c r="N487" s="814"/>
      <c r="O487" s="814"/>
      <c r="P487" s="814"/>
      <c r="Q487" s="1501" t="s">
        <v>482</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6" t="s">
        <v>2406</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6">
        <v>104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26">
        <v>106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8"/>
      <c r="N491" s="1144"/>
      <c r="O491" s="1144"/>
      <c r="P491" s="1339"/>
      <c r="Q491" s="214" t="s">
        <v>1984</v>
      </c>
      <c r="R491" s="9"/>
      <c r="S491" s="9"/>
      <c r="T491" s="9"/>
      <c r="U491" s="9"/>
      <c r="V491" s="9"/>
      <c r="W491" s="9"/>
      <c r="X491" s="9"/>
      <c r="Y491" s="9"/>
      <c r="Z491" s="9"/>
      <c r="AA491" s="9"/>
      <c r="AB491" s="9"/>
      <c r="AC491" s="9"/>
      <c r="AD491" s="9"/>
      <c r="AE491" s="9"/>
      <c r="AF491" s="9"/>
      <c r="AG491" s="9"/>
      <c r="AH491" s="1338">
        <v>106</v>
      </c>
      <c r="AI491" s="1144"/>
      <c r="AJ491" s="1144"/>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v>12</v>
      </c>
      <c r="AD497" s="1113"/>
      <c r="AE497" s="1113"/>
      <c r="AF497" s="1113"/>
      <c r="AG497" s="18" t="s">
        <v>248</v>
      </c>
      <c r="AH497" s="1142">
        <v>2022</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12</v>
      </c>
      <c r="AD498" s="1113"/>
      <c r="AE498" s="1113"/>
      <c r="AF498" s="1113"/>
      <c r="AG498" s="47" t="s">
        <v>248</v>
      </c>
      <c r="AH498" s="1142">
        <v>2022</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4"/>
      <c r="C501" s="1135"/>
      <c r="D501" s="1135"/>
      <c r="E501" s="1135"/>
      <c r="F501" s="1135"/>
      <c r="G501" s="1135"/>
      <c r="H501" s="1136"/>
      <c r="I501" t="s">
        <v>676</v>
      </c>
      <c r="AC501" s="1116">
        <v>8</v>
      </c>
      <c r="AD501" s="1113"/>
      <c r="AE501" s="1113"/>
      <c r="AF501" s="1113"/>
      <c r="AG501" s="18" t="s">
        <v>248</v>
      </c>
      <c r="AH501" s="1142">
        <v>2023</v>
      </c>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4"/>
      <c r="C502" s="1135"/>
      <c r="D502" s="1135"/>
      <c r="E502" s="1135"/>
      <c r="F502" s="1135"/>
      <c r="G502" s="1135"/>
      <c r="H502" s="1136"/>
      <c r="I502" t="s">
        <v>677</v>
      </c>
      <c r="AC502" s="1116">
        <v>2</v>
      </c>
      <c r="AD502" s="1113"/>
      <c r="AE502" s="1113"/>
      <c r="AF502" s="1113"/>
      <c r="AG502" s="18" t="s">
        <v>248</v>
      </c>
      <c r="AH502" s="1142">
        <v>2025</v>
      </c>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4"/>
      <c r="C503" s="1135"/>
      <c r="D503" s="1135"/>
      <c r="E503" s="1135"/>
      <c r="F503" s="1135"/>
      <c r="G503" s="1135"/>
      <c r="H503" s="1136"/>
      <c r="I503" s="41" t="s">
        <v>678</v>
      </c>
      <c r="AC503" s="1079">
        <v>2</v>
      </c>
      <c r="AD503" s="1080"/>
      <c r="AE503" s="1080"/>
      <c r="AF503" s="1080"/>
      <c r="AG503" s="18" t="s">
        <v>248</v>
      </c>
      <c r="AH503" s="1142">
        <v>2025</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9"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4"/>
      <c r="C505" s="1135"/>
      <c r="D505" s="1135"/>
      <c r="E505" s="1135"/>
      <c r="F505" s="1135"/>
      <c r="G505" s="1135"/>
      <c r="H505" s="1136"/>
      <c r="I505" s="41" t="s">
        <v>1985</v>
      </c>
      <c r="AC505" s="1426" t="s">
        <v>108</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4"/>
      <c r="C506" s="1135"/>
      <c r="D506" s="1135"/>
      <c r="E506" s="1135"/>
      <c r="F506" s="1135"/>
      <c r="G506" s="1135"/>
      <c r="H506" s="1136"/>
      <c r="I506" t="s">
        <v>1986</v>
      </c>
      <c r="AC506" s="1079">
        <v>3</v>
      </c>
      <c r="AD506" s="1080"/>
      <c r="AE506" s="1080"/>
      <c r="AF506" s="1081"/>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4"/>
      <c r="C507" s="1135"/>
      <c r="D507" s="1135"/>
      <c r="E507" s="1135"/>
      <c r="F507" s="1135"/>
      <c r="G507" s="1135"/>
      <c r="H507" s="1136"/>
      <c r="I507" t="s">
        <v>1987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4"/>
      <c r="C508" s="1135"/>
      <c r="D508" s="1135"/>
      <c r="E508" s="1135"/>
      <c r="F508" s="1135"/>
      <c r="G508" s="1135"/>
      <c r="H508" s="1136"/>
      <c r="I508" s="837" t="s">
        <v>1988</v>
      </c>
      <c r="J508" s="54"/>
      <c r="K508" s="54"/>
      <c r="L508" s="54"/>
      <c r="M508" s="54"/>
      <c r="N508" s="54"/>
      <c r="O508" s="54"/>
      <c r="P508" s="54"/>
      <c r="Q508" s="54"/>
      <c r="R508" s="54"/>
      <c r="S508" s="54"/>
      <c r="T508" s="54"/>
      <c r="U508" s="54"/>
      <c r="V508" s="54"/>
      <c r="W508" s="54"/>
      <c r="X508" s="54"/>
      <c r="Y508" s="54"/>
      <c r="Z508" s="54"/>
      <c r="AA508" s="54"/>
      <c r="AB508" s="54"/>
      <c r="AC508" s="1484">
        <v>0.5</v>
      </c>
      <c r="AD508" s="1485"/>
      <c r="AE508" s="1485"/>
      <c r="AF508" s="1486"/>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6</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4"/>
      <c r="C510" s="1135"/>
      <c r="D510" s="1135"/>
      <c r="E510" s="1135"/>
      <c r="F510" s="1135"/>
      <c r="G510" s="1135"/>
      <c r="H510" s="1136"/>
      <c r="I510" t="s">
        <v>681</v>
      </c>
      <c r="AC510" s="1116">
        <v>6</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2</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6</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4"/>
      <c r="C513" s="1135"/>
      <c r="D513" s="1135"/>
      <c r="E513" s="1135"/>
      <c r="F513" s="1135"/>
      <c r="G513" s="1135"/>
      <c r="H513" s="1136"/>
      <c r="I513" t="s">
        <v>681</v>
      </c>
      <c r="AC513" s="1116">
        <v>6</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3</v>
      </c>
      <c r="AD514" s="1113"/>
      <c r="AE514" s="1113"/>
      <c r="AF514" s="1113"/>
      <c r="AG514" s="47" t="s">
        <v>248</v>
      </c>
      <c r="AH514" s="1142">
        <v>2027</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1" t="s">
        <v>684</v>
      </c>
      <c r="C515" s="1132"/>
      <c r="D515" s="1132"/>
      <c r="E515" s="1132"/>
      <c r="F515" s="1132"/>
      <c r="G515" s="1132"/>
      <c r="H515" s="1133"/>
      <c r="I515" s="6" t="s">
        <v>685</v>
      </c>
      <c r="J515" s="7"/>
      <c r="K515" s="7"/>
      <c r="L515" s="7"/>
      <c r="M515" s="7"/>
      <c r="N515" s="7"/>
      <c r="O515" s="1149" t="s">
        <v>2407</v>
      </c>
      <c r="P515" s="1128"/>
      <c r="Q515" s="1128"/>
      <c r="R515" s="1128"/>
      <c r="S515" s="1128"/>
      <c r="T515" s="1128"/>
      <c r="U515" s="1128"/>
      <c r="V515" s="1128"/>
      <c r="W515" s="1128"/>
      <c r="X515" s="1128"/>
      <c r="Y515" s="1128"/>
      <c r="Z515" s="1128"/>
      <c r="AA515" s="1128"/>
      <c r="AB515" s="64"/>
      <c r="AC515" s="1308">
        <v>3</v>
      </c>
      <c r="AD515" s="1309"/>
      <c r="AE515" s="1309"/>
      <c r="AF515" s="1309"/>
      <c r="AG515" s="230" t="s">
        <v>248</v>
      </c>
      <c r="AH515" s="1142">
        <v>2023</v>
      </c>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4"/>
      <c r="C516" s="1135"/>
      <c r="D516" s="1135"/>
      <c r="E516" s="1135"/>
      <c r="F516" s="1135"/>
      <c r="G516" s="1135"/>
      <c r="H516" s="1136"/>
      <c r="I516" s="204" t="s">
        <v>686</v>
      </c>
      <c r="AB516" s="71"/>
      <c r="AC516" s="1116">
        <v>12</v>
      </c>
      <c r="AD516" s="1113"/>
      <c r="AE516" s="1113"/>
      <c r="AF516" s="1113"/>
      <c r="AG516" s="18" t="s">
        <v>248</v>
      </c>
      <c r="AH516" s="1142">
        <v>2022</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3</v>
      </c>
      <c r="AD517" s="1113"/>
      <c r="AE517" s="1113"/>
      <c r="AF517" s="1113"/>
      <c r="AG517" s="47" t="s">
        <v>248</v>
      </c>
      <c r="AH517" s="1142">
        <v>2023</v>
      </c>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4"/>
      <c r="C534" s="1135"/>
      <c r="D534" s="1135"/>
      <c r="E534" s="1135"/>
      <c r="F534" s="1135"/>
      <c r="G534" s="1135"/>
      <c r="H534" s="1136"/>
      <c r="I534" t="s">
        <v>736</v>
      </c>
      <c r="AC534" s="1116">
        <v>2</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4"/>
      <c r="C535" s="1135"/>
      <c r="D535" s="1135"/>
      <c r="E535" s="1135"/>
      <c r="F535" s="1135"/>
      <c r="G535" s="1135"/>
      <c r="H535" s="1136"/>
      <c r="I535" t="s">
        <v>737</v>
      </c>
      <c r="AC535" s="1116">
        <v>10</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4"/>
      <c r="C536" s="1135"/>
      <c r="D536" s="1135"/>
      <c r="E536" s="1135"/>
      <c r="F536" s="1135"/>
      <c r="G536" s="1135"/>
      <c r="H536" s="1136"/>
      <c r="I536" t="s">
        <v>738</v>
      </c>
      <c r="AC536" s="1116">
        <v>3</v>
      </c>
      <c r="AD536" s="1113"/>
      <c r="AE536" s="1113"/>
      <c r="AF536" s="1113"/>
      <c r="AG536" s="47" t="s">
        <v>248</v>
      </c>
      <c r="AH536" s="1142">
        <v>2027</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3</v>
      </c>
      <c r="AD537" s="1113"/>
      <c r="AE537" s="1113"/>
      <c r="AF537" s="1113"/>
      <c r="AG537" s="47" t="s">
        <v>248</v>
      </c>
      <c r="AH537" s="1142">
        <v>2027</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1" t="s">
        <v>2194</v>
      </c>
      <c r="C546" s="1132"/>
      <c r="D546" s="1132"/>
      <c r="E546" s="1132"/>
      <c r="F546" s="1132"/>
      <c r="G546" s="1132"/>
      <c r="H546" s="1132"/>
      <c r="I546" s="1132"/>
      <c r="J546" s="1132"/>
      <c r="K546" s="1132"/>
      <c r="L546" s="1132"/>
      <c r="M546" s="1145" t="s">
        <v>2168</v>
      </c>
      <c r="N546" s="1145"/>
      <c r="O546" s="1145"/>
      <c r="P546" s="1145"/>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8" t="s">
        <v>2408</v>
      </c>
      <c r="D549" s="1098"/>
      <c r="E549" s="1098"/>
      <c r="F549" s="1098"/>
      <c r="G549" s="1098"/>
      <c r="H549" s="1098"/>
      <c r="I549" s="1098"/>
      <c r="J549" s="1098"/>
      <c r="K549" s="1098"/>
      <c r="L549" s="1098"/>
      <c r="M549" s="1097" t="s">
        <v>2178</v>
      </c>
      <c r="N549" s="1097"/>
      <c r="O549" s="1097"/>
      <c r="P549" s="1097"/>
      <c r="Q549" s="1100">
        <v>18</v>
      </c>
      <c r="R549" s="1100"/>
      <c r="S549" s="1101"/>
      <c r="T549" s="1099">
        <v>20</v>
      </c>
      <c r="U549" s="1100"/>
      <c r="V549" s="1101"/>
      <c r="W549" s="1437">
        <v>7.9299999999999995E-2</v>
      </c>
      <c r="X549" s="1438"/>
      <c r="Y549" s="1439"/>
      <c r="Z549" s="1440" t="s">
        <v>2409</v>
      </c>
      <c r="AA549" s="1440"/>
      <c r="AB549" s="1440"/>
      <c r="AC549" s="1440"/>
      <c r="AD549" s="1440"/>
      <c r="AE549" s="1441">
        <v>1</v>
      </c>
      <c r="AF549" s="1442"/>
      <c r="AG549" s="1442"/>
      <c r="AH549" s="1443"/>
      <c r="AI549" s="1434"/>
      <c r="AJ549" s="1435"/>
      <c r="AK549" s="1435"/>
      <c r="AL549" s="1436"/>
      <c r="AM549" s="1215">
        <v>37154016.159999996</v>
      </c>
      <c r="AN549" s="1216"/>
      <c r="AO549" s="1216"/>
      <c r="AP549" s="1216"/>
      <c r="AQ549" s="1216"/>
      <c r="AR549" s="1216"/>
      <c r="AS549" s="1217"/>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8" t="s">
        <v>2476</v>
      </c>
      <c r="D550" s="1098"/>
      <c r="E550" s="1098"/>
      <c r="F550" s="1098"/>
      <c r="G550" s="1098"/>
      <c r="H550" s="1098"/>
      <c r="I550" s="1098"/>
      <c r="J550" s="1098"/>
      <c r="K550" s="1098"/>
      <c r="L550" s="1098"/>
      <c r="M550" s="1097" t="s">
        <v>2175</v>
      </c>
      <c r="N550" s="1097"/>
      <c r="O550" s="1097"/>
      <c r="P550" s="1097"/>
      <c r="Q550" s="1099"/>
      <c r="R550" s="1100"/>
      <c r="S550" s="1101"/>
      <c r="T550" s="1099"/>
      <c r="U550" s="1100"/>
      <c r="V550" s="1101"/>
      <c r="W550" s="1437"/>
      <c r="X550" s="1438"/>
      <c r="Y550" s="1439"/>
      <c r="Z550" s="1440" t="s">
        <v>124</v>
      </c>
      <c r="AA550" s="1440"/>
      <c r="AB550" s="1440"/>
      <c r="AC550" s="1440"/>
      <c r="AD550" s="1440"/>
      <c r="AE550" s="1441"/>
      <c r="AF550" s="1442"/>
      <c r="AG550" s="1442"/>
      <c r="AH550" s="1443"/>
      <c r="AI550" s="1434"/>
      <c r="AJ550" s="1435"/>
      <c r="AK550" s="1435"/>
      <c r="AL550" s="1436"/>
      <c r="AM550" s="1215">
        <v>3999998.51</v>
      </c>
      <c r="AN550" s="1216"/>
      <c r="AO550" s="1216"/>
      <c r="AP550" s="1216"/>
      <c r="AQ550" s="1216"/>
      <c r="AR550" s="1216"/>
      <c r="AS550" s="1217"/>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8" t="s">
        <v>2410</v>
      </c>
      <c r="D551" s="1098"/>
      <c r="E551" s="1098"/>
      <c r="F551" s="1098"/>
      <c r="G551" s="1098"/>
      <c r="H551" s="1098"/>
      <c r="I551" s="1098"/>
      <c r="J551" s="1098"/>
      <c r="K551" s="1098"/>
      <c r="L551" s="1098"/>
      <c r="M551" s="1097" t="s">
        <v>2170</v>
      </c>
      <c r="N551" s="1097"/>
      <c r="O551" s="1097"/>
      <c r="P551" s="1097"/>
      <c r="Q551" s="1099"/>
      <c r="R551" s="1100"/>
      <c r="S551" s="1101"/>
      <c r="T551" s="1099"/>
      <c r="U551" s="1100"/>
      <c r="V551" s="1101"/>
      <c r="W551" s="1437"/>
      <c r="X551" s="1438"/>
      <c r="Y551" s="1439"/>
      <c r="Z551" s="1440" t="s">
        <v>124</v>
      </c>
      <c r="AA551" s="1440"/>
      <c r="AB551" s="1440"/>
      <c r="AC551" s="1440"/>
      <c r="AD551" s="1440"/>
      <c r="AE551" s="1441"/>
      <c r="AF551" s="1442"/>
      <c r="AG551" s="1442"/>
      <c r="AH551" s="1443"/>
      <c r="AI551" s="1434"/>
      <c r="AJ551" s="1435"/>
      <c r="AK551" s="1435"/>
      <c r="AL551" s="1436"/>
      <c r="AM551" s="1215">
        <v>2134667.86</v>
      </c>
      <c r="AN551" s="1216"/>
      <c r="AO551" s="1216"/>
      <c r="AP551" s="1216"/>
      <c r="AQ551" s="1216"/>
      <c r="AR551" s="1216"/>
      <c r="AS551" s="1217"/>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8"/>
      <c r="D552" s="1098"/>
      <c r="E552" s="1098"/>
      <c r="F552" s="1098"/>
      <c r="G552" s="1098"/>
      <c r="H552" s="1098"/>
      <c r="I552" s="1098"/>
      <c r="J552" s="1098"/>
      <c r="K552" s="1098"/>
      <c r="L552" s="1098"/>
      <c r="M552" s="1097" t="s">
        <v>1977</v>
      </c>
      <c r="N552" s="1097"/>
      <c r="O552" s="1097"/>
      <c r="P552" s="1097"/>
      <c r="Q552" s="1099"/>
      <c r="R552" s="1100"/>
      <c r="S552" s="1101"/>
      <c r="T552" s="1099"/>
      <c r="U552" s="1100"/>
      <c r="V552" s="1101"/>
      <c r="W552" s="1437"/>
      <c r="X552" s="1438"/>
      <c r="Y552" s="1439"/>
      <c r="Z552" s="1440" t="s">
        <v>1977</v>
      </c>
      <c r="AA552" s="1440"/>
      <c r="AB552" s="1440"/>
      <c r="AC552" s="1440"/>
      <c r="AD552" s="1440"/>
      <c r="AE552" s="1441"/>
      <c r="AF552" s="1442"/>
      <c r="AG552" s="1442"/>
      <c r="AH552" s="1443"/>
      <c r="AI552" s="1434"/>
      <c r="AJ552" s="1435"/>
      <c r="AK552" s="1435"/>
      <c r="AL552" s="1436"/>
      <c r="AM552" s="1215"/>
      <c r="AN552" s="1216"/>
      <c r="AO552" s="1216"/>
      <c r="AP552" s="1216"/>
      <c r="AQ552" s="1216"/>
      <c r="AR552" s="1216"/>
      <c r="AS552" s="1217"/>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8"/>
      <c r="D553" s="1098"/>
      <c r="E553" s="1098"/>
      <c r="F553" s="1098"/>
      <c r="G553" s="1098"/>
      <c r="H553" s="1098"/>
      <c r="I553" s="1098"/>
      <c r="J553" s="1098"/>
      <c r="K553" s="1098"/>
      <c r="L553" s="1098"/>
      <c r="M553" s="1097" t="s">
        <v>1977</v>
      </c>
      <c r="N553" s="1097"/>
      <c r="O553" s="1097"/>
      <c r="P553" s="1097"/>
      <c r="Q553" s="1099"/>
      <c r="R553" s="1100"/>
      <c r="S553" s="1101"/>
      <c r="T553" s="1099"/>
      <c r="U553" s="1100"/>
      <c r="V553" s="1101"/>
      <c r="W553" s="1437"/>
      <c r="X553" s="1438"/>
      <c r="Y553" s="1439"/>
      <c r="Z553" s="1440" t="s">
        <v>1977</v>
      </c>
      <c r="AA553" s="1440"/>
      <c r="AB553" s="1440"/>
      <c r="AC553" s="1440"/>
      <c r="AD553" s="1440"/>
      <c r="AE553" s="1441"/>
      <c r="AF553" s="1442"/>
      <c r="AG553" s="1442"/>
      <c r="AH553" s="1443"/>
      <c r="AI553" s="1434"/>
      <c r="AJ553" s="1435"/>
      <c r="AK553" s="1435"/>
      <c r="AL553" s="1436"/>
      <c r="AM553" s="1215"/>
      <c r="AN553" s="1216"/>
      <c r="AO553" s="1216"/>
      <c r="AP553" s="1216"/>
      <c r="AQ553" s="1216"/>
      <c r="AR553" s="1216"/>
      <c r="AS553" s="1217"/>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8"/>
      <c r="D554" s="1098"/>
      <c r="E554" s="1098"/>
      <c r="F554" s="1098"/>
      <c r="G554" s="1098"/>
      <c r="H554" s="1098"/>
      <c r="I554" s="1098"/>
      <c r="J554" s="1098"/>
      <c r="K554" s="1098"/>
      <c r="L554" s="1098"/>
      <c r="M554" s="1097" t="s">
        <v>1977</v>
      </c>
      <c r="N554" s="1097"/>
      <c r="O554" s="1097"/>
      <c r="P554" s="1097"/>
      <c r="Q554" s="1099"/>
      <c r="R554" s="1100"/>
      <c r="S554" s="1101"/>
      <c r="T554" s="1099"/>
      <c r="U554" s="1100"/>
      <c r="V554" s="1101"/>
      <c r="W554" s="1437"/>
      <c r="X554" s="1438"/>
      <c r="Y554" s="1439"/>
      <c r="Z554" s="1440" t="s">
        <v>1977</v>
      </c>
      <c r="AA554" s="1440"/>
      <c r="AB554" s="1440"/>
      <c r="AC554" s="1440"/>
      <c r="AD554" s="1440"/>
      <c r="AE554" s="1441"/>
      <c r="AF554" s="1442"/>
      <c r="AG554" s="1442"/>
      <c r="AH554" s="1443"/>
      <c r="AI554" s="1434"/>
      <c r="AJ554" s="1435"/>
      <c r="AK554" s="1435"/>
      <c r="AL554" s="1436"/>
      <c r="AM554" s="1215"/>
      <c r="AN554" s="1216"/>
      <c r="AO554" s="1216"/>
      <c r="AP554" s="1216"/>
      <c r="AQ554" s="1216"/>
      <c r="AR554" s="1216"/>
      <c r="AS554" s="1217"/>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8"/>
      <c r="D555" s="1098"/>
      <c r="E555" s="1098"/>
      <c r="F555" s="1098"/>
      <c r="G555" s="1098"/>
      <c r="H555" s="1098"/>
      <c r="I555" s="1098"/>
      <c r="J555" s="1098"/>
      <c r="K555" s="1098"/>
      <c r="L555" s="1098"/>
      <c r="M555" s="1097" t="s">
        <v>1977</v>
      </c>
      <c r="N555" s="1097"/>
      <c r="O555" s="1097"/>
      <c r="P555" s="1097"/>
      <c r="Q555" s="1099"/>
      <c r="R555" s="1100"/>
      <c r="S555" s="1101"/>
      <c r="T555" s="1099"/>
      <c r="U555" s="1100"/>
      <c r="V555" s="1101"/>
      <c r="W555" s="1437"/>
      <c r="X555" s="1438"/>
      <c r="Y555" s="1439"/>
      <c r="Z555" s="1440" t="s">
        <v>1977</v>
      </c>
      <c r="AA555" s="1440"/>
      <c r="AB555" s="1440"/>
      <c r="AC555" s="1440"/>
      <c r="AD555" s="1440"/>
      <c r="AE555" s="1441"/>
      <c r="AF555" s="1442"/>
      <c r="AG555" s="1442"/>
      <c r="AH555" s="1443"/>
      <c r="AI555" s="1434"/>
      <c r="AJ555" s="1435"/>
      <c r="AK555" s="1435"/>
      <c r="AL555" s="1436"/>
      <c r="AM555" s="1215"/>
      <c r="AN555" s="1216"/>
      <c r="AO555" s="1216"/>
      <c r="AP555" s="1216"/>
      <c r="AQ555" s="1216"/>
      <c r="AR555" s="1216"/>
      <c r="AS555" s="1217"/>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8"/>
      <c r="D556" s="1098"/>
      <c r="E556" s="1098"/>
      <c r="F556" s="1098"/>
      <c r="G556" s="1098"/>
      <c r="H556" s="1098"/>
      <c r="I556" s="1098"/>
      <c r="J556" s="1098"/>
      <c r="K556" s="1098"/>
      <c r="L556" s="1098"/>
      <c r="M556" s="1097" t="s">
        <v>1977</v>
      </c>
      <c r="N556" s="1097"/>
      <c r="O556" s="1097"/>
      <c r="P556" s="1097"/>
      <c r="Q556" s="1099"/>
      <c r="R556" s="1100"/>
      <c r="S556" s="1101"/>
      <c r="T556" s="1099"/>
      <c r="U556" s="1100"/>
      <c r="V556" s="1101"/>
      <c r="W556" s="1437"/>
      <c r="X556" s="1438"/>
      <c r="Y556" s="1439"/>
      <c r="Z556" s="1440" t="s">
        <v>1977</v>
      </c>
      <c r="AA556" s="1440"/>
      <c r="AB556" s="1440"/>
      <c r="AC556" s="1440"/>
      <c r="AD556" s="1440"/>
      <c r="AE556" s="1441"/>
      <c r="AF556" s="1442"/>
      <c r="AG556" s="1442"/>
      <c r="AH556" s="1443"/>
      <c r="AI556" s="1434"/>
      <c r="AJ556" s="1435"/>
      <c r="AK556" s="1435"/>
      <c r="AL556" s="1436"/>
      <c r="AM556" s="1215"/>
      <c r="AN556" s="1216"/>
      <c r="AO556" s="1216"/>
      <c r="AP556" s="1216"/>
      <c r="AQ556" s="1216"/>
      <c r="AR556" s="1216"/>
      <c r="AS556" s="1217"/>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8"/>
      <c r="D557" s="1098"/>
      <c r="E557" s="1098"/>
      <c r="F557" s="1098"/>
      <c r="G557" s="1098"/>
      <c r="H557" s="1098"/>
      <c r="I557" s="1098"/>
      <c r="J557" s="1098"/>
      <c r="K557" s="1098"/>
      <c r="L557" s="1098"/>
      <c r="M557" s="1097" t="s">
        <v>1977</v>
      </c>
      <c r="N557" s="1097"/>
      <c r="O557" s="1097"/>
      <c r="P557" s="1097"/>
      <c r="Q557" s="1099"/>
      <c r="R557" s="1100"/>
      <c r="S557" s="1101"/>
      <c r="T557" s="1099"/>
      <c r="U557" s="1100"/>
      <c r="V557" s="1101"/>
      <c r="W557" s="1437"/>
      <c r="X557" s="1438"/>
      <c r="Y557" s="1439"/>
      <c r="Z557" s="1440" t="s">
        <v>1977</v>
      </c>
      <c r="AA557" s="1440"/>
      <c r="AB557" s="1440"/>
      <c r="AC557" s="1440"/>
      <c r="AD557" s="1440"/>
      <c r="AE557" s="1441"/>
      <c r="AF557" s="1442"/>
      <c r="AG557" s="1442"/>
      <c r="AH557" s="1443"/>
      <c r="AI557" s="1434"/>
      <c r="AJ557" s="1435"/>
      <c r="AK557" s="1435"/>
      <c r="AL557" s="1436"/>
      <c r="AM557" s="1215"/>
      <c r="AN557" s="1216"/>
      <c r="AO557" s="1216"/>
      <c r="AP557" s="1216"/>
      <c r="AQ557" s="1216"/>
      <c r="AR557" s="1216"/>
      <c r="AS557" s="1217"/>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8"/>
      <c r="D558" s="1098"/>
      <c r="E558" s="1098"/>
      <c r="F558" s="1098"/>
      <c r="G558" s="1098"/>
      <c r="H558" s="1098"/>
      <c r="I558" s="1098"/>
      <c r="J558" s="1098"/>
      <c r="K558" s="1098"/>
      <c r="L558" s="1098"/>
      <c r="M558" s="1097" t="s">
        <v>1977</v>
      </c>
      <c r="N558" s="1097"/>
      <c r="O558" s="1097"/>
      <c r="P558" s="1097"/>
      <c r="Q558" s="1099"/>
      <c r="R558" s="1100"/>
      <c r="S558" s="1101"/>
      <c r="T558" s="1099"/>
      <c r="U558" s="1100"/>
      <c r="V558" s="1101"/>
      <c r="W558" s="1437"/>
      <c r="X558" s="1438"/>
      <c r="Y558" s="1439"/>
      <c r="Z558" s="1440" t="s">
        <v>1977</v>
      </c>
      <c r="AA558" s="1440"/>
      <c r="AB558" s="1440"/>
      <c r="AC558" s="1440"/>
      <c r="AD558" s="1440"/>
      <c r="AE558" s="1441"/>
      <c r="AF558" s="1442"/>
      <c r="AG558" s="1442"/>
      <c r="AH558" s="1443"/>
      <c r="AI558" s="1434"/>
      <c r="AJ558" s="1435"/>
      <c r="AK558" s="1435"/>
      <c r="AL558" s="1436"/>
      <c r="AM558" s="1215"/>
      <c r="AN558" s="1216"/>
      <c r="AO558" s="1216"/>
      <c r="AP558" s="1216"/>
      <c r="AQ558" s="1216"/>
      <c r="AR558" s="1216"/>
      <c r="AS558" s="1217"/>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8"/>
      <c r="D559" s="1098"/>
      <c r="E559" s="1098"/>
      <c r="F559" s="1098"/>
      <c r="G559" s="1098"/>
      <c r="H559" s="1098"/>
      <c r="I559" s="1098"/>
      <c r="J559" s="1098"/>
      <c r="K559" s="1098"/>
      <c r="L559" s="1098"/>
      <c r="M559" s="1097" t="s">
        <v>1977</v>
      </c>
      <c r="N559" s="1097"/>
      <c r="O559" s="1097"/>
      <c r="P559" s="1097"/>
      <c r="Q559" s="1099"/>
      <c r="R559" s="1100"/>
      <c r="S559" s="1101"/>
      <c r="T559" s="1099"/>
      <c r="U559" s="1100"/>
      <c r="V559" s="1101"/>
      <c r="W559" s="1437"/>
      <c r="X559" s="1438"/>
      <c r="Y559" s="1439"/>
      <c r="Z559" s="1440" t="s">
        <v>1977</v>
      </c>
      <c r="AA559" s="1440"/>
      <c r="AB559" s="1440"/>
      <c r="AC559" s="1440"/>
      <c r="AD559" s="1440"/>
      <c r="AE559" s="1441"/>
      <c r="AF559" s="1442"/>
      <c r="AG559" s="1442"/>
      <c r="AH559" s="1443"/>
      <c r="AI559" s="1434"/>
      <c r="AJ559" s="1435"/>
      <c r="AK559" s="1435"/>
      <c r="AL559" s="1436"/>
      <c r="AM559" s="1215"/>
      <c r="AN559" s="1216"/>
      <c r="AO559" s="1216"/>
      <c r="AP559" s="1216"/>
      <c r="AQ559" s="1216"/>
      <c r="AR559" s="1216"/>
      <c r="AS559" s="1217"/>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8"/>
      <c r="D560" s="1098"/>
      <c r="E560" s="1098"/>
      <c r="F560" s="1098"/>
      <c r="G560" s="1098"/>
      <c r="H560" s="1098"/>
      <c r="I560" s="1098"/>
      <c r="J560" s="1098"/>
      <c r="K560" s="1098"/>
      <c r="L560" s="1098"/>
      <c r="M560" s="1097" t="s">
        <v>1977</v>
      </c>
      <c r="N560" s="1097"/>
      <c r="O560" s="1097"/>
      <c r="P560" s="1097"/>
      <c r="Q560" s="1099"/>
      <c r="R560" s="1100"/>
      <c r="S560" s="1101"/>
      <c r="T560" s="1099"/>
      <c r="U560" s="1100"/>
      <c r="V560" s="1101"/>
      <c r="W560" s="1437"/>
      <c r="X560" s="1438"/>
      <c r="Y560" s="1439"/>
      <c r="Z560" s="1440" t="s">
        <v>1977</v>
      </c>
      <c r="AA560" s="1440"/>
      <c r="AB560" s="1440"/>
      <c r="AC560" s="1440"/>
      <c r="AD560" s="1440"/>
      <c r="AE560" s="1441"/>
      <c r="AF560" s="1442"/>
      <c r="AG560" s="1442"/>
      <c r="AH560" s="1443"/>
      <c r="AI560" s="1434"/>
      <c r="AJ560" s="1435"/>
      <c r="AK560" s="1435"/>
      <c r="AL560" s="1436"/>
      <c r="AM560" s="1215"/>
      <c r="AN560" s="1216"/>
      <c r="AO560" s="1216"/>
      <c r="AP560" s="1216"/>
      <c r="AQ560" s="1216"/>
      <c r="AR560" s="1216"/>
      <c r="AS560" s="1217"/>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43288682.529999994</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4" t="str">
        <f>C549</f>
        <v>Citibank - Construction Loan</v>
      </c>
      <c r="H563" s="1184"/>
      <c r="I563" s="1184"/>
      <c r="J563" s="1184"/>
      <c r="K563" s="1184"/>
      <c r="L563" s="1184"/>
      <c r="M563" s="1184"/>
      <c r="N563" s="1184"/>
      <c r="O563" s="1184"/>
      <c r="P563" s="1184"/>
      <c r="Q563" s="1184"/>
      <c r="R563" s="1184"/>
      <c r="S563" s="12"/>
      <c r="T563" s="61" t="s">
        <v>901</v>
      </c>
      <c r="U563" t="s">
        <v>82</v>
      </c>
      <c r="Z563" s="1184" t="str">
        <f>C550</f>
        <v>Tax Credit Equity - CREA</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2411</v>
      </c>
      <c r="H564" s="1056"/>
      <c r="I564" s="1056"/>
      <c r="J564" s="1056"/>
      <c r="K564" s="1056"/>
      <c r="L564" s="1056"/>
      <c r="M564" s="1056"/>
      <c r="N564" s="1056"/>
      <c r="O564" s="1056"/>
      <c r="P564" s="1056"/>
      <c r="Q564" s="1056"/>
      <c r="R564" s="1056"/>
      <c r="S564" s="12"/>
      <c r="T564" s="4"/>
      <c r="U564" t="s">
        <v>372</v>
      </c>
      <c r="Z564" s="1056" t="s">
        <v>2372</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2412</v>
      </c>
      <c r="H565" s="1056"/>
      <c r="I565" s="1056"/>
      <c r="J565" s="1056"/>
      <c r="K565" s="1056"/>
      <c r="L565" s="1056"/>
      <c r="M565" s="1056"/>
      <c r="N565" s="1056"/>
      <c r="O565" s="1056"/>
      <c r="P565" s="1056"/>
      <c r="Q565" s="1056"/>
      <c r="R565" s="1056"/>
      <c r="T565" s="4"/>
      <c r="U565" t="s">
        <v>430</v>
      </c>
      <c r="Z565" s="1054" t="s">
        <v>2373</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2413</v>
      </c>
      <c r="H566" s="1056"/>
      <c r="I566" s="1056"/>
      <c r="J566" s="1056"/>
      <c r="K566" s="1056"/>
      <c r="L566" s="1056"/>
      <c r="M566" s="1056"/>
      <c r="N566" s="1056"/>
      <c r="O566" s="1056"/>
      <c r="P566" s="1056"/>
      <c r="Q566" s="1056"/>
      <c r="R566" s="1056"/>
      <c r="S566" s="12"/>
      <c r="T566" s="4"/>
      <c r="U566" t="s">
        <v>833</v>
      </c>
      <c r="Z566" s="1054" t="s">
        <v>2374</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8" t="s">
        <v>2414</v>
      </c>
      <c r="H567" s="1058"/>
      <c r="I567" s="1058"/>
      <c r="J567" s="1058"/>
      <c r="K567" s="1058"/>
      <c r="L567" s="1058"/>
      <c r="O567" s="42" t="s">
        <v>818</v>
      </c>
      <c r="P567" s="1315"/>
      <c r="Q567" s="1315"/>
      <c r="R567" s="1315"/>
      <c r="S567" s="14"/>
      <c r="T567" s="4"/>
      <c r="U567" t="s">
        <v>650</v>
      </c>
      <c r="Z567" s="1058" t="s">
        <v>2375</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2415</v>
      </c>
      <c r="I568" s="1056"/>
      <c r="J568" s="1056"/>
      <c r="K568" s="1056"/>
      <c r="L568" s="1056"/>
      <c r="M568" s="1056"/>
      <c r="N568" s="1056"/>
      <c r="O568" s="1056"/>
      <c r="P568" s="1056"/>
      <c r="Q568" s="1056"/>
      <c r="R568" s="1056"/>
      <c r="S568" s="12"/>
      <c r="T568" s="4"/>
      <c r="U568" t="s">
        <v>834</v>
      </c>
      <c r="AA568" s="1056" t="s">
        <v>2416</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4" t="str">
        <f>C551</f>
        <v>Deferred Cost</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2417</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2471</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2342</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379" t="s">
        <v>2343</v>
      </c>
      <c r="H575" s="1058"/>
      <c r="I575" s="1058"/>
      <c r="J575" s="1058"/>
      <c r="K575" s="1058"/>
      <c r="L575" s="1058"/>
      <c r="O575" s="42" t="s">
        <v>818</v>
      </c>
      <c r="P575" s="1315"/>
      <c r="Q575" s="1315"/>
      <c r="R575" s="1315"/>
      <c r="T575" s="4"/>
      <c r="U575" t="s">
        <v>650</v>
      </c>
      <c r="Z575" s="1058"/>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2170</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2" t="s">
        <v>108</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8"/>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2237</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5</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5</v>
      </c>
      <c r="BL592" s="1071"/>
      <c r="BN592" s="1068">
        <f t="shared" ref="BN592:BN625" si="9">IF(B696="SRO/Studio",G696,0)</f>
        <v>0</v>
      </c>
      <c r="BO592" s="1069"/>
      <c r="BP592" s="1069"/>
      <c r="BQ592" s="1069"/>
      <c r="BR592" s="1070"/>
      <c r="BS592" s="1068">
        <f t="shared" ref="BS592:BS625" si="10">IF(B696="1 Bedroom",G696,0)</f>
        <v>9</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5</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1</v>
      </c>
      <c r="BF593" s="1075"/>
      <c r="BG593" s="1068">
        <f t="shared" si="7"/>
        <v>9</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10</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 customHeight="1">
      <c r="AZ594" s="5" t="s">
        <v>781</v>
      </c>
      <c r="BA594" s="41"/>
      <c r="BB594" s="41"/>
      <c r="BC594" s="41"/>
      <c r="BD594" s="41"/>
      <c r="BE594" s="1074">
        <f t="shared" si="15"/>
        <v>0</v>
      </c>
      <c r="BF594" s="1075"/>
      <c r="BG594" s="1068">
        <f t="shared" si="7"/>
        <v>0</v>
      </c>
      <c r="BH594" s="1071"/>
      <c r="BI594" s="1074">
        <f t="shared" si="16"/>
        <v>0</v>
      </c>
      <c r="BJ594" s="1075"/>
      <c r="BK594" s="1068">
        <f t="shared" si="8"/>
        <v>0</v>
      </c>
      <c r="BL594" s="1071"/>
      <c r="BN594" s="1068">
        <f t="shared" si="9"/>
        <v>0</v>
      </c>
      <c r="BO594" s="1069"/>
      <c r="BP594" s="1069"/>
      <c r="BQ594" s="1069"/>
      <c r="BR594" s="1070"/>
      <c r="BS594" s="1068">
        <f t="shared" si="10"/>
        <v>0</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5</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1</v>
      </c>
      <c r="BJ596" s="1075"/>
      <c r="BK596" s="1068">
        <f t="shared" si="8"/>
        <v>5</v>
      </c>
      <c r="BL596" s="1071"/>
      <c r="BN596" s="1068">
        <f t="shared" si="9"/>
        <v>0</v>
      </c>
      <c r="BO596" s="1069"/>
      <c r="BP596" s="1069"/>
      <c r="BQ596" s="1069"/>
      <c r="BR596" s="1070"/>
      <c r="BS596" s="1068">
        <f t="shared" si="10"/>
        <v>0</v>
      </c>
      <c r="BT596" s="1069"/>
      <c r="BU596" s="1069"/>
      <c r="BV596" s="1069"/>
      <c r="BW596" s="1071"/>
      <c r="BX596" s="1068">
        <f t="shared" si="11"/>
        <v>6</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5</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6</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7</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1</v>
      </c>
      <c r="BF598" s="1075"/>
      <c r="BG598" s="1068">
        <f t="shared" si="7"/>
        <v>7</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11</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5</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0</v>
      </c>
      <c r="BF601" s="1075"/>
      <c r="BG601" s="1068">
        <f t="shared" si="7"/>
        <v>0</v>
      </c>
      <c r="BH601" s="1071"/>
      <c r="BI601" s="1074">
        <f t="shared" si="16"/>
        <v>1</v>
      </c>
      <c r="BJ601" s="1075"/>
      <c r="BK601" s="1068">
        <f t="shared" si="8"/>
        <v>5</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4</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5</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1</v>
      </c>
      <c r="BF602" s="1075"/>
      <c r="BG602" s="1068">
        <f t="shared" si="7"/>
        <v>4</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3</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1</v>
      </c>
      <c r="BF603" s="1075"/>
      <c r="BG603" s="1068">
        <f t="shared" si="7"/>
        <v>3</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6</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 customHeight="1">
      <c r="C616" s="3" t="s">
        <v>2125</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 customHeight="1">
      <c r="B617" s="838"/>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 customHeight="1">
      <c r="B618" s="1106" t="s">
        <v>2194</v>
      </c>
      <c r="C618" s="1107"/>
      <c r="D618" s="1107"/>
      <c r="E618" s="1107"/>
      <c r="F618" s="1107"/>
      <c r="G618" s="1107"/>
      <c r="H618" s="1107"/>
      <c r="I618" s="1107"/>
      <c r="J618" s="1107"/>
      <c r="K618" s="1107"/>
      <c r="L618" s="1107"/>
      <c r="M618" s="1145" t="s">
        <v>2168</v>
      </c>
      <c r="N618" s="1145"/>
      <c r="O618" s="1145"/>
      <c r="P618" s="1145"/>
      <c r="Q618" s="1131" t="s">
        <v>2198</v>
      </c>
      <c r="R618" s="1132"/>
      <c r="S618" s="1133"/>
      <c r="T618" s="1131" t="s">
        <v>2197</v>
      </c>
      <c r="U618" s="1132"/>
      <c r="V618" s="1133"/>
      <c r="W618" s="1410" t="s">
        <v>740</v>
      </c>
      <c r="X618" s="1410"/>
      <c r="Y618" s="1411"/>
      <c r="Z618" s="1145" t="s">
        <v>2195</v>
      </c>
      <c r="AA618" s="1145"/>
      <c r="AB618" s="1145"/>
      <c r="AC618" s="1401" t="s">
        <v>1990</v>
      </c>
      <c r="AD618" s="1402"/>
      <c r="AE618" s="1403"/>
      <c r="AF618" s="1131" t="s">
        <v>2126</v>
      </c>
      <c r="AG618" s="1132"/>
      <c r="AH618" s="1132"/>
      <c r="AI618" s="1132"/>
      <c r="AJ618" s="1133"/>
      <c r="AK618" s="1281" t="s">
        <v>2127</v>
      </c>
      <c r="AL618" s="1282"/>
      <c r="AM618" s="1282"/>
      <c r="AN618" s="1283"/>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2"/>
      <c r="X619" s="1412"/>
      <c r="Y619" s="1413"/>
      <c r="Z619" s="1145"/>
      <c r="AA619" s="1145"/>
      <c r="AB619" s="1145"/>
      <c r="AC619" s="1404"/>
      <c r="AD619" s="1405"/>
      <c r="AE619" s="1406"/>
      <c r="AF619" s="1134"/>
      <c r="AG619" s="1135"/>
      <c r="AH619" s="1135"/>
      <c r="AI619" s="1135"/>
      <c r="AJ619" s="1136"/>
      <c r="AK619" s="1284"/>
      <c r="AL619" s="1285"/>
      <c r="AM619" s="1285"/>
      <c r="AN619" s="1286"/>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4"/>
      <c r="X620" s="1414"/>
      <c r="Y620" s="1415"/>
      <c r="Z620" s="1145"/>
      <c r="AA620" s="1145"/>
      <c r="AB620" s="1145"/>
      <c r="AC620" s="1407"/>
      <c r="AD620" s="1408"/>
      <c r="AE620" s="1409"/>
      <c r="AF620" s="1137"/>
      <c r="AG620" s="1138"/>
      <c r="AH620" s="1138"/>
      <c r="AI620" s="1138"/>
      <c r="AJ620" s="1139"/>
      <c r="AK620" s="1287"/>
      <c r="AL620" s="1288"/>
      <c r="AM620" s="1288"/>
      <c r="AN620" s="1289"/>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 customHeight="1">
      <c r="B621" s="57" t="s">
        <v>900</v>
      </c>
      <c r="C621" s="1097" t="s">
        <v>2418</v>
      </c>
      <c r="D621" s="1097"/>
      <c r="E621" s="1097"/>
      <c r="F621" s="1097"/>
      <c r="G621" s="1097"/>
      <c r="H621" s="1097"/>
      <c r="I621" s="1097"/>
      <c r="J621" s="1097"/>
      <c r="K621" s="1097"/>
      <c r="L621" s="1097"/>
      <c r="M621" s="1277" t="s">
        <v>2178</v>
      </c>
      <c r="N621" s="1277"/>
      <c r="O621" s="1277"/>
      <c r="P621" s="1277"/>
      <c r="Q621" s="1353">
        <f>20*12</f>
        <v>240</v>
      </c>
      <c r="R621" s="1354"/>
      <c r="S621" s="1355"/>
      <c r="T621" s="1380">
        <f>20*12</f>
        <v>240</v>
      </c>
      <c r="U621" s="1381"/>
      <c r="V621" s="1382"/>
      <c r="W621" s="1290">
        <v>8.5300000000000001E-2</v>
      </c>
      <c r="X621" s="1291"/>
      <c r="Y621" s="1292"/>
      <c r="Z621" s="1356" t="s">
        <v>2196</v>
      </c>
      <c r="AA621" s="1357"/>
      <c r="AB621" s="1358"/>
      <c r="AC621" s="1338">
        <v>1</v>
      </c>
      <c r="AD621" s="1144"/>
      <c r="AE621" s="1339"/>
      <c r="AF621" s="1163">
        <f>-PMT(W621/12,T621,AO621)*12</f>
        <v>321015.56515586871</v>
      </c>
      <c r="AG621" s="1164"/>
      <c r="AH621" s="1164"/>
      <c r="AI621" s="1164"/>
      <c r="AJ621" s="1165"/>
      <c r="AK621" s="1278"/>
      <c r="AL621" s="1279"/>
      <c r="AM621" s="1279"/>
      <c r="AN621" s="1280"/>
      <c r="AO621" s="1218">
        <v>3075841.36</v>
      </c>
      <c r="AP621" s="1218"/>
      <c r="AQ621" s="1218"/>
      <c r="AR621" s="1218"/>
      <c r="AS621" s="1218"/>
      <c r="AT621" s="945" t="str">
        <f t="shared" ref="AT621:AT632" si="33">IF(AND(NOT(C620=""),C621="",NOT(C622="")),"!","")</f>
        <v/>
      </c>
      <c r="AU621" s="43"/>
      <c r="AV621" s="43"/>
      <c r="AW621" s="43"/>
      <c r="AX621" s="43"/>
      <c r="AY621" s="43"/>
      <c r="BA621" s="41" t="s">
        <v>1977</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 customHeight="1">
      <c r="B622" s="58" t="s">
        <v>901</v>
      </c>
      <c r="C622" s="1097" t="s">
        <v>2419</v>
      </c>
      <c r="D622" s="1097"/>
      <c r="E622" s="1097"/>
      <c r="F622" s="1097"/>
      <c r="G622" s="1097"/>
      <c r="H622" s="1097"/>
      <c r="I622" s="1097"/>
      <c r="J622" s="1097"/>
      <c r="K622" s="1097"/>
      <c r="L622" s="1097"/>
      <c r="M622" s="1277" t="s">
        <v>2177</v>
      </c>
      <c r="N622" s="1277"/>
      <c r="O622" s="1277"/>
      <c r="P622" s="1277"/>
      <c r="Q622" s="1353"/>
      <c r="R622" s="1354"/>
      <c r="S622" s="1355"/>
      <c r="T622" s="1380">
        <f>55*12</f>
        <v>660</v>
      </c>
      <c r="U622" s="1381"/>
      <c r="V622" s="1382"/>
      <c r="W622" s="1290">
        <v>0.01</v>
      </c>
      <c r="X622" s="1291"/>
      <c r="Y622" s="1292"/>
      <c r="Z622" s="1356" t="s">
        <v>788</v>
      </c>
      <c r="AA622" s="1357"/>
      <c r="AB622" s="1358"/>
      <c r="AC622" s="1338"/>
      <c r="AD622" s="1144"/>
      <c r="AE622" s="1339"/>
      <c r="AF622" s="1163"/>
      <c r="AG622" s="1164"/>
      <c r="AH622" s="1164"/>
      <c r="AI622" s="1164"/>
      <c r="AJ622" s="1165"/>
      <c r="AK622" s="1278"/>
      <c r="AL622" s="1279"/>
      <c r="AM622" s="1279"/>
      <c r="AN622" s="1280"/>
      <c r="AO622" s="1218">
        <v>13497650</v>
      </c>
      <c r="AP622" s="1218"/>
      <c r="AQ622" s="1218"/>
      <c r="AR622" s="1218"/>
      <c r="AS622" s="1218"/>
      <c r="AT622" s="945"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 customHeight="1">
      <c r="B623" s="58" t="s">
        <v>907</v>
      </c>
      <c r="C623" s="1097" t="s">
        <v>2420</v>
      </c>
      <c r="D623" s="1097"/>
      <c r="E623" s="1097"/>
      <c r="F623" s="1097"/>
      <c r="G623" s="1097"/>
      <c r="H623" s="1097"/>
      <c r="I623" s="1097"/>
      <c r="J623" s="1097"/>
      <c r="K623" s="1097"/>
      <c r="L623" s="1097"/>
      <c r="M623" s="1277" t="s">
        <v>2171</v>
      </c>
      <c r="N623" s="1277"/>
      <c r="O623" s="1277"/>
      <c r="P623" s="1277"/>
      <c r="Q623" s="1353"/>
      <c r="R623" s="1354"/>
      <c r="S623" s="1355"/>
      <c r="T623" s="1380"/>
      <c r="U623" s="1381"/>
      <c r="V623" s="1382"/>
      <c r="W623" s="1290"/>
      <c r="X623" s="1291"/>
      <c r="Y623" s="1292"/>
      <c r="Z623" s="1356" t="s">
        <v>1977</v>
      </c>
      <c r="AA623" s="1357"/>
      <c r="AB623" s="1358"/>
      <c r="AC623" s="1338"/>
      <c r="AD623" s="1144"/>
      <c r="AE623" s="1339"/>
      <c r="AF623" s="1163"/>
      <c r="AG623" s="1164"/>
      <c r="AH623" s="1164"/>
      <c r="AI623" s="1164"/>
      <c r="AJ623" s="1165"/>
      <c r="AK623" s="1278"/>
      <c r="AL623" s="1279"/>
      <c r="AM623" s="1279"/>
      <c r="AN623" s="1280"/>
      <c r="AO623" s="1218">
        <v>48534.42</v>
      </c>
      <c r="AP623" s="1218"/>
      <c r="AQ623" s="1218"/>
      <c r="AR623" s="1218"/>
      <c r="AS623" s="1218"/>
      <c r="AT623" s="945"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 customHeight="1">
      <c r="B624" s="58" t="s">
        <v>431</v>
      </c>
      <c r="C624" s="1097"/>
      <c r="D624" s="1097"/>
      <c r="E624" s="1097"/>
      <c r="F624" s="1097"/>
      <c r="G624" s="1097"/>
      <c r="H624" s="1097"/>
      <c r="I624" s="1097"/>
      <c r="J624" s="1097"/>
      <c r="K624" s="1097"/>
      <c r="L624" s="1097"/>
      <c r="M624" s="1277" t="s">
        <v>1977</v>
      </c>
      <c r="N624" s="1277"/>
      <c r="O624" s="1277"/>
      <c r="P624" s="1277"/>
      <c r="Q624" s="1353"/>
      <c r="R624" s="1354"/>
      <c r="S624" s="1355"/>
      <c r="T624" s="1380"/>
      <c r="U624" s="1381"/>
      <c r="V624" s="1382"/>
      <c r="W624" s="1290"/>
      <c r="X624" s="1291"/>
      <c r="Y624" s="1292"/>
      <c r="Z624" s="1356" t="s">
        <v>1977</v>
      </c>
      <c r="AA624" s="1357"/>
      <c r="AB624" s="1358"/>
      <c r="AC624" s="1338"/>
      <c r="AD624" s="1144"/>
      <c r="AE624" s="1339"/>
      <c r="AF624" s="1163"/>
      <c r="AG624" s="1164"/>
      <c r="AH624" s="1164"/>
      <c r="AI624" s="1164"/>
      <c r="AJ624" s="1165"/>
      <c r="AK624" s="1278"/>
      <c r="AL624" s="1279"/>
      <c r="AM624" s="1279"/>
      <c r="AN624" s="1280"/>
      <c r="AO624" s="1218"/>
      <c r="AP624" s="1218"/>
      <c r="AQ624" s="1218"/>
      <c r="AR624" s="1218"/>
      <c r="AS624" s="1218"/>
      <c r="AT624" s="945" t="str">
        <f t="shared" si="33"/>
        <v/>
      </c>
      <c r="AU624" s="43"/>
      <c r="AV624" s="43"/>
      <c r="AW624" s="43"/>
      <c r="AX624" s="43"/>
      <c r="AY624" s="43"/>
      <c r="AZ624" s="43"/>
      <c r="BA624" s="41" t="s">
        <v>2196</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 customHeight="1">
      <c r="B625" s="58" t="s">
        <v>171</v>
      </c>
      <c r="C625" s="1097"/>
      <c r="D625" s="1097"/>
      <c r="E625" s="1097"/>
      <c r="F625" s="1097"/>
      <c r="G625" s="1097"/>
      <c r="H625" s="1097"/>
      <c r="I625" s="1097"/>
      <c r="J625" s="1097"/>
      <c r="K625" s="1097"/>
      <c r="L625" s="1097"/>
      <c r="M625" s="1277" t="s">
        <v>1977</v>
      </c>
      <c r="N625" s="1277"/>
      <c r="O625" s="1277"/>
      <c r="P625" s="1277"/>
      <c r="Q625" s="1353"/>
      <c r="R625" s="1354"/>
      <c r="S625" s="1355"/>
      <c r="T625" s="1380"/>
      <c r="U625" s="1381"/>
      <c r="V625" s="1382"/>
      <c r="W625" s="1290"/>
      <c r="X625" s="1291"/>
      <c r="Y625" s="1292"/>
      <c r="Z625" s="1356" t="s">
        <v>1977</v>
      </c>
      <c r="AA625" s="1357"/>
      <c r="AB625" s="1358"/>
      <c r="AC625" s="1338"/>
      <c r="AD625" s="1144"/>
      <c r="AE625" s="1339"/>
      <c r="AF625" s="1163"/>
      <c r="AG625" s="1164"/>
      <c r="AH625" s="1164"/>
      <c r="AI625" s="1164"/>
      <c r="AJ625" s="1165"/>
      <c r="AK625" s="1278"/>
      <c r="AL625" s="1279"/>
      <c r="AM625" s="1279"/>
      <c r="AN625" s="1280"/>
      <c r="AO625" s="1218"/>
      <c r="AP625" s="1218"/>
      <c r="AQ625" s="1218"/>
      <c r="AR625" s="1218"/>
      <c r="AS625" s="1218"/>
      <c r="AT625" s="945"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 customHeight="1">
      <c r="B626" s="58" t="s">
        <v>434</v>
      </c>
      <c r="C626" s="1097"/>
      <c r="D626" s="1097"/>
      <c r="E626" s="1097"/>
      <c r="F626" s="1097"/>
      <c r="G626" s="1097"/>
      <c r="H626" s="1097"/>
      <c r="I626" s="1097"/>
      <c r="J626" s="1097"/>
      <c r="K626" s="1097"/>
      <c r="L626" s="1097"/>
      <c r="M626" s="1277" t="s">
        <v>1977</v>
      </c>
      <c r="N626" s="1277"/>
      <c r="O626" s="1277"/>
      <c r="P626" s="1277"/>
      <c r="Q626" s="1353"/>
      <c r="R626" s="1354"/>
      <c r="S626" s="1355"/>
      <c r="T626" s="1380"/>
      <c r="U626" s="1381"/>
      <c r="V626" s="1382"/>
      <c r="W626" s="1290"/>
      <c r="X626" s="1291"/>
      <c r="Y626" s="1292"/>
      <c r="Z626" s="1356" t="s">
        <v>1977</v>
      </c>
      <c r="AA626" s="1357"/>
      <c r="AB626" s="1358"/>
      <c r="AC626" s="1338"/>
      <c r="AD626" s="1144"/>
      <c r="AE626" s="1339"/>
      <c r="AF626" s="1163"/>
      <c r="AG626" s="1164"/>
      <c r="AH626" s="1164"/>
      <c r="AI626" s="1164"/>
      <c r="AJ626" s="1165"/>
      <c r="AK626" s="1278"/>
      <c r="AL626" s="1279"/>
      <c r="AM626" s="1279"/>
      <c r="AN626" s="1280"/>
      <c r="AO626" s="1218"/>
      <c r="AP626" s="1218"/>
      <c r="AQ626" s="1218"/>
      <c r="AR626" s="1218"/>
      <c r="AS626" s="1218"/>
      <c r="AT626" s="945"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 t="shared" ref="BS626" si="34">SUM(BS591:BW625)</f>
        <v>24</v>
      </c>
      <c r="BT626" s="1303"/>
      <c r="BU626" s="1303"/>
      <c r="BV626" s="1303"/>
      <c r="BW626" s="1075"/>
      <c r="BX626" s="1074">
        <f t="shared" ref="BX626" si="35">SUM(BX591:CB625)</f>
        <v>29</v>
      </c>
      <c r="BY626" s="1303"/>
      <c r="BZ626" s="1303"/>
      <c r="CA626" s="1303"/>
      <c r="CB626" s="1075"/>
      <c r="CC626" s="1074">
        <f t="shared" ref="CC626" si="36">SUM(CC591:CG625)</f>
        <v>18</v>
      </c>
      <c r="CD626" s="1303"/>
      <c r="CE626" s="1303"/>
      <c r="CF626" s="1303"/>
      <c r="CG626" s="1075"/>
      <c r="CH626" s="1074">
        <f t="shared" ref="CH626" si="37">SUM(CH591:CL625)</f>
        <v>0</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 customHeight="1" thickBot="1">
      <c r="B627" s="58" t="s">
        <v>742</v>
      </c>
      <c r="C627" s="1097"/>
      <c r="D627" s="1097"/>
      <c r="E627" s="1097"/>
      <c r="F627" s="1097"/>
      <c r="G627" s="1097"/>
      <c r="H627" s="1097"/>
      <c r="I627" s="1097"/>
      <c r="J627" s="1097"/>
      <c r="K627" s="1097"/>
      <c r="L627" s="1097"/>
      <c r="M627" s="1277" t="s">
        <v>1977</v>
      </c>
      <c r="N627" s="1277"/>
      <c r="O627" s="1277"/>
      <c r="P627" s="1277"/>
      <c r="Q627" s="1353"/>
      <c r="R627" s="1354"/>
      <c r="S627" s="1355"/>
      <c r="T627" s="1380"/>
      <c r="U627" s="1381"/>
      <c r="V627" s="1382"/>
      <c r="W627" s="1290"/>
      <c r="X627" s="1291"/>
      <c r="Y627" s="1292"/>
      <c r="Z627" s="1356" t="s">
        <v>1977</v>
      </c>
      <c r="AA627" s="1357"/>
      <c r="AB627" s="1358"/>
      <c r="AC627" s="1338"/>
      <c r="AD627" s="1144"/>
      <c r="AE627" s="1339"/>
      <c r="AF627" s="1163"/>
      <c r="AG627" s="1164"/>
      <c r="AH627" s="1164"/>
      <c r="AI627" s="1164"/>
      <c r="AJ627" s="1165"/>
      <c r="AK627" s="1278"/>
      <c r="AL627" s="1279"/>
      <c r="AM627" s="1279"/>
      <c r="AN627" s="1280"/>
      <c r="AO627" s="1218"/>
      <c r="AP627" s="1218"/>
      <c r="AQ627" s="1218"/>
      <c r="AR627" s="1218"/>
      <c r="AS627" s="1218"/>
      <c r="AT627" s="945" t="str">
        <f t="shared" si="33"/>
        <v/>
      </c>
      <c r="AU627" s="43"/>
      <c r="AV627" s="43"/>
      <c r="AW627" s="43"/>
      <c r="AX627" s="43"/>
      <c r="AY627" s="43"/>
      <c r="AZ627" s="43"/>
      <c r="BE627" s="41"/>
      <c r="BF627" s="41"/>
      <c r="BG627" s="1074">
        <f>SUM(BG592:BH626)</f>
        <v>29</v>
      </c>
      <c r="BH627" s="1075"/>
      <c r="BI627" s="41"/>
      <c r="BJ627" s="41"/>
      <c r="BK627" s="1074">
        <f>SUM(BK592:BL626)</f>
        <v>15</v>
      </c>
      <c r="BL627" s="1075"/>
      <c r="BN627" s="41" t="s">
        <v>1723</v>
      </c>
      <c r="BO627" s="41"/>
      <c r="BP627" s="41"/>
      <c r="BQ627" s="41"/>
      <c r="BR627" s="467">
        <f>BN626*1</f>
        <v>0</v>
      </c>
      <c r="BS627" s="41"/>
      <c r="BT627" s="41"/>
      <c r="BU627" s="41"/>
      <c r="BV627" s="41"/>
      <c r="BW627" s="467">
        <f>BS626*1</f>
        <v>24</v>
      </c>
      <c r="BX627" s="41"/>
      <c r="BY627" s="41"/>
      <c r="BZ627" s="41"/>
      <c r="CA627" s="41"/>
      <c r="CB627" s="467">
        <f>BX626*2</f>
        <v>58</v>
      </c>
      <c r="CC627" s="41"/>
      <c r="CD627" s="41"/>
      <c r="CE627" s="41"/>
      <c r="CF627" s="41"/>
      <c r="CG627" s="467">
        <f>CC626*3</f>
        <v>54</v>
      </c>
      <c r="CH627" s="41"/>
      <c r="CI627" s="41"/>
      <c r="CJ627" s="41"/>
      <c r="CK627" s="41"/>
      <c r="CL627" s="467">
        <f>CH626*4</f>
        <v>0</v>
      </c>
      <c r="CM627" s="41"/>
      <c r="CN627" s="41"/>
      <c r="CO627" s="41"/>
      <c r="CP627" s="41"/>
      <c r="CQ627" s="466">
        <f>CM626*5</f>
        <v>0</v>
      </c>
      <c r="CS627" s="1074">
        <f>SUM(CS592:CW626)</f>
        <v>0</v>
      </c>
      <c r="CT627" s="1303"/>
      <c r="CU627" s="1303"/>
      <c r="CV627" s="1303"/>
      <c r="CW627" s="1075"/>
      <c r="CX627" s="1074">
        <f>SUM(CX592:DB626)</f>
        <v>5</v>
      </c>
      <c r="CY627" s="1303"/>
      <c r="CZ627" s="1303"/>
      <c r="DA627" s="1303"/>
      <c r="DB627" s="1075"/>
      <c r="DC627" s="1074">
        <f>SUM(DC592:DG626)</f>
        <v>5</v>
      </c>
      <c r="DD627" s="1303"/>
      <c r="DE627" s="1303"/>
      <c r="DF627" s="1303"/>
      <c r="DG627" s="1075"/>
      <c r="DH627" s="1074">
        <f>SUM(DH592:DL626)</f>
        <v>5</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 customHeight="1" thickBot="1">
      <c r="B628" s="58" t="s">
        <v>743</v>
      </c>
      <c r="C628" s="1097"/>
      <c r="D628" s="1097"/>
      <c r="E628" s="1097"/>
      <c r="F628" s="1097"/>
      <c r="G628" s="1097"/>
      <c r="H628" s="1097"/>
      <c r="I628" s="1097"/>
      <c r="J628" s="1097"/>
      <c r="K628" s="1097"/>
      <c r="L628" s="1097"/>
      <c r="M628" s="1277" t="s">
        <v>1977</v>
      </c>
      <c r="N628" s="1277"/>
      <c r="O628" s="1277"/>
      <c r="P628" s="1277"/>
      <c r="Q628" s="1353"/>
      <c r="R628" s="1354"/>
      <c r="S628" s="1355"/>
      <c r="T628" s="1380"/>
      <c r="U628" s="1381"/>
      <c r="V628" s="1382"/>
      <c r="W628" s="1290"/>
      <c r="X628" s="1291"/>
      <c r="Y628" s="1292"/>
      <c r="Z628" s="1356" t="s">
        <v>1977</v>
      </c>
      <c r="AA628" s="1357"/>
      <c r="AB628" s="1358"/>
      <c r="AC628" s="1338"/>
      <c r="AD628" s="1144"/>
      <c r="AE628" s="1339"/>
      <c r="AF628" s="1163"/>
      <c r="AG628" s="1164"/>
      <c r="AH628" s="1164"/>
      <c r="AI628" s="1164"/>
      <c r="AJ628" s="1165"/>
      <c r="AK628" s="1278"/>
      <c r="AL628" s="1279"/>
      <c r="AM628" s="1279"/>
      <c r="AN628" s="1280"/>
      <c r="AO628" s="1218"/>
      <c r="AP628" s="1218"/>
      <c r="AQ628" s="1218"/>
      <c r="AR628" s="1218"/>
      <c r="AS628" s="1218"/>
      <c r="AT628" s="945"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136</v>
      </c>
      <c r="CR628" s="41"/>
      <c r="CS628" s="41"/>
    </row>
    <row r="629" spans="1:126" ht="12.9" customHeight="1">
      <c r="B629" s="58" t="s">
        <v>546</v>
      </c>
      <c r="C629" s="1097"/>
      <c r="D629" s="1097"/>
      <c r="E629" s="1097"/>
      <c r="F629" s="1097"/>
      <c r="G629" s="1097"/>
      <c r="H629" s="1097"/>
      <c r="I629" s="1097"/>
      <c r="J629" s="1097"/>
      <c r="K629" s="1097"/>
      <c r="L629" s="1097"/>
      <c r="M629" s="1277" t="s">
        <v>1977</v>
      </c>
      <c r="N629" s="1277"/>
      <c r="O629" s="1277"/>
      <c r="P629" s="1277"/>
      <c r="Q629" s="1353"/>
      <c r="R629" s="1354"/>
      <c r="S629" s="1355"/>
      <c r="T629" s="1380"/>
      <c r="U629" s="1381"/>
      <c r="V629" s="1382"/>
      <c r="W629" s="1290"/>
      <c r="X629" s="1291"/>
      <c r="Y629" s="1292"/>
      <c r="Z629" s="1356" t="s">
        <v>1977</v>
      </c>
      <c r="AA629" s="1357"/>
      <c r="AB629" s="1358"/>
      <c r="AC629" s="1338"/>
      <c r="AD629" s="1144"/>
      <c r="AE629" s="1339"/>
      <c r="AF629" s="1163"/>
      <c r="AG629" s="1164"/>
      <c r="AH629" s="1164"/>
      <c r="AI629" s="1164"/>
      <c r="AJ629" s="1165"/>
      <c r="AK629" s="1278"/>
      <c r="AL629" s="1279"/>
      <c r="AM629" s="1279"/>
      <c r="AN629" s="1280"/>
      <c r="AO629" s="1218"/>
      <c r="AP629" s="1218"/>
      <c r="AQ629" s="1218"/>
      <c r="AR629" s="1218"/>
      <c r="AS629" s="1218"/>
      <c r="AT629" s="945"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 customHeight="1">
      <c r="B630" s="58" t="s">
        <v>174</v>
      </c>
      <c r="C630" s="1097"/>
      <c r="D630" s="1097"/>
      <c r="E630" s="1097"/>
      <c r="F630" s="1097"/>
      <c r="G630" s="1097"/>
      <c r="H630" s="1097"/>
      <c r="I630" s="1097"/>
      <c r="J630" s="1097"/>
      <c r="K630" s="1097"/>
      <c r="L630" s="1097"/>
      <c r="M630" s="1277" t="s">
        <v>1977</v>
      </c>
      <c r="N630" s="1277"/>
      <c r="O630" s="1277"/>
      <c r="P630" s="1277"/>
      <c r="Q630" s="1353"/>
      <c r="R630" s="1354"/>
      <c r="S630" s="1355"/>
      <c r="T630" s="1380"/>
      <c r="U630" s="1381"/>
      <c r="V630" s="1382"/>
      <c r="W630" s="1290"/>
      <c r="X630" s="1291"/>
      <c r="Y630" s="1292"/>
      <c r="Z630" s="1356" t="s">
        <v>1977</v>
      </c>
      <c r="AA630" s="1357"/>
      <c r="AB630" s="1358"/>
      <c r="AC630" s="1338"/>
      <c r="AD630" s="1144"/>
      <c r="AE630" s="1339"/>
      <c r="AF630" s="1163"/>
      <c r="AG630" s="1164"/>
      <c r="AH630" s="1164"/>
      <c r="AI630" s="1164"/>
      <c r="AJ630" s="1165"/>
      <c r="AK630" s="1278"/>
      <c r="AL630" s="1279"/>
      <c r="AM630" s="1279"/>
      <c r="AN630" s="1280"/>
      <c r="AO630" s="1218"/>
      <c r="AP630" s="1218"/>
      <c r="AQ630" s="1218"/>
      <c r="AR630" s="1218"/>
      <c r="AS630" s="1218"/>
      <c r="AT630" s="945"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 customHeight="1">
      <c r="B631" s="58" t="s">
        <v>32</v>
      </c>
      <c r="C631" s="1097"/>
      <c r="D631" s="1097"/>
      <c r="E631" s="1097"/>
      <c r="F631" s="1097"/>
      <c r="G631" s="1097"/>
      <c r="H631" s="1097"/>
      <c r="I631" s="1097"/>
      <c r="J631" s="1097"/>
      <c r="K631" s="1097"/>
      <c r="L631" s="1097"/>
      <c r="M631" s="1277" t="s">
        <v>1977</v>
      </c>
      <c r="N631" s="1277"/>
      <c r="O631" s="1277"/>
      <c r="P631" s="1277"/>
      <c r="Q631" s="1353"/>
      <c r="R631" s="1354"/>
      <c r="S631" s="1355"/>
      <c r="T631" s="1380"/>
      <c r="U631" s="1381"/>
      <c r="V631" s="1382"/>
      <c r="W631" s="1290"/>
      <c r="X631" s="1291"/>
      <c r="Y631" s="1292"/>
      <c r="Z631" s="1356" t="s">
        <v>1977</v>
      </c>
      <c r="AA631" s="1357"/>
      <c r="AB631" s="1358"/>
      <c r="AC631" s="1338"/>
      <c r="AD631" s="1144"/>
      <c r="AE631" s="1339"/>
      <c r="AF631" s="1163"/>
      <c r="AG631" s="1164"/>
      <c r="AH631" s="1164"/>
      <c r="AI631" s="1164"/>
      <c r="AJ631" s="1165"/>
      <c r="AK631" s="1278"/>
      <c r="AL631" s="1279"/>
      <c r="AM631" s="1279"/>
      <c r="AN631" s="1280"/>
      <c r="AO631" s="1218"/>
      <c r="AP631" s="1218"/>
      <c r="AQ631" s="1218"/>
      <c r="AR631" s="1218"/>
      <c r="AS631" s="1218"/>
      <c r="AT631" s="945"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 customHeight="1">
      <c r="B632" s="58" t="s">
        <v>33</v>
      </c>
      <c r="C632" s="1097"/>
      <c r="D632" s="1097"/>
      <c r="E632" s="1097"/>
      <c r="F632" s="1097"/>
      <c r="G632" s="1097"/>
      <c r="H632" s="1097"/>
      <c r="I632" s="1097"/>
      <c r="J632" s="1097"/>
      <c r="K632" s="1097"/>
      <c r="L632" s="1097"/>
      <c r="M632" s="1277" t="s">
        <v>1977</v>
      </c>
      <c r="N632" s="1277"/>
      <c r="O632" s="1277"/>
      <c r="P632" s="1277"/>
      <c r="Q632" s="1353"/>
      <c r="R632" s="1354"/>
      <c r="S632" s="1355"/>
      <c r="T632" s="1380"/>
      <c r="U632" s="1381"/>
      <c r="V632" s="1382"/>
      <c r="W632" s="1290"/>
      <c r="X632" s="1291"/>
      <c r="Y632" s="1292"/>
      <c r="Z632" s="1356" t="s">
        <v>1977</v>
      </c>
      <c r="AA632" s="1357"/>
      <c r="AB632" s="1358"/>
      <c r="AC632" s="1338"/>
      <c r="AD632" s="1144"/>
      <c r="AE632" s="1339"/>
      <c r="AF632" s="1163"/>
      <c r="AG632" s="1164"/>
      <c r="AH632" s="1164"/>
      <c r="AI632" s="1164"/>
      <c r="AJ632" s="1165"/>
      <c r="AK632" s="1278"/>
      <c r="AL632" s="1279"/>
      <c r="AM632" s="1279"/>
      <c r="AN632" s="1280"/>
      <c r="AO632" s="1218"/>
      <c r="AP632" s="1218"/>
      <c r="AQ632" s="1218"/>
      <c r="AR632" s="1218"/>
      <c r="AS632" s="1218"/>
      <c r="AT632" s="945"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16622025.779999999</v>
      </c>
      <c r="AP633" s="1227"/>
      <c r="AQ633" s="1227"/>
      <c r="AR633" s="1227"/>
      <c r="AS633" s="1228"/>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1</v>
      </c>
      <c r="BY633" s="1505"/>
      <c r="BZ633" s="1505"/>
      <c r="CA633" s="1505"/>
      <c r="CB633" s="1506"/>
      <c r="CC633" s="1504">
        <f>SUM(CC629:CG632)</f>
        <v>0</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1981</v>
      </c>
      <c r="CU633" s="41"/>
    </row>
    <row r="634" spans="1:126" ht="12.9"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26666656.739999998</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9"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400"/>
      <c r="AO635" s="1226">
        <f>AO633+AO634</f>
        <v>43288682.519999996</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 customHeight="1">
      <c r="A637" s="61" t="s">
        <v>900</v>
      </c>
      <c r="B637" t="s">
        <v>82</v>
      </c>
      <c r="G637" s="1184" t="str">
        <f>C621</f>
        <v>Perm Loan- Citi Bank</v>
      </c>
      <c r="H637" s="1184"/>
      <c r="I637" s="1184"/>
      <c r="J637" s="1184"/>
      <c r="K637" s="1184"/>
      <c r="L637" s="1184"/>
      <c r="M637" s="1184"/>
      <c r="N637" s="1184"/>
      <c r="O637" s="1184"/>
      <c r="P637" s="1184"/>
      <c r="Q637" s="1184"/>
      <c r="R637" s="1184"/>
      <c r="S637" s="12"/>
      <c r="T637" s="61" t="s">
        <v>901</v>
      </c>
      <c r="U637" t="s">
        <v>82</v>
      </c>
      <c r="Z637" s="1184" t="str">
        <f>C622</f>
        <v>CDBG-DRMHP</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 customHeight="1">
      <c r="A638" s="4"/>
      <c r="B638" t="s">
        <v>372</v>
      </c>
      <c r="G638" s="1056" t="s">
        <v>2411</v>
      </c>
      <c r="H638" s="1056"/>
      <c r="I638" s="1056"/>
      <c r="J638" s="1056"/>
      <c r="K638" s="1056"/>
      <c r="L638" s="1056"/>
      <c r="M638" s="1056"/>
      <c r="N638" s="1056"/>
      <c r="O638" s="1056"/>
      <c r="P638" s="1056"/>
      <c r="Q638" s="1056"/>
      <c r="R638" s="1056"/>
      <c r="S638" s="12"/>
      <c r="T638" s="4"/>
      <c r="U638" t="s">
        <v>372</v>
      </c>
      <c r="Z638" s="1056" t="s">
        <v>2422</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 customHeight="1">
      <c r="A639" s="4"/>
      <c r="B639" t="s">
        <v>430</v>
      </c>
      <c r="G639" s="1056" t="s">
        <v>2412</v>
      </c>
      <c r="H639" s="1056"/>
      <c r="I639" s="1056"/>
      <c r="J639" s="1056"/>
      <c r="K639" s="1056"/>
      <c r="L639" s="1056"/>
      <c r="M639" s="1056"/>
      <c r="N639" s="1056"/>
      <c r="O639" s="1056"/>
      <c r="P639" s="1056"/>
      <c r="Q639" s="1056"/>
      <c r="R639" s="1056"/>
      <c r="T639" s="4"/>
      <c r="U639" t="s">
        <v>430</v>
      </c>
      <c r="Z639" s="1054" t="s">
        <v>2423</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 customHeight="1">
      <c r="A640" s="4"/>
      <c r="B640" t="s">
        <v>833</v>
      </c>
      <c r="G640" s="1056" t="s">
        <v>2421</v>
      </c>
      <c r="H640" s="1056"/>
      <c r="I640" s="1056"/>
      <c r="J640" s="1056"/>
      <c r="K640" s="1056"/>
      <c r="L640" s="1056"/>
      <c r="M640" s="1056"/>
      <c r="N640" s="1056"/>
      <c r="O640" s="1056"/>
      <c r="P640" s="1056"/>
      <c r="Q640" s="1056"/>
      <c r="R640" s="1056"/>
      <c r="S640" s="12"/>
      <c r="T640" s="4"/>
      <c r="U640" t="s">
        <v>833</v>
      </c>
      <c r="Z640" s="1054" t="s">
        <v>2424</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 customHeight="1">
      <c r="A641" s="4"/>
      <c r="B641" t="s">
        <v>650</v>
      </c>
      <c r="G641" s="1058" t="s">
        <v>2414</v>
      </c>
      <c r="H641" s="1058"/>
      <c r="I641" s="1058"/>
      <c r="J641" s="1058"/>
      <c r="K641" s="1058"/>
      <c r="L641" s="1058"/>
      <c r="O641" s="42" t="s">
        <v>818</v>
      </c>
      <c r="P641" s="1315"/>
      <c r="Q641" s="1315"/>
      <c r="R641" s="1315"/>
      <c r="S641" s="14"/>
      <c r="T641" s="4"/>
      <c r="U641" t="s">
        <v>650</v>
      </c>
      <c r="Z641" s="1379" t="s">
        <v>2425</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 customHeight="1">
      <c r="A642" s="4"/>
      <c r="B642" t="s">
        <v>834</v>
      </c>
      <c r="H642" s="1056" t="s">
        <v>2178</v>
      </c>
      <c r="I642" s="1056"/>
      <c r="J642" s="1056"/>
      <c r="K642" s="1056"/>
      <c r="L642" s="1056"/>
      <c r="M642" s="1056"/>
      <c r="N642" s="1056"/>
      <c r="O642" s="1056"/>
      <c r="P642" s="1056"/>
      <c r="Q642" s="1056"/>
      <c r="R642" s="1056"/>
      <c r="S642" s="12"/>
      <c r="T642" s="4"/>
      <c r="U642" t="s">
        <v>834</v>
      </c>
      <c r="AA642" s="1056" t="s">
        <v>2177</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 customHeight="1">
      <c r="A645" s="61" t="s">
        <v>907</v>
      </c>
      <c r="B645" t="s">
        <v>82</v>
      </c>
      <c r="G645" s="1184" t="str">
        <f>C623</f>
        <v>Deferred Developer fee</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 customHeight="1" thickBot="1">
      <c r="A646" s="4"/>
      <c r="B646" t="s">
        <v>372</v>
      </c>
      <c r="G646" s="1056" t="s">
        <v>2417</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2471</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t="s">
        <v>2342</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379" t="s">
        <v>2343</v>
      </c>
      <c r="H649" s="1058"/>
      <c r="I649" s="1058"/>
      <c r="J649" s="1058"/>
      <c r="K649" s="1058"/>
      <c r="L649" s="1058"/>
      <c r="O649" s="42" t="s">
        <v>818</v>
      </c>
      <c r="P649" s="1315"/>
      <c r="Q649" s="1315"/>
      <c r="R649" s="1315"/>
      <c r="T649" s="4"/>
      <c r="U649" t="s">
        <v>650</v>
      </c>
      <c r="Z649" s="1058"/>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136</v>
      </c>
      <c r="CR649" s="41"/>
      <c r="CS649" s="41"/>
    </row>
    <row r="650" spans="1:97" ht="12.9" customHeight="1">
      <c r="A650" s="4"/>
      <c r="B650" t="s">
        <v>834</v>
      </c>
      <c r="H650" s="1056" t="s">
        <v>2171</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5" t="s">
        <v>108</v>
      </c>
      <c r="O651" s="1115"/>
      <c r="T651" s="4"/>
      <c r="U651" t="s">
        <v>836</v>
      </c>
      <c r="AG651" s="1115" t="s">
        <v>482</v>
      </c>
      <c r="AH651" s="1115"/>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24</v>
      </c>
      <c r="BT651" s="1505"/>
      <c r="BU651" s="1505"/>
      <c r="BV651" s="1505"/>
      <c r="BW651" s="1506"/>
      <c r="BX651" s="1504">
        <f>BX626+BX633+BX645</f>
        <v>30</v>
      </c>
      <c r="BY651" s="1505"/>
      <c r="BZ651" s="1505"/>
      <c r="CA651" s="1505"/>
      <c r="CB651" s="1506"/>
      <c r="CC651" s="1504">
        <f>CC626+CC633+CC645</f>
        <v>18</v>
      </c>
      <c r="CD651" s="1505"/>
      <c r="CE651" s="1505"/>
      <c r="CF651" s="1505"/>
      <c r="CG651" s="1506"/>
      <c r="CH651" s="1504">
        <f>CH626+CH633+CH645</f>
        <v>0</v>
      </c>
      <c r="CI651" s="1505"/>
      <c r="CJ651" s="1505"/>
      <c r="CK651" s="1505"/>
      <c r="CL651" s="1506"/>
      <c r="CM651" s="1074">
        <f>CM645+CM633+CM626</f>
        <v>0</v>
      </c>
      <c r="CN651" s="1303"/>
      <c r="CO651" s="1303"/>
      <c r="CP651" s="1303"/>
      <c r="CQ651" s="10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8"/>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5" t="s">
        <v>54</v>
      </c>
      <c r="C691" s="1266"/>
      <c r="D691" s="1266"/>
      <c r="E691" s="1266"/>
      <c r="F691" s="1267"/>
      <c r="G691" s="1265" t="s">
        <v>256</v>
      </c>
      <c r="H691" s="1266"/>
      <c r="I691" s="1266"/>
      <c r="J691" s="1267"/>
      <c r="K691" s="1456" t="s">
        <v>1993</v>
      </c>
      <c r="L691" s="1457"/>
      <c r="M691" s="1457"/>
      <c r="N691" s="1458"/>
      <c r="O691" s="1265" t="s">
        <v>589</v>
      </c>
      <c r="P691" s="1266"/>
      <c r="Q691" s="1266"/>
      <c r="R691" s="1266"/>
      <c r="S691" s="1267"/>
      <c r="T691" s="1265" t="s">
        <v>257</v>
      </c>
      <c r="U691" s="1266"/>
      <c r="V691" s="1266"/>
      <c r="W691" s="1266"/>
      <c r="X691" s="1267"/>
      <c r="Y691" s="1265" t="s">
        <v>258</v>
      </c>
      <c r="Z691" s="1266"/>
      <c r="AA691" s="1266"/>
      <c r="AB691" s="1267"/>
      <c r="AC691" s="1265" t="s">
        <v>259</v>
      </c>
      <c r="AD691" s="1266"/>
      <c r="AE691" s="1266"/>
      <c r="AF691" s="1266"/>
      <c r="AG691" s="1267"/>
      <c r="AH691" s="1265" t="s">
        <v>1994</v>
      </c>
      <c r="AI691" s="1266"/>
      <c r="AJ691" s="1266"/>
      <c r="AK691" s="1266"/>
      <c r="AL691" s="1267"/>
      <c r="AM691" s="1265" t="s">
        <v>1995</v>
      </c>
      <c r="AN691" s="1266"/>
      <c r="AO691" s="1267"/>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8"/>
      <c r="C692" s="1269"/>
      <c r="D692" s="1269"/>
      <c r="E692" s="1269"/>
      <c r="F692" s="1270"/>
      <c r="G692" s="1268"/>
      <c r="H692" s="1269"/>
      <c r="I692" s="1269"/>
      <c r="J692" s="1270"/>
      <c r="K692" s="1459"/>
      <c r="L692" s="1460"/>
      <c r="M692" s="1460"/>
      <c r="N692" s="1461"/>
      <c r="O692" s="1268"/>
      <c r="P692" s="1269"/>
      <c r="Q692" s="1269"/>
      <c r="R692" s="1269"/>
      <c r="S692" s="1270"/>
      <c r="T692" s="1268"/>
      <c r="U692" s="1269"/>
      <c r="V692" s="1269"/>
      <c r="W692" s="1269"/>
      <c r="X692" s="1270"/>
      <c r="Y692" s="1268"/>
      <c r="Z692" s="1269"/>
      <c r="AA692" s="1269"/>
      <c r="AB692" s="1270"/>
      <c r="AC692" s="1268"/>
      <c r="AD692" s="1269"/>
      <c r="AE692" s="1269"/>
      <c r="AF692" s="1269"/>
      <c r="AG692" s="1270"/>
      <c r="AH692" s="1268"/>
      <c r="AI692" s="1269"/>
      <c r="AJ692" s="1269"/>
      <c r="AK692" s="1269"/>
      <c r="AL692" s="1270"/>
      <c r="AM692" s="1268"/>
      <c r="AN692" s="1269"/>
      <c r="AO692" s="1270"/>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8"/>
      <c r="C693" s="1269"/>
      <c r="D693" s="1269"/>
      <c r="E693" s="1269"/>
      <c r="F693" s="1270"/>
      <c r="G693" s="1268"/>
      <c r="H693" s="1269"/>
      <c r="I693" s="1269"/>
      <c r="J693" s="1270"/>
      <c r="K693" s="1459"/>
      <c r="L693" s="1460"/>
      <c r="M693" s="1460"/>
      <c r="N693" s="1461"/>
      <c r="O693" s="1268"/>
      <c r="P693" s="1269"/>
      <c r="Q693" s="1269"/>
      <c r="R693" s="1269"/>
      <c r="S693" s="1270"/>
      <c r="T693" s="1268"/>
      <c r="U693" s="1269"/>
      <c r="V693" s="1269"/>
      <c r="W693" s="1269"/>
      <c r="X693" s="1270"/>
      <c r="Y693" s="1268"/>
      <c r="Z693" s="1269"/>
      <c r="AA693" s="1269"/>
      <c r="AB693" s="1270"/>
      <c r="AC693" s="1268"/>
      <c r="AD693" s="1269"/>
      <c r="AE693" s="1269"/>
      <c r="AF693" s="1269"/>
      <c r="AG693" s="1270"/>
      <c r="AH693" s="1268"/>
      <c r="AI693" s="1269"/>
      <c r="AJ693" s="1269"/>
      <c r="AK693" s="1269"/>
      <c r="AL693" s="1270"/>
      <c r="AM693" s="1268"/>
      <c r="AN693" s="1269"/>
      <c r="AO693" s="1270"/>
      <c r="AX693" s="43"/>
      <c r="AY693" s="3" t="s">
        <v>1135</v>
      </c>
      <c r="AZ693" s="43"/>
      <c r="BA693" s="43"/>
      <c r="BB693" s="41"/>
      <c r="BC693" s="41"/>
      <c r="BD693" s="41"/>
      <c r="BE693" s="845" t="s">
        <v>1996</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1"/>
      <c r="C694" s="1272"/>
      <c r="D694" s="1272"/>
      <c r="E694" s="1272"/>
      <c r="F694" s="1273"/>
      <c r="G694" s="1271"/>
      <c r="H694" s="1272"/>
      <c r="I694" s="1272"/>
      <c r="J694" s="1273"/>
      <c r="K694" s="1459"/>
      <c r="L694" s="1460"/>
      <c r="M694" s="1460"/>
      <c r="N694" s="1461"/>
      <c r="O694" s="1271"/>
      <c r="P694" s="1272"/>
      <c r="Q694" s="1272"/>
      <c r="R694" s="1272"/>
      <c r="S694" s="1273"/>
      <c r="T694" s="1271"/>
      <c r="U694" s="1272"/>
      <c r="V694" s="1272"/>
      <c r="W694" s="1272"/>
      <c r="X694" s="1273"/>
      <c r="Y694" s="1271"/>
      <c r="Z694" s="1272"/>
      <c r="AA694" s="1272"/>
      <c r="AB694" s="1273"/>
      <c r="AC694" s="1271"/>
      <c r="AD694" s="1272"/>
      <c r="AE694" s="1272"/>
      <c r="AF694" s="1272"/>
      <c r="AG694" s="1273"/>
      <c r="AH694" s="1271"/>
      <c r="AI694" s="1272"/>
      <c r="AJ694" s="1272"/>
      <c r="AK694" s="1272"/>
      <c r="AL694" s="1273"/>
      <c r="AM694" s="1271"/>
      <c r="AN694" s="1272"/>
      <c r="AO694" s="1273"/>
      <c r="AV694" s="269" t="s">
        <v>2313</v>
      </c>
      <c r="AX694" s="43"/>
      <c r="AY694" s="450" t="s">
        <v>1136</v>
      </c>
      <c r="AZ694" s="464" t="s">
        <v>1137</v>
      </c>
      <c r="BA694" s="463" t="s">
        <v>1138</v>
      </c>
      <c r="BB694" s="41"/>
      <c r="BC694" s="41"/>
      <c r="BD694" s="41"/>
      <c r="BE694" s="847" t="s">
        <v>1136</v>
      </c>
      <c r="BF694" s="848" t="s">
        <v>1137</v>
      </c>
      <c r="BG694" s="849"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9" t="s">
        <v>442</v>
      </c>
      <c r="C695" s="1080"/>
      <c r="D695" s="1080"/>
      <c r="E695" s="1080"/>
      <c r="F695" s="1081"/>
      <c r="G695" s="1082">
        <v>5</v>
      </c>
      <c r="H695" s="1083"/>
      <c r="I695" s="1083"/>
      <c r="J695" s="1084"/>
      <c r="K695" s="1085">
        <f>(710+620)/2</f>
        <v>665</v>
      </c>
      <c r="L695" s="1086"/>
      <c r="M695" s="1086"/>
      <c r="N695" s="1087"/>
      <c r="O695" s="1088">
        <f>510-Y695</f>
        <v>383</v>
      </c>
      <c r="P695" s="1089"/>
      <c r="Q695" s="1089"/>
      <c r="R695" s="1089"/>
      <c r="S695" s="1090"/>
      <c r="T695" s="1091">
        <f t="shared" ref="T695:T729" si="45">G695*O695</f>
        <v>1915</v>
      </c>
      <c r="U695" s="1092"/>
      <c r="V695" s="1092"/>
      <c r="W695" s="1092"/>
      <c r="X695" s="1093"/>
      <c r="Y695" s="1088">
        <f>Q811</f>
        <v>127</v>
      </c>
      <c r="Z695" s="1089"/>
      <c r="AA695" s="1089"/>
      <c r="AB695" s="1090"/>
      <c r="AC695" s="1091">
        <f t="shared" ref="AC695:AC729" si="46">O695+Y695</f>
        <v>510</v>
      </c>
      <c r="AD695" s="1092"/>
      <c r="AE695" s="1092"/>
      <c r="AF695" s="1092"/>
      <c r="AG695" s="1093"/>
      <c r="AH695" s="1347">
        <v>0.3</v>
      </c>
      <c r="AI695" s="1348"/>
      <c r="AJ695" s="1348"/>
      <c r="AK695" s="1348"/>
      <c r="AL695" s="1349"/>
      <c r="AM695" s="1076">
        <f>IF($AH695&gt;0,($AC695/$AV695),"")</f>
        <v>0.3</v>
      </c>
      <c r="AN695" s="1077"/>
      <c r="AO695" s="1078"/>
      <c r="AV695" s="43">
        <f t="shared" ref="AV695:AV729" si="47">IF($G695=0,"N/A",VLOOKUP($T$189,TC_Rent,(MATCH($B695,bedrooms,FALSE))))</f>
        <v>1700</v>
      </c>
      <c r="AX695" s="43"/>
      <c r="AY695" s="445">
        <f t="shared" ref="AY695:AY718" si="48">G695</f>
        <v>5</v>
      </c>
      <c r="AZ695" s="452">
        <f t="shared" ref="AZ695:AZ718" si="49">IF($AY$730=0,"",AY695/$AY$730)</f>
        <v>7.0422535211267609E-2</v>
      </c>
      <c r="BA695" s="453">
        <f t="shared" ref="BA695:BA718" si="50">IF(AZ695="","",AZ695*AH695)</f>
        <v>2.1126760563380281E-2</v>
      </c>
      <c r="BB695" s="41"/>
      <c r="BC695" s="41"/>
      <c r="BD695" s="41"/>
      <c r="BE695" s="850">
        <f t="shared" ref="BE695:BE718" si="51">G695</f>
        <v>5</v>
      </c>
      <c r="BF695" s="854">
        <f t="shared" ref="BF695:BF718" si="52">IF(BE695=0,"",BE695/$BE$730)</f>
        <v>7.0422535211267609E-2</v>
      </c>
      <c r="BG695" s="855">
        <f t="shared" ref="BG695:BG718" si="53">IF(BF695="","",BF695*AM695)</f>
        <v>2.1126760563380281E-2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9" t="s">
        <v>442</v>
      </c>
      <c r="C696" s="1080"/>
      <c r="D696" s="1080"/>
      <c r="E696" s="1080"/>
      <c r="F696" s="1081"/>
      <c r="G696" s="1082">
        <v>9</v>
      </c>
      <c r="H696" s="1083"/>
      <c r="I696" s="1083"/>
      <c r="J696" s="1084"/>
      <c r="K696" s="1085">
        <f t="shared" ref="K696:K697" si="54">(710+620)/2</f>
        <v>665</v>
      </c>
      <c r="L696" s="1086"/>
      <c r="M696" s="1086"/>
      <c r="N696" s="1087"/>
      <c r="O696" s="1088">
        <f>850-Y696</f>
        <v>723</v>
      </c>
      <c r="P696" s="1089"/>
      <c r="Q696" s="1089"/>
      <c r="R696" s="1089"/>
      <c r="S696" s="1090"/>
      <c r="T696" s="1091">
        <f t="shared" si="45"/>
        <v>6507</v>
      </c>
      <c r="U696" s="1092"/>
      <c r="V696" s="1092"/>
      <c r="W696" s="1092"/>
      <c r="X696" s="1093"/>
      <c r="Y696" s="1088">
        <f>Q811</f>
        <v>127</v>
      </c>
      <c r="Z696" s="1089"/>
      <c r="AA696" s="1089"/>
      <c r="AB696" s="1090"/>
      <c r="AC696" s="1091">
        <f t="shared" si="46"/>
        <v>850</v>
      </c>
      <c r="AD696" s="1092"/>
      <c r="AE696" s="1092"/>
      <c r="AF696" s="1092"/>
      <c r="AG696" s="1093"/>
      <c r="AH696" s="1094">
        <v>0.5</v>
      </c>
      <c r="AI696" s="1095"/>
      <c r="AJ696" s="1095"/>
      <c r="AK696" s="1095"/>
      <c r="AL696" s="1096"/>
      <c r="AM696" s="1076">
        <f t="shared" ref="AM696:AM718" si="55">IF($AH696&gt;0,($AC696/$AV696), "")</f>
        <v>0.5</v>
      </c>
      <c r="AN696" s="1077"/>
      <c r="AO696" s="1078"/>
      <c r="AV696" s="43">
        <f t="shared" si="47"/>
        <v>1700</v>
      </c>
      <c r="AX696" s="43"/>
      <c r="AY696" s="446">
        <f t="shared" si="48"/>
        <v>9</v>
      </c>
      <c r="AZ696" s="452">
        <f t="shared" si="49"/>
        <v>0.12676056338028169</v>
      </c>
      <c r="BA696" s="453">
        <f t="shared" si="50"/>
        <v>6.3380281690140844E-2</v>
      </c>
      <c r="BB696" s="41"/>
      <c r="BC696" s="41"/>
      <c r="BD696" s="41"/>
      <c r="BE696" s="850">
        <f t="shared" si="51"/>
        <v>9</v>
      </c>
      <c r="BF696" s="854">
        <f t="shared" si="52"/>
        <v>0.12676056338028169</v>
      </c>
      <c r="BG696" s="855">
        <f t="shared" si="53"/>
        <v>6.3380281690140844E-2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9" t="s">
        <v>442</v>
      </c>
      <c r="C697" s="1080"/>
      <c r="D697" s="1080"/>
      <c r="E697" s="1080"/>
      <c r="F697" s="1081"/>
      <c r="G697" s="1082">
        <v>10</v>
      </c>
      <c r="H697" s="1083"/>
      <c r="I697" s="1083"/>
      <c r="J697" s="1084"/>
      <c r="K697" s="1085">
        <f t="shared" si="54"/>
        <v>665</v>
      </c>
      <c r="L697" s="1086"/>
      <c r="M697" s="1086"/>
      <c r="N697" s="1087"/>
      <c r="O697" s="1088">
        <f>1020-Y697</f>
        <v>893</v>
      </c>
      <c r="P697" s="1089"/>
      <c r="Q697" s="1089"/>
      <c r="R697" s="1089"/>
      <c r="S697" s="1090"/>
      <c r="T697" s="1091">
        <f t="shared" si="45"/>
        <v>8930</v>
      </c>
      <c r="U697" s="1092"/>
      <c r="V697" s="1092"/>
      <c r="W697" s="1092"/>
      <c r="X697" s="1093"/>
      <c r="Y697" s="1088">
        <f>Q811</f>
        <v>127</v>
      </c>
      <c r="Z697" s="1089"/>
      <c r="AA697" s="1089"/>
      <c r="AB697" s="1090"/>
      <c r="AC697" s="1091">
        <f t="shared" si="46"/>
        <v>1020</v>
      </c>
      <c r="AD697" s="1092"/>
      <c r="AE697" s="1092"/>
      <c r="AF697" s="1092"/>
      <c r="AG697" s="1093"/>
      <c r="AH697" s="1094">
        <v>0.6</v>
      </c>
      <c r="AI697" s="1095"/>
      <c r="AJ697" s="1095"/>
      <c r="AK697" s="1095"/>
      <c r="AL697" s="1096"/>
      <c r="AM697" s="1076">
        <f t="shared" si="55"/>
        <v>0.6</v>
      </c>
      <c r="AN697" s="1077"/>
      <c r="AO697" s="1078"/>
      <c r="AV697" s="43">
        <f t="shared" si="47"/>
        <v>1700</v>
      </c>
      <c r="AX697" s="41"/>
      <c r="AY697" s="446">
        <f t="shared" si="48"/>
        <v>10</v>
      </c>
      <c r="AZ697" s="452">
        <f t="shared" si="49"/>
        <v>0.14084507042253522</v>
      </c>
      <c r="BA697" s="453">
        <f t="shared" si="50"/>
        <v>8.4507042253521125E-2</v>
      </c>
      <c r="BB697" s="41"/>
      <c r="BC697" s="41"/>
      <c r="BD697" s="41"/>
      <c r="BE697" s="850">
        <f t="shared" si="51"/>
        <v>10</v>
      </c>
      <c r="BF697" s="854">
        <f t="shared" si="52"/>
        <v>0.14084507042253522</v>
      </c>
      <c r="BG697" s="855">
        <f t="shared" si="53"/>
        <v>8.4507042253521125E-2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9"/>
      <c r="C698" s="1080"/>
      <c r="D698" s="1080"/>
      <c r="E698" s="1080"/>
      <c r="F698" s="1081"/>
      <c r="G698" s="1082"/>
      <c r="H698" s="1083"/>
      <c r="I698" s="1083"/>
      <c r="J698" s="1084"/>
      <c r="K698" s="1085"/>
      <c r="L698" s="1086"/>
      <c r="M698" s="1086"/>
      <c r="N698" s="1087"/>
      <c r="O698" s="1088"/>
      <c r="P698" s="1089"/>
      <c r="Q698" s="1089"/>
      <c r="R698" s="1089"/>
      <c r="S698" s="1090"/>
      <c r="T698" s="1091">
        <f t="shared" si="45"/>
        <v>0</v>
      </c>
      <c r="U698" s="1092"/>
      <c r="V698" s="1092"/>
      <c r="W698" s="1092"/>
      <c r="X698" s="1093"/>
      <c r="Y698" s="1088"/>
      <c r="Z698" s="1089"/>
      <c r="AA698" s="1089"/>
      <c r="AB698" s="1090"/>
      <c r="AC698" s="1091">
        <f t="shared" si="46"/>
        <v>0</v>
      </c>
      <c r="AD698" s="1092"/>
      <c r="AE698" s="1092"/>
      <c r="AF698" s="1092"/>
      <c r="AG698" s="1093"/>
      <c r="AH698" s="1094"/>
      <c r="AI698" s="1095"/>
      <c r="AJ698" s="1095"/>
      <c r="AK698" s="1095"/>
      <c r="AL698" s="1096"/>
      <c r="AM698" s="1076" t="str">
        <f t="shared" si="55"/>
        <v/>
      </c>
      <c r="AN698" s="1077"/>
      <c r="AO698" s="1078"/>
      <c r="AV698" s="43" t="str">
        <f t="shared" si="47"/>
        <v>N/A</v>
      </c>
      <c r="AX698" s="41"/>
      <c r="AY698" s="446">
        <f t="shared" si="48"/>
        <v>0</v>
      </c>
      <c r="AZ698" s="452">
        <f t="shared" si="49"/>
        <v>0</v>
      </c>
      <c r="BA698" s="453">
        <f t="shared" si="50"/>
        <v>0</v>
      </c>
      <c r="BB698" s="41"/>
      <c r="BC698" s="41"/>
      <c r="BD698" s="41"/>
      <c r="BE698" s="850">
        <f t="shared" si="51"/>
        <v>0</v>
      </c>
      <c r="BF698" s="854" t="str">
        <f t="shared" si="52"/>
        <v/>
      </c>
      <c r="BG698" s="855" t="str">
        <f t="shared" si="53"/>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9" t="s">
        <v>780</v>
      </c>
      <c r="C699" s="1080"/>
      <c r="D699" s="1080"/>
      <c r="E699" s="1080"/>
      <c r="F699" s="1081"/>
      <c r="G699" s="1082">
        <v>5</v>
      </c>
      <c r="H699" s="1083"/>
      <c r="I699" s="1083"/>
      <c r="J699" s="1084"/>
      <c r="K699" s="1085">
        <f>(887+817+908+839+887)/5</f>
        <v>867.6</v>
      </c>
      <c r="L699" s="1086"/>
      <c r="M699" s="1086"/>
      <c r="N699" s="1087"/>
      <c r="O699" s="1088">
        <f>612.6-Y699</f>
        <v>447.6</v>
      </c>
      <c r="P699" s="1089"/>
      <c r="Q699" s="1089"/>
      <c r="R699" s="1089"/>
      <c r="S699" s="1090"/>
      <c r="T699" s="1091">
        <f t="shared" si="45"/>
        <v>2238</v>
      </c>
      <c r="U699" s="1092"/>
      <c r="V699" s="1092"/>
      <c r="W699" s="1092"/>
      <c r="X699" s="1093"/>
      <c r="Y699" s="1088">
        <f>U811</f>
        <v>165</v>
      </c>
      <c r="Z699" s="1089"/>
      <c r="AA699" s="1089"/>
      <c r="AB699" s="1090"/>
      <c r="AC699" s="1091">
        <f t="shared" si="46"/>
        <v>612.6</v>
      </c>
      <c r="AD699" s="1092"/>
      <c r="AE699" s="1092"/>
      <c r="AF699" s="1092"/>
      <c r="AG699" s="1093"/>
      <c r="AH699" s="1094">
        <v>0.3</v>
      </c>
      <c r="AI699" s="1095"/>
      <c r="AJ699" s="1095"/>
      <c r="AK699" s="1095"/>
      <c r="AL699" s="1096"/>
      <c r="AM699" s="1076">
        <f t="shared" si="55"/>
        <v>0.3</v>
      </c>
      <c r="AN699" s="1077"/>
      <c r="AO699" s="1078"/>
      <c r="AV699" s="43">
        <f t="shared" si="47"/>
        <v>2042</v>
      </c>
      <c r="AX699" s="41"/>
      <c r="AY699" s="446">
        <f t="shared" si="48"/>
        <v>5</v>
      </c>
      <c r="AZ699" s="452">
        <f t="shared" si="49"/>
        <v>7.0422535211267609E-2</v>
      </c>
      <c r="BA699" s="453">
        <f t="shared" si="50"/>
        <v>2.1126760563380281E-2</v>
      </c>
      <c r="BB699" s="41"/>
      <c r="BC699" s="41"/>
      <c r="BD699" s="41"/>
      <c r="BE699" s="850">
        <f t="shared" si="51"/>
        <v>5</v>
      </c>
      <c r="BF699" s="854">
        <f t="shared" si="52"/>
        <v>7.0422535211267609E-2</v>
      </c>
      <c r="BG699" s="855">
        <f t="shared" si="53"/>
        <v>2.1126760563380281E-2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9" t="s">
        <v>780</v>
      </c>
      <c r="C700" s="1080"/>
      <c r="D700" s="1080"/>
      <c r="E700" s="1080"/>
      <c r="F700" s="1081"/>
      <c r="G700" s="1082">
        <v>6</v>
      </c>
      <c r="H700" s="1083"/>
      <c r="I700" s="1083"/>
      <c r="J700" s="1084"/>
      <c r="K700" s="1085">
        <f t="shared" ref="K700:K702" si="56">(887+817+908+839+887)/5</f>
        <v>867.6</v>
      </c>
      <c r="L700" s="1086"/>
      <c r="M700" s="1086"/>
      <c r="N700" s="1087"/>
      <c r="O700" s="1088">
        <f>1021-Y700</f>
        <v>856</v>
      </c>
      <c r="P700" s="1089"/>
      <c r="Q700" s="1089"/>
      <c r="R700" s="1089"/>
      <c r="S700" s="1090"/>
      <c r="T700" s="1091">
        <f t="shared" si="45"/>
        <v>5136</v>
      </c>
      <c r="U700" s="1092"/>
      <c r="V700" s="1092"/>
      <c r="W700" s="1092"/>
      <c r="X700" s="1093"/>
      <c r="Y700" s="1088">
        <v>165</v>
      </c>
      <c r="Z700" s="1089"/>
      <c r="AA700" s="1089"/>
      <c r="AB700" s="1090"/>
      <c r="AC700" s="1091">
        <f t="shared" si="46"/>
        <v>1021</v>
      </c>
      <c r="AD700" s="1092"/>
      <c r="AE700" s="1092"/>
      <c r="AF700" s="1092"/>
      <c r="AG700" s="1093"/>
      <c r="AH700" s="1094">
        <v>0.5</v>
      </c>
      <c r="AI700" s="1095"/>
      <c r="AJ700" s="1095"/>
      <c r="AK700" s="1095"/>
      <c r="AL700" s="1096"/>
      <c r="AM700" s="1076">
        <f t="shared" si="55"/>
        <v>0.5</v>
      </c>
      <c r="AN700" s="1077"/>
      <c r="AO700" s="1078"/>
      <c r="AV700" s="43">
        <f t="shared" si="47"/>
        <v>2042</v>
      </c>
      <c r="AX700" s="41"/>
      <c r="AY700" s="446">
        <f t="shared" si="48"/>
        <v>6</v>
      </c>
      <c r="AZ700" s="452">
        <f t="shared" si="49"/>
        <v>8.4507042253521125E-2</v>
      </c>
      <c r="BA700" s="453">
        <f t="shared" si="50"/>
        <v>4.2253521126760563E-2</v>
      </c>
      <c r="BB700" s="41"/>
      <c r="BC700" s="41"/>
      <c r="BD700" s="41"/>
      <c r="BE700" s="850">
        <f t="shared" si="51"/>
        <v>6</v>
      </c>
      <c r="BF700" s="854">
        <f t="shared" si="52"/>
        <v>8.4507042253521125E-2</v>
      </c>
      <c r="BG700" s="855">
        <f t="shared" si="53"/>
        <v>4.2253521126760563E-2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9" t="s">
        <v>780</v>
      </c>
      <c r="C701" s="1080"/>
      <c r="D701" s="1080"/>
      <c r="E701" s="1080"/>
      <c r="F701" s="1081"/>
      <c r="G701" s="1082">
        <v>7</v>
      </c>
      <c r="H701" s="1083"/>
      <c r="I701" s="1083"/>
      <c r="J701" s="1084"/>
      <c r="K701" s="1085">
        <f t="shared" si="56"/>
        <v>867.6</v>
      </c>
      <c r="L701" s="1086"/>
      <c r="M701" s="1086"/>
      <c r="N701" s="1087"/>
      <c r="O701" s="1088">
        <f>1021-Y701</f>
        <v>856</v>
      </c>
      <c r="P701" s="1089"/>
      <c r="Q701" s="1089"/>
      <c r="R701" s="1089"/>
      <c r="S701" s="1090"/>
      <c r="T701" s="1091">
        <f t="shared" si="45"/>
        <v>5992</v>
      </c>
      <c r="U701" s="1092"/>
      <c r="V701" s="1092"/>
      <c r="W701" s="1092"/>
      <c r="X701" s="1093"/>
      <c r="Y701" s="1088">
        <f>U811</f>
        <v>165</v>
      </c>
      <c r="Z701" s="1089"/>
      <c r="AA701" s="1089"/>
      <c r="AB701" s="1090"/>
      <c r="AC701" s="1091">
        <f t="shared" si="46"/>
        <v>1021</v>
      </c>
      <c r="AD701" s="1092"/>
      <c r="AE701" s="1092"/>
      <c r="AF701" s="1092"/>
      <c r="AG701" s="1093"/>
      <c r="AH701" s="1094">
        <v>0.5</v>
      </c>
      <c r="AI701" s="1095"/>
      <c r="AJ701" s="1095"/>
      <c r="AK701" s="1095"/>
      <c r="AL701" s="1096"/>
      <c r="AM701" s="1076">
        <f t="shared" si="55"/>
        <v>0.5</v>
      </c>
      <c r="AN701" s="1077"/>
      <c r="AO701" s="1078"/>
      <c r="AV701" s="43">
        <f t="shared" si="47"/>
        <v>2042</v>
      </c>
      <c r="AX701" s="41"/>
      <c r="AY701" s="446">
        <f t="shared" si="48"/>
        <v>7</v>
      </c>
      <c r="AZ701" s="452">
        <f t="shared" si="49"/>
        <v>9.8591549295774641E-2</v>
      </c>
      <c r="BA701" s="453">
        <f t="shared" si="50"/>
        <v>4.9295774647887321E-2</v>
      </c>
      <c r="BB701" s="41"/>
      <c r="BC701" s="41"/>
      <c r="BD701" s="41"/>
      <c r="BE701" s="850">
        <f t="shared" si="51"/>
        <v>7</v>
      </c>
      <c r="BF701" s="854">
        <f t="shared" si="52"/>
        <v>9.8591549295774641E-2</v>
      </c>
      <c r="BG701" s="855">
        <f t="shared" si="53"/>
        <v>4.9295774647887321E-2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9" t="s">
        <v>780</v>
      </c>
      <c r="C702" s="1080"/>
      <c r="D702" s="1080"/>
      <c r="E702" s="1080"/>
      <c r="F702" s="1081"/>
      <c r="G702" s="1082">
        <v>11</v>
      </c>
      <c r="H702" s="1083"/>
      <c r="I702" s="1083"/>
      <c r="J702" s="1084"/>
      <c r="K702" s="1085">
        <f t="shared" si="56"/>
        <v>867.6</v>
      </c>
      <c r="L702" s="1086"/>
      <c r="M702" s="1086"/>
      <c r="N702" s="1087"/>
      <c r="O702" s="1088">
        <f>1225.2-Y702</f>
        <v>1060.2</v>
      </c>
      <c r="P702" s="1089"/>
      <c r="Q702" s="1089"/>
      <c r="R702" s="1089"/>
      <c r="S702" s="1090"/>
      <c r="T702" s="1091">
        <f t="shared" si="45"/>
        <v>11662.2</v>
      </c>
      <c r="U702" s="1092"/>
      <c r="V702" s="1092"/>
      <c r="W702" s="1092"/>
      <c r="X702" s="1093"/>
      <c r="Y702" s="1088">
        <f>U811</f>
        <v>165</v>
      </c>
      <c r="Z702" s="1089"/>
      <c r="AA702" s="1089"/>
      <c r="AB702" s="1090"/>
      <c r="AC702" s="1091">
        <f t="shared" si="46"/>
        <v>1225.2</v>
      </c>
      <c r="AD702" s="1092"/>
      <c r="AE702" s="1092"/>
      <c r="AF702" s="1092"/>
      <c r="AG702" s="1093"/>
      <c r="AH702" s="1094">
        <v>0.6</v>
      </c>
      <c r="AI702" s="1095"/>
      <c r="AJ702" s="1095"/>
      <c r="AK702" s="1095"/>
      <c r="AL702" s="1096"/>
      <c r="AM702" s="1076">
        <f t="shared" si="55"/>
        <v>0.6</v>
      </c>
      <c r="AN702" s="1077"/>
      <c r="AO702" s="1078"/>
      <c r="AV702" s="43">
        <f t="shared" si="47"/>
        <v>2042</v>
      </c>
      <c r="AX702" s="41"/>
      <c r="AY702" s="446">
        <f t="shared" si="48"/>
        <v>11</v>
      </c>
      <c r="AZ702" s="452">
        <f t="shared" si="49"/>
        <v>0.15492957746478872</v>
      </c>
      <c r="BA702" s="453">
        <f t="shared" si="50"/>
        <v>9.2957746478873227E-2</v>
      </c>
      <c r="BB702" s="41"/>
      <c r="BC702" s="41"/>
      <c r="BD702" s="41"/>
      <c r="BE702" s="850">
        <f t="shared" si="51"/>
        <v>11</v>
      </c>
      <c r="BF702" s="854">
        <f t="shared" si="52"/>
        <v>0.15492957746478872</v>
      </c>
      <c r="BG702" s="855">
        <f t="shared" si="53"/>
        <v>9.2957746478873227E-2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5"/>
        <v>0</v>
      </c>
      <c r="U703" s="1092"/>
      <c r="V703" s="1092"/>
      <c r="W703" s="1092"/>
      <c r="X703" s="1093"/>
      <c r="Y703" s="1088"/>
      <c r="Z703" s="1089"/>
      <c r="AA703" s="1089"/>
      <c r="AB703" s="1090"/>
      <c r="AC703" s="1091">
        <f t="shared" si="46"/>
        <v>0</v>
      </c>
      <c r="AD703" s="1092"/>
      <c r="AE703" s="1092"/>
      <c r="AF703" s="1092"/>
      <c r="AG703" s="1093"/>
      <c r="AH703" s="1094"/>
      <c r="AI703" s="1095"/>
      <c r="AJ703" s="1095"/>
      <c r="AK703" s="1095"/>
      <c r="AL703" s="1096"/>
      <c r="AM703" s="1076" t="str">
        <f t="shared" si="55"/>
        <v/>
      </c>
      <c r="AN703" s="1077"/>
      <c r="AO703" s="1078"/>
      <c r="AV703" s="43" t="str">
        <f t="shared" si="47"/>
        <v>N/A</v>
      </c>
      <c r="AX703" s="41"/>
      <c r="AY703" s="446">
        <f t="shared" si="48"/>
        <v>0</v>
      </c>
      <c r="AZ703" s="452">
        <f t="shared" si="49"/>
        <v>0</v>
      </c>
      <c r="BA703" s="453">
        <f t="shared" si="50"/>
        <v>0</v>
      </c>
      <c r="BB703" s="41"/>
      <c r="BC703" s="41"/>
      <c r="BD703" s="41"/>
      <c r="BE703" s="850">
        <f t="shared" si="51"/>
        <v>0</v>
      </c>
      <c r="BF703" s="854" t="str">
        <f t="shared" si="52"/>
        <v/>
      </c>
      <c r="BG703" s="855"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9" t="s">
        <v>781</v>
      </c>
      <c r="C704" s="1080"/>
      <c r="D704" s="1080"/>
      <c r="E704" s="1080"/>
      <c r="F704" s="1081"/>
      <c r="G704" s="1082">
        <v>5</v>
      </c>
      <c r="H704" s="1083"/>
      <c r="I704" s="1083"/>
      <c r="J704" s="1084"/>
      <c r="K704" s="1085">
        <f>(1156+1086+1069)/3</f>
        <v>1103.6666666666667</v>
      </c>
      <c r="L704" s="1086"/>
      <c r="M704" s="1086"/>
      <c r="N704" s="1087"/>
      <c r="O704" s="1088">
        <f>707.4-Y704</f>
        <v>516.4</v>
      </c>
      <c r="P704" s="1089"/>
      <c r="Q704" s="1089"/>
      <c r="R704" s="1089"/>
      <c r="S704" s="1090"/>
      <c r="T704" s="1091">
        <f t="shared" si="45"/>
        <v>2582</v>
      </c>
      <c r="U704" s="1092"/>
      <c r="V704" s="1092"/>
      <c r="W704" s="1092"/>
      <c r="X704" s="1093"/>
      <c r="Y704" s="1088">
        <v>191</v>
      </c>
      <c r="Z704" s="1089"/>
      <c r="AA704" s="1089"/>
      <c r="AB704" s="1090"/>
      <c r="AC704" s="1091">
        <f t="shared" si="46"/>
        <v>707.4</v>
      </c>
      <c r="AD704" s="1092"/>
      <c r="AE704" s="1092"/>
      <c r="AF704" s="1092"/>
      <c r="AG704" s="1093"/>
      <c r="AH704" s="1094">
        <v>0.3</v>
      </c>
      <c r="AI704" s="1095"/>
      <c r="AJ704" s="1095"/>
      <c r="AK704" s="1095"/>
      <c r="AL704" s="1096"/>
      <c r="AM704" s="1076">
        <f t="shared" si="55"/>
        <v>0.3</v>
      </c>
      <c r="AN704" s="1077"/>
      <c r="AO704" s="1078"/>
      <c r="AV704" s="43">
        <f t="shared" si="47"/>
        <v>2358</v>
      </c>
      <c r="AX704" s="41"/>
      <c r="AY704" s="446">
        <f t="shared" si="48"/>
        <v>5</v>
      </c>
      <c r="AZ704" s="452">
        <f t="shared" si="49"/>
        <v>7.0422535211267609E-2</v>
      </c>
      <c r="BA704" s="453">
        <f t="shared" si="50"/>
        <v>2.1126760563380281E-2</v>
      </c>
      <c r="BB704" s="41"/>
      <c r="BC704" s="41"/>
      <c r="BD704" s="41"/>
      <c r="BE704" s="850">
        <f t="shared" si="51"/>
        <v>5</v>
      </c>
      <c r="BF704" s="854">
        <f t="shared" si="52"/>
        <v>7.0422535211267609E-2</v>
      </c>
      <c r="BG704" s="855">
        <f t="shared" si="53"/>
        <v>2.1126760563380281E-2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9" t="s">
        <v>781</v>
      </c>
      <c r="C705" s="1080"/>
      <c r="D705" s="1080"/>
      <c r="E705" s="1080"/>
      <c r="F705" s="1081"/>
      <c r="G705" s="1082">
        <v>4</v>
      </c>
      <c r="H705" s="1083"/>
      <c r="I705" s="1083"/>
      <c r="J705" s="1084"/>
      <c r="K705" s="1085">
        <f t="shared" ref="K705:K707" si="57">(1156+1086+1069)/3</f>
        <v>1103.6666666666667</v>
      </c>
      <c r="L705" s="1086"/>
      <c r="M705" s="1086"/>
      <c r="N705" s="1087"/>
      <c r="O705" s="1088">
        <f>1179-Y705</f>
        <v>988</v>
      </c>
      <c r="P705" s="1089"/>
      <c r="Q705" s="1089"/>
      <c r="R705" s="1089"/>
      <c r="S705" s="1090"/>
      <c r="T705" s="1091">
        <f t="shared" si="45"/>
        <v>3952</v>
      </c>
      <c r="U705" s="1092"/>
      <c r="V705" s="1092"/>
      <c r="W705" s="1092"/>
      <c r="X705" s="1093"/>
      <c r="Y705" s="1088">
        <v>191</v>
      </c>
      <c r="Z705" s="1089"/>
      <c r="AA705" s="1089"/>
      <c r="AB705" s="1090"/>
      <c r="AC705" s="1091">
        <f t="shared" si="46"/>
        <v>1179</v>
      </c>
      <c r="AD705" s="1092"/>
      <c r="AE705" s="1092"/>
      <c r="AF705" s="1092"/>
      <c r="AG705" s="1093"/>
      <c r="AH705" s="1094">
        <v>0.5</v>
      </c>
      <c r="AI705" s="1095"/>
      <c r="AJ705" s="1095"/>
      <c r="AK705" s="1095"/>
      <c r="AL705" s="1096"/>
      <c r="AM705" s="1076">
        <f t="shared" si="55"/>
        <v>0.5</v>
      </c>
      <c r="AN705" s="1077"/>
      <c r="AO705" s="1078"/>
      <c r="AV705" s="43">
        <f t="shared" si="47"/>
        <v>2358</v>
      </c>
      <c r="AX705" s="41"/>
      <c r="AY705" s="446">
        <f t="shared" si="48"/>
        <v>4</v>
      </c>
      <c r="AZ705" s="452">
        <f t="shared" si="49"/>
        <v>5.6338028169014086E-2</v>
      </c>
      <c r="BA705" s="453">
        <f t="shared" si="50"/>
        <v>2.8169014084507043E-2</v>
      </c>
      <c r="BB705" s="41"/>
      <c r="BC705" s="41"/>
      <c r="BD705" s="41"/>
      <c r="BE705" s="850">
        <f t="shared" si="51"/>
        <v>4</v>
      </c>
      <c r="BF705" s="854">
        <f t="shared" si="52"/>
        <v>5.6338028169014086E-2</v>
      </c>
      <c r="BG705" s="855">
        <f t="shared" si="53"/>
        <v>2.8169014084507043E-2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9" t="s">
        <v>781</v>
      </c>
      <c r="C706" s="1080"/>
      <c r="D706" s="1080"/>
      <c r="E706" s="1080"/>
      <c r="F706" s="1081"/>
      <c r="G706" s="1082">
        <v>3</v>
      </c>
      <c r="H706" s="1083"/>
      <c r="I706" s="1083"/>
      <c r="J706" s="1084"/>
      <c r="K706" s="1085">
        <f t="shared" si="57"/>
        <v>1103.6666666666667</v>
      </c>
      <c r="L706" s="1086"/>
      <c r="M706" s="1086"/>
      <c r="N706" s="1087"/>
      <c r="O706" s="1088">
        <f>1179-Y706</f>
        <v>988</v>
      </c>
      <c r="P706" s="1089"/>
      <c r="Q706" s="1089"/>
      <c r="R706" s="1089"/>
      <c r="S706" s="1090"/>
      <c r="T706" s="1091">
        <f t="shared" si="45"/>
        <v>2964</v>
      </c>
      <c r="U706" s="1092"/>
      <c r="V706" s="1092"/>
      <c r="W706" s="1092"/>
      <c r="X706" s="1093"/>
      <c r="Y706" s="1088">
        <v>191</v>
      </c>
      <c r="Z706" s="1089"/>
      <c r="AA706" s="1089"/>
      <c r="AB706" s="1090"/>
      <c r="AC706" s="1091">
        <f t="shared" si="46"/>
        <v>1179</v>
      </c>
      <c r="AD706" s="1092"/>
      <c r="AE706" s="1092"/>
      <c r="AF706" s="1092"/>
      <c r="AG706" s="1093"/>
      <c r="AH706" s="1094">
        <v>0.5</v>
      </c>
      <c r="AI706" s="1095"/>
      <c r="AJ706" s="1095"/>
      <c r="AK706" s="1095"/>
      <c r="AL706" s="1096"/>
      <c r="AM706" s="1076">
        <f t="shared" si="55"/>
        <v>0.5</v>
      </c>
      <c r="AN706" s="1077"/>
      <c r="AO706" s="1078"/>
      <c r="AV706" s="43">
        <f t="shared" si="47"/>
        <v>2358</v>
      </c>
      <c r="AX706" s="41"/>
      <c r="AY706" s="446">
        <f t="shared" si="48"/>
        <v>3</v>
      </c>
      <c r="AZ706" s="452">
        <f t="shared" si="49"/>
        <v>4.2253521126760563E-2</v>
      </c>
      <c r="BA706" s="453">
        <f t="shared" si="50"/>
        <v>2.1126760563380281E-2</v>
      </c>
      <c r="BB706" s="41"/>
      <c r="BC706" s="41"/>
      <c r="BD706" s="41"/>
      <c r="BE706" s="850">
        <f t="shared" si="51"/>
        <v>3</v>
      </c>
      <c r="BF706" s="854">
        <f t="shared" si="52"/>
        <v>4.2253521126760563E-2</v>
      </c>
      <c r="BG706" s="855">
        <f t="shared" si="53"/>
        <v>2.1126760563380281E-2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9" t="s">
        <v>781</v>
      </c>
      <c r="C707" s="1080"/>
      <c r="D707" s="1080"/>
      <c r="E707" s="1080"/>
      <c r="F707" s="1081"/>
      <c r="G707" s="1082">
        <v>6</v>
      </c>
      <c r="H707" s="1083"/>
      <c r="I707" s="1083"/>
      <c r="J707" s="1084"/>
      <c r="K707" s="1085">
        <f t="shared" si="57"/>
        <v>1103.6666666666667</v>
      </c>
      <c r="L707" s="1086"/>
      <c r="M707" s="1086"/>
      <c r="N707" s="1087"/>
      <c r="O707" s="1088">
        <f>1414.8-Y707</f>
        <v>1223.8</v>
      </c>
      <c r="P707" s="1089"/>
      <c r="Q707" s="1089"/>
      <c r="R707" s="1089"/>
      <c r="S707" s="1090"/>
      <c r="T707" s="1091">
        <f t="shared" si="45"/>
        <v>7342.7999999999993</v>
      </c>
      <c r="U707" s="1092"/>
      <c r="V707" s="1092"/>
      <c r="W707" s="1092"/>
      <c r="X707" s="1093"/>
      <c r="Y707" s="1088">
        <v>191</v>
      </c>
      <c r="Z707" s="1089"/>
      <c r="AA707" s="1089"/>
      <c r="AB707" s="1090"/>
      <c r="AC707" s="1091">
        <f t="shared" si="46"/>
        <v>1414.8</v>
      </c>
      <c r="AD707" s="1092"/>
      <c r="AE707" s="1092"/>
      <c r="AF707" s="1092"/>
      <c r="AG707" s="1093"/>
      <c r="AH707" s="1094">
        <v>0.6</v>
      </c>
      <c r="AI707" s="1095"/>
      <c r="AJ707" s="1095"/>
      <c r="AK707" s="1095"/>
      <c r="AL707" s="1096"/>
      <c r="AM707" s="1076">
        <f t="shared" si="55"/>
        <v>0.6</v>
      </c>
      <c r="AN707" s="1077"/>
      <c r="AO707" s="1078"/>
      <c r="AV707" s="43">
        <f t="shared" si="47"/>
        <v>2358</v>
      </c>
      <c r="AX707" s="41"/>
      <c r="AY707" s="446">
        <f t="shared" si="48"/>
        <v>6</v>
      </c>
      <c r="AZ707" s="452">
        <f t="shared" si="49"/>
        <v>8.4507042253521125E-2</v>
      </c>
      <c r="BA707" s="453">
        <f t="shared" si="50"/>
        <v>5.0704225352112671E-2</v>
      </c>
      <c r="BB707" s="41"/>
      <c r="BC707" s="41"/>
      <c r="BD707" s="41"/>
      <c r="BE707" s="850">
        <f t="shared" si="51"/>
        <v>6</v>
      </c>
      <c r="BF707" s="854">
        <f t="shared" si="52"/>
        <v>8.4507042253521125E-2</v>
      </c>
      <c r="BG707" s="855">
        <f t="shared" si="53"/>
        <v>5.0704225352112671E-2</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5"/>
        <v/>
      </c>
      <c r="AN708" s="1077"/>
      <c r="AO708" s="1078"/>
      <c r="AV708" s="43" t="str">
        <f t="shared" si="47"/>
        <v>N/A</v>
      </c>
      <c r="AX708" s="41"/>
      <c r="AY708" s="446">
        <f t="shared" si="48"/>
        <v>0</v>
      </c>
      <c r="AZ708" s="452">
        <f t="shared" si="49"/>
        <v>0</v>
      </c>
      <c r="BA708" s="453">
        <f t="shared" si="50"/>
        <v>0</v>
      </c>
      <c r="BB708" s="41"/>
      <c r="BC708" s="41"/>
      <c r="BD708" s="41"/>
      <c r="BE708" s="850">
        <f t="shared" si="51"/>
        <v>0</v>
      </c>
      <c r="BF708" s="854" t="str">
        <f t="shared" si="52"/>
        <v/>
      </c>
      <c r="BG708" s="855"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5"/>
        <v/>
      </c>
      <c r="AN709" s="1077"/>
      <c r="AO709" s="1078"/>
      <c r="AV709" s="43" t="str">
        <f t="shared" si="47"/>
        <v>N/A</v>
      </c>
      <c r="AX709" s="41"/>
      <c r="AY709" s="446">
        <f t="shared" si="48"/>
        <v>0</v>
      </c>
      <c r="AZ709" s="452">
        <f t="shared" si="49"/>
        <v>0</v>
      </c>
      <c r="BA709" s="453">
        <f t="shared" si="50"/>
        <v>0</v>
      </c>
      <c r="BB709" s="41"/>
      <c r="BC709" s="41"/>
      <c r="BD709" s="41"/>
      <c r="BE709" s="850">
        <f t="shared" si="51"/>
        <v>0</v>
      </c>
      <c r="BF709" s="854" t="str">
        <f t="shared" si="52"/>
        <v/>
      </c>
      <c r="BG709" s="855"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5"/>
        <v/>
      </c>
      <c r="AN710" s="1077"/>
      <c r="AO710" s="1078"/>
      <c r="AV710" s="43" t="str">
        <f t="shared" si="47"/>
        <v>N/A</v>
      </c>
      <c r="AX710" s="41"/>
      <c r="AY710" s="446">
        <f t="shared" si="48"/>
        <v>0</v>
      </c>
      <c r="AZ710" s="452">
        <f t="shared" si="49"/>
        <v>0</v>
      </c>
      <c r="BA710" s="453">
        <f t="shared" si="50"/>
        <v>0</v>
      </c>
      <c r="BB710" s="41"/>
      <c r="BC710" s="41"/>
      <c r="BD710" s="41"/>
      <c r="BE710" s="850">
        <f t="shared" si="51"/>
        <v>0</v>
      </c>
      <c r="BF710" s="854" t="str">
        <f t="shared" si="52"/>
        <v/>
      </c>
      <c r="BG710" s="855"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5"/>
        <v/>
      </c>
      <c r="AN711" s="1077"/>
      <c r="AO711" s="1078"/>
      <c r="AV711" s="43" t="str">
        <f t="shared" si="47"/>
        <v>N/A</v>
      </c>
      <c r="AX711" s="41"/>
      <c r="AY711" s="446">
        <f t="shared" si="48"/>
        <v>0</v>
      </c>
      <c r="AZ711" s="452">
        <f t="shared" si="49"/>
        <v>0</v>
      </c>
      <c r="BA711" s="453">
        <f t="shared" si="50"/>
        <v>0</v>
      </c>
      <c r="BB711" s="41"/>
      <c r="BC711" s="41"/>
      <c r="BD711" s="41"/>
      <c r="BE711" s="850">
        <f t="shared" si="51"/>
        <v>0</v>
      </c>
      <c r="BF711" s="854" t="str">
        <f t="shared" si="52"/>
        <v/>
      </c>
      <c r="BG711" s="855"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5"/>
        <v/>
      </c>
      <c r="AN712" s="1077"/>
      <c r="AO712" s="1078"/>
      <c r="AV712" s="43" t="str">
        <f t="shared" si="47"/>
        <v>N/A</v>
      </c>
      <c r="AX712" s="41"/>
      <c r="AY712" s="446">
        <f t="shared" si="48"/>
        <v>0</v>
      </c>
      <c r="AZ712" s="452">
        <f t="shared" si="49"/>
        <v>0</v>
      </c>
      <c r="BA712" s="453">
        <f t="shared" si="50"/>
        <v>0</v>
      </c>
      <c r="BB712" s="43"/>
      <c r="BC712" s="43"/>
      <c r="BD712" s="43"/>
      <c r="BE712" s="850">
        <f t="shared" si="51"/>
        <v>0</v>
      </c>
      <c r="BF712" s="854" t="str">
        <f t="shared" si="52"/>
        <v/>
      </c>
      <c r="BG712" s="855"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5"/>
        <v/>
      </c>
      <c r="AN713" s="1077"/>
      <c r="AO713" s="1078"/>
      <c r="AV713" s="43" t="str">
        <f t="shared" si="47"/>
        <v>N/A</v>
      </c>
      <c r="AX713" s="41"/>
      <c r="AY713" s="446">
        <f t="shared" si="48"/>
        <v>0</v>
      </c>
      <c r="AZ713" s="452">
        <f t="shared" si="49"/>
        <v>0</v>
      </c>
      <c r="BA713" s="453">
        <f t="shared" si="50"/>
        <v>0</v>
      </c>
      <c r="BB713" s="43"/>
      <c r="BC713" s="43"/>
      <c r="BD713" s="43"/>
      <c r="BE713" s="850">
        <f t="shared" si="51"/>
        <v>0</v>
      </c>
      <c r="BF713" s="854" t="str">
        <f t="shared" si="52"/>
        <v/>
      </c>
      <c r="BG713" s="855"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5"/>
        <v/>
      </c>
      <c r="AN714" s="1077"/>
      <c r="AO714" s="1078"/>
      <c r="AV714" s="43" t="str">
        <f t="shared" si="47"/>
        <v>N/A</v>
      </c>
      <c r="AX714" s="41"/>
      <c r="AY714" s="446">
        <f t="shared" si="48"/>
        <v>0</v>
      </c>
      <c r="AZ714" s="452">
        <f t="shared" si="49"/>
        <v>0</v>
      </c>
      <c r="BA714" s="453">
        <f t="shared" si="50"/>
        <v>0</v>
      </c>
      <c r="BB714" s="43"/>
      <c r="BC714" s="43"/>
      <c r="BD714" s="43"/>
      <c r="BE714" s="850">
        <f t="shared" si="51"/>
        <v>0</v>
      </c>
      <c r="BF714" s="854" t="str">
        <f t="shared" si="52"/>
        <v/>
      </c>
      <c r="BG714" s="855"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5"/>
        <v/>
      </c>
      <c r="AN715" s="1077"/>
      <c r="AO715" s="1078"/>
      <c r="AV715" s="43" t="str">
        <f t="shared" si="47"/>
        <v>N/A</v>
      </c>
      <c r="AX715" s="41"/>
      <c r="AY715" s="446">
        <f t="shared" si="48"/>
        <v>0</v>
      </c>
      <c r="AZ715" s="452">
        <f t="shared" si="49"/>
        <v>0</v>
      </c>
      <c r="BA715" s="453">
        <f t="shared" si="50"/>
        <v>0</v>
      </c>
      <c r="BB715" s="43"/>
      <c r="BC715" s="43"/>
      <c r="BD715" s="43"/>
      <c r="BE715" s="850">
        <f t="shared" si="51"/>
        <v>0</v>
      </c>
      <c r="BF715" s="854" t="str">
        <f t="shared" si="52"/>
        <v/>
      </c>
      <c r="BG715" s="855"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5"/>
        <v/>
      </c>
      <c r="AN716" s="1077"/>
      <c r="AO716" s="1078"/>
      <c r="AV716" s="43" t="str">
        <f t="shared" si="47"/>
        <v>N/A</v>
      </c>
      <c r="AX716" s="41"/>
      <c r="AY716" s="446">
        <f t="shared" si="48"/>
        <v>0</v>
      </c>
      <c r="AZ716" s="452">
        <f t="shared" si="49"/>
        <v>0</v>
      </c>
      <c r="BA716" s="453">
        <f t="shared" si="50"/>
        <v>0</v>
      </c>
      <c r="BB716" s="43"/>
      <c r="BC716" s="43"/>
      <c r="BD716" s="43"/>
      <c r="BE716" s="850">
        <f t="shared" si="51"/>
        <v>0</v>
      </c>
      <c r="BF716" s="854" t="str">
        <f t="shared" si="52"/>
        <v/>
      </c>
      <c r="BG716" s="855"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5"/>
        <v/>
      </c>
      <c r="AN717" s="1077"/>
      <c r="AO717" s="1078"/>
      <c r="AV717" s="43" t="str">
        <f t="shared" si="47"/>
        <v>N/A</v>
      </c>
      <c r="AX717" s="41"/>
      <c r="AY717" s="446">
        <f t="shared" si="48"/>
        <v>0</v>
      </c>
      <c r="AZ717" s="452">
        <f t="shared" si="49"/>
        <v>0</v>
      </c>
      <c r="BA717" s="453">
        <f t="shared" si="50"/>
        <v>0</v>
      </c>
      <c r="BB717" s="41"/>
      <c r="BC717" s="41"/>
      <c r="BD717" s="41"/>
      <c r="BE717" s="850">
        <f t="shared" si="51"/>
        <v>0</v>
      </c>
      <c r="BF717" s="854" t="str">
        <f t="shared" si="52"/>
        <v/>
      </c>
      <c r="BG717" s="855"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5"/>
        <v/>
      </c>
      <c r="AN718" s="1077"/>
      <c r="AO718" s="1078"/>
      <c r="AV718" s="43" t="str">
        <f t="shared" si="47"/>
        <v>N/A</v>
      </c>
      <c r="AX718" s="41"/>
      <c r="AY718" s="446">
        <f t="shared" si="48"/>
        <v>0</v>
      </c>
      <c r="AZ718" s="452">
        <f t="shared" si="49"/>
        <v>0</v>
      </c>
      <c r="BA718" s="453">
        <f t="shared" si="50"/>
        <v>0</v>
      </c>
      <c r="BB718" s="41"/>
      <c r="BC718" s="41"/>
      <c r="BD718" s="41"/>
      <c r="BE718" s="850">
        <f t="shared" si="51"/>
        <v>0</v>
      </c>
      <c r="BF718" s="854" t="str">
        <f t="shared" si="52"/>
        <v/>
      </c>
      <c r="BG718" s="855"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8">G719*O719</f>
        <v>0</v>
      </c>
      <c r="U719" s="1092"/>
      <c r="V719" s="1092"/>
      <c r="W719" s="1092"/>
      <c r="X719" s="1093"/>
      <c r="Y719" s="1088"/>
      <c r="Z719" s="1089"/>
      <c r="AA719" s="1089"/>
      <c r="AB719" s="1090"/>
      <c r="AC719" s="1091">
        <f t="shared" ref="AC719:AC728" si="59">O719+Y719</f>
        <v>0</v>
      </c>
      <c r="AD719" s="1092"/>
      <c r="AE719" s="1092"/>
      <c r="AF719" s="1092"/>
      <c r="AG719" s="1093"/>
      <c r="AH719" s="1094"/>
      <c r="AI719" s="1095"/>
      <c r="AJ719" s="1095"/>
      <c r="AK719" s="1095"/>
      <c r="AL719" s="1096"/>
      <c r="AM719" s="1076" t="str">
        <f t="shared" ref="AM719:AM728" si="60">IF($AH719&gt;0,($AC719/$AV719), "")</f>
        <v/>
      </c>
      <c r="AN719" s="1077"/>
      <c r="AO719" s="1078"/>
      <c r="AV719" s="43" t="str">
        <f t="shared" si="47"/>
        <v>N/A</v>
      </c>
      <c r="AY719" s="446">
        <f t="shared" ref="AY719:AY728" si="61">G719</f>
        <v>0</v>
      </c>
      <c r="AZ719" s="452">
        <f t="shared" ref="AZ719:AZ727" si="62">IF($AY$730=0,"",AY719/$AY$730)</f>
        <v>0</v>
      </c>
      <c r="BA719" s="453">
        <f t="shared" ref="BA719:BA728" si="63">IF(AZ719="","",AZ719*AH719)</f>
        <v>0</v>
      </c>
      <c r="BB719" s="41"/>
      <c r="BC719" s="41"/>
      <c r="BD719" s="41"/>
      <c r="BE719" s="850">
        <f t="shared" ref="BE719:BE728" si="64">G719</f>
        <v>0</v>
      </c>
      <c r="BF719" s="854" t="str">
        <f t="shared" ref="BF719:BF728" si="65">IF(BE719=0,"",BE719/$BE$730)</f>
        <v/>
      </c>
      <c r="BG719" s="855" t="str">
        <f t="shared" ref="BG719:BG728" si="66">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8"/>
        <v>0</v>
      </c>
      <c r="U720" s="1092"/>
      <c r="V720" s="1092"/>
      <c r="W720" s="1092"/>
      <c r="X720" s="1093"/>
      <c r="Y720" s="1088"/>
      <c r="Z720" s="1089"/>
      <c r="AA720" s="1089"/>
      <c r="AB720" s="1090"/>
      <c r="AC720" s="1091">
        <f t="shared" si="59"/>
        <v>0</v>
      </c>
      <c r="AD720" s="1092"/>
      <c r="AE720" s="1092"/>
      <c r="AF720" s="1092"/>
      <c r="AG720" s="1093"/>
      <c r="AH720" s="1094"/>
      <c r="AI720" s="1095"/>
      <c r="AJ720" s="1095"/>
      <c r="AK720" s="1095"/>
      <c r="AL720" s="1096"/>
      <c r="AM720" s="1076" t="str">
        <f t="shared" si="60"/>
        <v/>
      </c>
      <c r="AN720" s="1077"/>
      <c r="AO720" s="1078"/>
      <c r="AV720" s="43" t="str">
        <f t="shared" si="47"/>
        <v>N/A</v>
      </c>
      <c r="AY720" s="446">
        <f t="shared" si="61"/>
        <v>0</v>
      </c>
      <c r="AZ720" s="452">
        <f t="shared" si="62"/>
        <v>0</v>
      </c>
      <c r="BA720" s="453">
        <f t="shared" si="63"/>
        <v>0</v>
      </c>
      <c r="BB720" s="41"/>
      <c r="BC720" s="41"/>
      <c r="BD720" s="41"/>
      <c r="BE720" s="850">
        <f t="shared" si="64"/>
        <v>0</v>
      </c>
      <c r="BF720" s="854" t="str">
        <f t="shared" si="65"/>
        <v/>
      </c>
      <c r="BG720" s="855" t="str">
        <f t="shared" si="66"/>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8"/>
        <v>0</v>
      </c>
      <c r="U721" s="1092"/>
      <c r="V721" s="1092"/>
      <c r="W721" s="1092"/>
      <c r="X721" s="1093"/>
      <c r="Y721" s="1088"/>
      <c r="Z721" s="1089"/>
      <c r="AA721" s="1089"/>
      <c r="AB721" s="1090"/>
      <c r="AC721" s="1091">
        <f t="shared" si="59"/>
        <v>0</v>
      </c>
      <c r="AD721" s="1092"/>
      <c r="AE721" s="1092"/>
      <c r="AF721" s="1092"/>
      <c r="AG721" s="1093"/>
      <c r="AH721" s="1094"/>
      <c r="AI721" s="1095"/>
      <c r="AJ721" s="1095"/>
      <c r="AK721" s="1095"/>
      <c r="AL721" s="1096"/>
      <c r="AM721" s="1076" t="str">
        <f t="shared" si="60"/>
        <v/>
      </c>
      <c r="AN721" s="1077"/>
      <c r="AO721" s="1078"/>
      <c r="AV721" s="43" t="str">
        <f t="shared" si="47"/>
        <v>N/A</v>
      </c>
      <c r="AY721" s="446">
        <f t="shared" si="61"/>
        <v>0</v>
      </c>
      <c r="AZ721" s="452">
        <f t="shared" si="62"/>
        <v>0</v>
      </c>
      <c r="BA721" s="453">
        <f t="shared" si="63"/>
        <v>0</v>
      </c>
      <c r="BB721" s="41"/>
      <c r="BC721" s="41"/>
      <c r="BD721" s="41"/>
      <c r="BE721" s="850">
        <f t="shared" si="64"/>
        <v>0</v>
      </c>
      <c r="BF721" s="854" t="str">
        <f t="shared" si="65"/>
        <v/>
      </c>
      <c r="BG721" s="855" t="str">
        <f t="shared" si="66"/>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8"/>
        <v>0</v>
      </c>
      <c r="U722" s="1092"/>
      <c r="V722" s="1092"/>
      <c r="W722" s="1092"/>
      <c r="X722" s="1093"/>
      <c r="Y722" s="1088"/>
      <c r="Z722" s="1089"/>
      <c r="AA722" s="1089"/>
      <c r="AB722" s="1090"/>
      <c r="AC722" s="1091">
        <f t="shared" si="59"/>
        <v>0</v>
      </c>
      <c r="AD722" s="1092"/>
      <c r="AE722" s="1092"/>
      <c r="AF722" s="1092"/>
      <c r="AG722" s="1093"/>
      <c r="AH722" s="1094"/>
      <c r="AI722" s="1095"/>
      <c r="AJ722" s="1095"/>
      <c r="AK722" s="1095"/>
      <c r="AL722" s="1096"/>
      <c r="AM722" s="1076" t="str">
        <f t="shared" si="60"/>
        <v/>
      </c>
      <c r="AN722" s="1077"/>
      <c r="AO722" s="1078"/>
      <c r="AV722" s="43" t="str">
        <f t="shared" si="47"/>
        <v>N/A</v>
      </c>
      <c r="AY722" s="446">
        <f t="shared" si="61"/>
        <v>0</v>
      </c>
      <c r="AZ722" s="452">
        <f t="shared" si="62"/>
        <v>0</v>
      </c>
      <c r="BA722" s="453">
        <f t="shared" si="63"/>
        <v>0</v>
      </c>
      <c r="BB722" s="41"/>
      <c r="BC722" s="41"/>
      <c r="BD722" s="41"/>
      <c r="BE722" s="850">
        <f t="shared" si="64"/>
        <v>0</v>
      </c>
      <c r="BF722" s="854" t="str">
        <f t="shared" si="65"/>
        <v/>
      </c>
      <c r="BG722" s="855" t="str">
        <f t="shared" si="66"/>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8"/>
        <v>0</v>
      </c>
      <c r="U723" s="1092"/>
      <c r="V723" s="1092"/>
      <c r="W723" s="1092"/>
      <c r="X723" s="1093"/>
      <c r="Y723" s="1088"/>
      <c r="Z723" s="1089"/>
      <c r="AA723" s="1089"/>
      <c r="AB723" s="1090"/>
      <c r="AC723" s="1091">
        <f t="shared" si="59"/>
        <v>0</v>
      </c>
      <c r="AD723" s="1092"/>
      <c r="AE723" s="1092"/>
      <c r="AF723" s="1092"/>
      <c r="AG723" s="1093"/>
      <c r="AH723" s="1094"/>
      <c r="AI723" s="1095"/>
      <c r="AJ723" s="1095"/>
      <c r="AK723" s="1095"/>
      <c r="AL723" s="1096"/>
      <c r="AM723" s="1076" t="str">
        <f t="shared" si="60"/>
        <v/>
      </c>
      <c r="AN723" s="1077"/>
      <c r="AO723" s="1078"/>
      <c r="AV723" s="43" t="str">
        <f t="shared" si="47"/>
        <v>N/A</v>
      </c>
      <c r="AY723" s="446">
        <f t="shared" si="61"/>
        <v>0</v>
      </c>
      <c r="AZ723" s="452">
        <f t="shared" si="62"/>
        <v>0</v>
      </c>
      <c r="BA723" s="453">
        <f t="shared" si="63"/>
        <v>0</v>
      </c>
      <c r="BB723" s="41"/>
      <c r="BC723" s="41"/>
      <c r="BD723" s="41"/>
      <c r="BE723" s="850">
        <f t="shared" si="64"/>
        <v>0</v>
      </c>
      <c r="BF723" s="854" t="str">
        <f t="shared" si="65"/>
        <v/>
      </c>
      <c r="BG723" s="855" t="str">
        <f t="shared" si="66"/>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8"/>
        <v>0</v>
      </c>
      <c r="U724" s="1092"/>
      <c r="V724" s="1092"/>
      <c r="W724" s="1092"/>
      <c r="X724" s="1093"/>
      <c r="Y724" s="1088"/>
      <c r="Z724" s="1089"/>
      <c r="AA724" s="1089"/>
      <c r="AB724" s="1090"/>
      <c r="AC724" s="1091">
        <f t="shared" si="59"/>
        <v>0</v>
      </c>
      <c r="AD724" s="1092"/>
      <c r="AE724" s="1092"/>
      <c r="AF724" s="1092"/>
      <c r="AG724" s="1093"/>
      <c r="AH724" s="1094"/>
      <c r="AI724" s="1095"/>
      <c r="AJ724" s="1095"/>
      <c r="AK724" s="1095"/>
      <c r="AL724" s="1096"/>
      <c r="AM724" s="1076" t="str">
        <f t="shared" si="60"/>
        <v/>
      </c>
      <c r="AN724" s="1077"/>
      <c r="AO724" s="1078"/>
      <c r="AV724" s="43" t="str">
        <f t="shared" si="47"/>
        <v>N/A</v>
      </c>
      <c r="AY724" s="446">
        <f t="shared" si="61"/>
        <v>0</v>
      </c>
      <c r="AZ724" s="452">
        <f t="shared" si="62"/>
        <v>0</v>
      </c>
      <c r="BA724" s="453">
        <f t="shared" si="63"/>
        <v>0</v>
      </c>
      <c r="BB724" s="41"/>
      <c r="BC724" s="41"/>
      <c r="BD724" s="41"/>
      <c r="BE724" s="850">
        <f t="shared" si="64"/>
        <v>0</v>
      </c>
      <c r="BF724" s="854" t="str">
        <f t="shared" si="65"/>
        <v/>
      </c>
      <c r="BG724" s="855" t="str">
        <f t="shared" si="66"/>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8"/>
        <v>0</v>
      </c>
      <c r="U725" s="1092"/>
      <c r="V725" s="1092"/>
      <c r="W725" s="1092"/>
      <c r="X725" s="1093"/>
      <c r="Y725" s="1088"/>
      <c r="Z725" s="1089"/>
      <c r="AA725" s="1089"/>
      <c r="AB725" s="1090"/>
      <c r="AC725" s="1091">
        <f t="shared" si="59"/>
        <v>0</v>
      </c>
      <c r="AD725" s="1092"/>
      <c r="AE725" s="1092"/>
      <c r="AF725" s="1092"/>
      <c r="AG725" s="1093"/>
      <c r="AH725" s="1094"/>
      <c r="AI725" s="1095"/>
      <c r="AJ725" s="1095"/>
      <c r="AK725" s="1095"/>
      <c r="AL725" s="1096"/>
      <c r="AM725" s="1076" t="str">
        <f t="shared" si="60"/>
        <v/>
      </c>
      <c r="AN725" s="1077"/>
      <c r="AO725" s="1078"/>
      <c r="AV725" s="43" t="str">
        <f t="shared" si="47"/>
        <v>N/A</v>
      </c>
      <c r="AY725" s="446">
        <f t="shared" si="61"/>
        <v>0</v>
      </c>
      <c r="AZ725" s="452">
        <f t="shared" si="62"/>
        <v>0</v>
      </c>
      <c r="BA725" s="453">
        <f t="shared" si="63"/>
        <v>0</v>
      </c>
      <c r="BB725" s="41"/>
      <c r="BC725" s="41"/>
      <c r="BD725" s="41"/>
      <c r="BE725" s="850">
        <f t="shared" si="64"/>
        <v>0</v>
      </c>
      <c r="BF725" s="854" t="str">
        <f t="shared" si="65"/>
        <v/>
      </c>
      <c r="BG725" s="855" t="str">
        <f t="shared" si="66"/>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8"/>
        <v>0</v>
      </c>
      <c r="U726" s="1092"/>
      <c r="V726" s="1092"/>
      <c r="W726" s="1092"/>
      <c r="X726" s="1093"/>
      <c r="Y726" s="1088"/>
      <c r="Z726" s="1089"/>
      <c r="AA726" s="1089"/>
      <c r="AB726" s="1090"/>
      <c r="AC726" s="1091">
        <f t="shared" si="59"/>
        <v>0</v>
      </c>
      <c r="AD726" s="1092"/>
      <c r="AE726" s="1092"/>
      <c r="AF726" s="1092"/>
      <c r="AG726" s="1093"/>
      <c r="AH726" s="1094"/>
      <c r="AI726" s="1095"/>
      <c r="AJ726" s="1095"/>
      <c r="AK726" s="1095"/>
      <c r="AL726" s="1096"/>
      <c r="AM726" s="1076" t="str">
        <f t="shared" si="60"/>
        <v/>
      </c>
      <c r="AN726" s="1077"/>
      <c r="AO726" s="1078"/>
      <c r="AV726" s="43" t="str">
        <f t="shared" si="47"/>
        <v>N/A</v>
      </c>
      <c r="AY726" s="446">
        <f t="shared" si="61"/>
        <v>0</v>
      </c>
      <c r="AZ726" s="452">
        <f t="shared" si="62"/>
        <v>0</v>
      </c>
      <c r="BA726" s="453">
        <f t="shared" si="63"/>
        <v>0</v>
      </c>
      <c r="BB726" s="41"/>
      <c r="BC726" s="41"/>
      <c r="BD726" s="41"/>
      <c r="BE726" s="850">
        <f t="shared" si="64"/>
        <v>0</v>
      </c>
      <c r="BF726" s="854" t="str">
        <f t="shared" si="65"/>
        <v/>
      </c>
      <c r="BG726" s="855" t="str">
        <f t="shared" si="66"/>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8"/>
        <v>0</v>
      </c>
      <c r="U727" s="1092"/>
      <c r="V727" s="1092"/>
      <c r="W727" s="1092"/>
      <c r="X727" s="1093"/>
      <c r="Y727" s="1088"/>
      <c r="Z727" s="1089"/>
      <c r="AA727" s="1089"/>
      <c r="AB727" s="1090"/>
      <c r="AC727" s="1091">
        <f t="shared" si="59"/>
        <v>0</v>
      </c>
      <c r="AD727" s="1092"/>
      <c r="AE727" s="1092"/>
      <c r="AF727" s="1092"/>
      <c r="AG727" s="1093"/>
      <c r="AH727" s="1094"/>
      <c r="AI727" s="1095"/>
      <c r="AJ727" s="1095"/>
      <c r="AK727" s="1095"/>
      <c r="AL727" s="1096"/>
      <c r="AM727" s="1076" t="str">
        <f t="shared" si="60"/>
        <v/>
      </c>
      <c r="AN727" s="1077"/>
      <c r="AO727" s="1078"/>
      <c r="AV727" s="43" t="str">
        <f t="shared" si="47"/>
        <v>N/A</v>
      </c>
      <c r="AY727" s="446">
        <f t="shared" si="61"/>
        <v>0</v>
      </c>
      <c r="AZ727" s="452">
        <f t="shared" si="62"/>
        <v>0</v>
      </c>
      <c r="BA727" s="453">
        <f t="shared" si="63"/>
        <v>0</v>
      </c>
      <c r="BB727" s="41"/>
      <c r="BC727" s="41"/>
      <c r="BD727" s="41"/>
      <c r="BE727" s="850">
        <f t="shared" si="64"/>
        <v>0</v>
      </c>
      <c r="BF727" s="854" t="str">
        <f t="shared" si="65"/>
        <v/>
      </c>
      <c r="BG727" s="855" t="str">
        <f t="shared" si="66"/>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8"/>
        <v>0</v>
      </c>
      <c r="U728" s="1092"/>
      <c r="V728" s="1092"/>
      <c r="W728" s="1092"/>
      <c r="X728" s="1093"/>
      <c r="Y728" s="1088"/>
      <c r="Z728" s="1089"/>
      <c r="AA728" s="1089"/>
      <c r="AB728" s="1090"/>
      <c r="AC728" s="1091">
        <f t="shared" si="59"/>
        <v>0</v>
      </c>
      <c r="AD728" s="1092"/>
      <c r="AE728" s="1092"/>
      <c r="AF728" s="1092"/>
      <c r="AG728" s="1093"/>
      <c r="AH728" s="1094"/>
      <c r="AI728" s="1095"/>
      <c r="AJ728" s="1095"/>
      <c r="AK728" s="1095"/>
      <c r="AL728" s="1096"/>
      <c r="AM728" s="1076" t="str">
        <f t="shared" si="60"/>
        <v/>
      </c>
      <c r="AN728" s="1077"/>
      <c r="AO728" s="1078"/>
      <c r="AV728" s="43" t="str">
        <f t="shared" si="47"/>
        <v>N/A</v>
      </c>
      <c r="AY728" s="446">
        <f t="shared" si="61"/>
        <v>0</v>
      </c>
      <c r="AZ728" s="452">
        <f>IF($AY$730=0,"",AY728/$AY$730)</f>
        <v>0</v>
      </c>
      <c r="BA728" s="453">
        <f t="shared" si="63"/>
        <v>0</v>
      </c>
      <c r="BB728" s="41"/>
      <c r="BC728" s="41"/>
      <c r="BD728" s="41"/>
      <c r="BE728" s="850">
        <f t="shared" si="64"/>
        <v>0</v>
      </c>
      <c r="BF728" s="854" t="str">
        <f t="shared" si="65"/>
        <v/>
      </c>
      <c r="BG728" s="855" t="str">
        <f t="shared" si="66"/>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2" t="s">
        <v>877</v>
      </c>
      <c r="C730" s="1103"/>
      <c r="D730" s="1103"/>
      <c r="E730" s="1103"/>
      <c r="F730" s="1105"/>
      <c r="G730" s="1299">
        <f>SUM(G695:J729)</f>
        <v>71</v>
      </c>
      <c r="H730" s="1300"/>
      <c r="I730" s="1300"/>
      <c r="J730" s="1301"/>
      <c r="O730" s="430" t="s">
        <v>876</v>
      </c>
      <c r="P730" s="168"/>
      <c r="Q730" s="168"/>
      <c r="R730" s="168"/>
      <c r="S730" s="841"/>
      <c r="T730" s="1091">
        <f>SUM(T695:X729)</f>
        <v>59221</v>
      </c>
      <c r="U730" s="1092"/>
      <c r="V730" s="1092"/>
      <c r="W730" s="1092"/>
      <c r="X730" s="1093"/>
      <c r="AC730" s="842" t="s">
        <v>1139</v>
      </c>
      <c r="AD730" s="843"/>
      <c r="AE730" s="843"/>
      <c r="AF730" s="843"/>
      <c r="AG730" s="844"/>
      <c r="AH730" s="1507">
        <f>BA730</f>
        <v>0.495774647887324</v>
      </c>
      <c r="AI730" s="1508"/>
      <c r="AJ730" s="1508"/>
      <c r="AK730" s="1508"/>
      <c r="AL730" s="1509"/>
      <c r="AM730" s="1507">
        <f>IFERROR(BG730,0)</f>
        <v>0.495774647887324</v>
      </c>
      <c r="AN730" s="1508"/>
      <c r="AO730" s="1509"/>
      <c r="AX730" s="62" t="s">
        <v>875</v>
      </c>
      <c r="AY730" s="454">
        <f>SUM(AY695:AY729)</f>
        <v>71</v>
      </c>
      <c r="AZ730" s="455">
        <f>SUM(AZ695:AZ729)</f>
        <v>1</v>
      </c>
      <c r="BA730" s="455">
        <f>SUM(BA695:BA729)</f>
        <v>0.495774647887324</v>
      </c>
      <c r="BB730" s="41"/>
      <c r="BC730" s="41"/>
      <c r="BD730" s="41"/>
      <c r="BE730" s="851">
        <f>SUM(BE695:BE729)</f>
        <v>71</v>
      </c>
      <c r="BF730" s="852">
        <f>SUM(BF695:BF729)</f>
        <v>1</v>
      </c>
      <c r="BG730" s="852">
        <f>SUM(BG695:BG729)</f>
        <v>0.495774647887324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09" t="s">
        <v>2059</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1"/>
      <c r="E733" s="921"/>
      <c r="F733" s="921"/>
      <c r="G733" s="922"/>
      <c r="H733" s="922"/>
      <c r="I733" s="922"/>
      <c r="J733" s="922"/>
      <c r="K733" s="921"/>
      <c r="L733" s="921"/>
      <c r="M733" s="921"/>
      <c r="N733" s="921"/>
      <c r="O733" s="1238">
        <f>CQ628</f>
        <v>136</v>
      </c>
      <c r="P733" s="1238"/>
      <c r="Q733" s="1238"/>
      <c r="R733" s="1238"/>
      <c r="S733" s="923"/>
      <c r="T733" s="923"/>
      <c r="U733" s="270" t="s">
        <v>2061</v>
      </c>
      <c r="V733" s="921"/>
      <c r="W733" s="921"/>
      <c r="X733" s="921"/>
      <c r="Y733" s="922"/>
      <c r="Z733" s="922"/>
      <c r="AA733" s="922"/>
      <c r="AB733" s="922"/>
      <c r="AC733" s="921"/>
      <c r="AD733" s="921"/>
      <c r="AE733" s="921"/>
      <c r="AF733" s="921"/>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5" t="s">
        <v>54</v>
      </c>
      <c r="K748" s="1266"/>
      <c r="L748" s="1266"/>
      <c r="M748" s="1266"/>
      <c r="N748" s="1267"/>
      <c r="O748" s="1223" t="s">
        <v>256</v>
      </c>
      <c r="P748" s="1223"/>
      <c r="Q748" s="1223"/>
      <c r="R748" s="1223"/>
      <c r="S748" s="1223"/>
      <c r="T748" s="1456" t="s">
        <v>1993</v>
      </c>
      <c r="U748" s="1457"/>
      <c r="V748" s="1457"/>
      <c r="W748" s="1458"/>
      <c r="X748" s="1265" t="s">
        <v>589</v>
      </c>
      <c r="Y748" s="1266"/>
      <c r="Z748" s="1266"/>
      <c r="AA748" s="1266"/>
      <c r="AB748" s="1267"/>
      <c r="AC748" s="1265" t="s">
        <v>257</v>
      </c>
      <c r="AD748" s="1266"/>
      <c r="AE748" s="1266"/>
      <c r="AF748" s="1266"/>
      <c r="AG748" s="1267"/>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8"/>
      <c r="K749" s="1269"/>
      <c r="L749" s="1269"/>
      <c r="M749" s="1269"/>
      <c r="N749" s="1270"/>
      <c r="O749" s="1223"/>
      <c r="P749" s="1223"/>
      <c r="Q749" s="1223"/>
      <c r="R749" s="1223"/>
      <c r="S749" s="1223"/>
      <c r="T749" s="1459"/>
      <c r="U749" s="1460"/>
      <c r="V749" s="1460"/>
      <c r="W749" s="1461"/>
      <c r="X749" s="1268"/>
      <c r="Y749" s="1269"/>
      <c r="Z749" s="1269"/>
      <c r="AA749" s="1269"/>
      <c r="AB749" s="1270"/>
      <c r="AC749" s="1268"/>
      <c r="AD749" s="1269"/>
      <c r="AE749" s="1269"/>
      <c r="AF749" s="1269"/>
      <c r="AG749" s="1270"/>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8"/>
      <c r="K750" s="1269"/>
      <c r="L750" s="1269"/>
      <c r="M750" s="1269"/>
      <c r="N750" s="1270"/>
      <c r="O750" s="1223"/>
      <c r="P750" s="1223"/>
      <c r="Q750" s="1223"/>
      <c r="R750" s="1223"/>
      <c r="S750" s="1223"/>
      <c r="T750" s="1459"/>
      <c r="U750" s="1460"/>
      <c r="V750" s="1460"/>
      <c r="W750" s="1461"/>
      <c r="X750" s="1268"/>
      <c r="Y750" s="1269"/>
      <c r="Z750" s="1269"/>
      <c r="AA750" s="1269"/>
      <c r="AB750" s="1270"/>
      <c r="AC750" s="1268"/>
      <c r="AD750" s="1269"/>
      <c r="AE750" s="1269"/>
      <c r="AF750" s="1269"/>
      <c r="AG750" s="1270"/>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71"/>
      <c r="K751" s="1272"/>
      <c r="L751" s="1272"/>
      <c r="M751" s="1272"/>
      <c r="N751" s="1273"/>
      <c r="O751" s="1223"/>
      <c r="P751" s="1223"/>
      <c r="Q751" s="1223"/>
      <c r="R751" s="1223"/>
      <c r="S751" s="1223"/>
      <c r="T751" s="1510"/>
      <c r="U751" s="1511"/>
      <c r="V751" s="1511"/>
      <c r="W751" s="1512"/>
      <c r="X751" s="1271"/>
      <c r="Y751" s="1272"/>
      <c r="Z751" s="1272"/>
      <c r="AA751" s="1272"/>
      <c r="AB751" s="1273"/>
      <c r="AC751" s="1271"/>
      <c r="AD751" s="1272"/>
      <c r="AE751" s="1272"/>
      <c r="AF751" s="1272"/>
      <c r="AG751" s="1273"/>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079" t="s">
        <v>780</v>
      </c>
      <c r="K752" s="1080"/>
      <c r="L752" s="1080"/>
      <c r="M752" s="1080"/>
      <c r="N752" s="1081"/>
      <c r="O752" s="1239">
        <v>1</v>
      </c>
      <c r="P752" s="1239"/>
      <c r="Q752" s="1239"/>
      <c r="R752" s="1239"/>
      <c r="S752" s="1239"/>
      <c r="T752" s="1085">
        <v>868</v>
      </c>
      <c r="U752" s="1086"/>
      <c r="V752" s="1086"/>
      <c r="W752" s="1087"/>
      <c r="X752" s="1088">
        <v>0</v>
      </c>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5" t="s">
        <v>54</v>
      </c>
      <c r="K762" s="1266"/>
      <c r="L762" s="1266"/>
      <c r="M762" s="1266"/>
      <c r="N762" s="1267"/>
      <c r="O762" s="1223" t="s">
        <v>256</v>
      </c>
      <c r="P762" s="1223"/>
      <c r="Q762" s="1223"/>
      <c r="R762" s="1223"/>
      <c r="S762" s="1223"/>
      <c r="T762" s="1456" t="s">
        <v>1993</v>
      </c>
      <c r="U762" s="1457"/>
      <c r="V762" s="1457"/>
      <c r="W762" s="1458"/>
      <c r="X762" s="1265" t="s">
        <v>589</v>
      </c>
      <c r="Y762" s="1266"/>
      <c r="Z762" s="1266"/>
      <c r="AA762" s="1266"/>
      <c r="AB762" s="1267"/>
      <c r="AC762" s="1265" t="s">
        <v>257</v>
      </c>
      <c r="AD762" s="1266"/>
      <c r="AE762" s="1266"/>
      <c r="AF762" s="1266"/>
      <c r="AG762" s="12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8"/>
      <c r="K763" s="1269"/>
      <c r="L763" s="1269"/>
      <c r="M763" s="1269"/>
      <c r="N763" s="1270"/>
      <c r="O763" s="1223"/>
      <c r="P763" s="1223"/>
      <c r="Q763" s="1223"/>
      <c r="R763" s="1223"/>
      <c r="S763" s="1223"/>
      <c r="T763" s="1459"/>
      <c r="U763" s="1460"/>
      <c r="V763" s="1460"/>
      <c r="W763" s="1461"/>
      <c r="X763" s="1268"/>
      <c r="Y763" s="1269"/>
      <c r="Z763" s="1269"/>
      <c r="AA763" s="1269"/>
      <c r="AB763" s="1270"/>
      <c r="AC763" s="1268"/>
      <c r="AD763" s="1269"/>
      <c r="AE763" s="1269"/>
      <c r="AF763" s="1269"/>
      <c r="AG763" s="127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8"/>
      <c r="K764" s="1269"/>
      <c r="L764" s="1269"/>
      <c r="M764" s="1269"/>
      <c r="N764" s="1270"/>
      <c r="O764" s="1223"/>
      <c r="P764" s="1223"/>
      <c r="Q764" s="1223"/>
      <c r="R764" s="1223"/>
      <c r="S764" s="1223"/>
      <c r="T764" s="1459"/>
      <c r="U764" s="1460"/>
      <c r="V764" s="1460"/>
      <c r="W764" s="1461"/>
      <c r="X764" s="1268"/>
      <c r="Y764" s="1269"/>
      <c r="Z764" s="1269"/>
      <c r="AA764" s="1269"/>
      <c r="AB764" s="1270"/>
      <c r="AC764" s="1268"/>
      <c r="AD764" s="1269"/>
      <c r="AE764" s="1269"/>
      <c r="AF764" s="1269"/>
      <c r="AG764" s="127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1"/>
      <c r="K765" s="1272"/>
      <c r="L765" s="1272"/>
      <c r="M765" s="1272"/>
      <c r="N765" s="1273"/>
      <c r="O765" s="1223"/>
      <c r="P765" s="1223"/>
      <c r="Q765" s="1223"/>
      <c r="R765" s="1223"/>
      <c r="S765" s="1223"/>
      <c r="T765" s="1510"/>
      <c r="U765" s="1511"/>
      <c r="V765" s="1511"/>
      <c r="W765" s="1512"/>
      <c r="X765" s="1271"/>
      <c r="Y765" s="1272"/>
      <c r="Z765" s="1272"/>
      <c r="AA765" s="1272"/>
      <c r="AB765" s="1273"/>
      <c r="AC765" s="1271"/>
      <c r="AD765" s="1272"/>
      <c r="AE765" s="1272"/>
      <c r="AF765" s="1272"/>
      <c r="AG765" s="1273"/>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7">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7"/>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7"/>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7"/>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7"/>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7"/>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7"/>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7"/>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7"/>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7"/>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2" t="s">
        <v>877</v>
      </c>
      <c r="K776" s="1103"/>
      <c r="L776" s="1103"/>
      <c r="M776" s="1103"/>
      <c r="N776" s="1105"/>
      <c r="O776" s="1238">
        <f>SUM(O766:S775)</f>
        <v>0</v>
      </c>
      <c r="P776" s="1238"/>
      <c r="Q776" s="1238"/>
      <c r="R776" s="1238"/>
      <c r="S776" s="1238"/>
      <c r="X776" s="430" t="s">
        <v>876</v>
      </c>
      <c r="Y776" s="168"/>
      <c r="Z776" s="168"/>
      <c r="AA776" s="168"/>
      <c r="AB776" s="841"/>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7">
        <f>T730+AC756+AC776</f>
        <v>59221</v>
      </c>
      <c r="Z779" s="1297"/>
      <c r="AA779" s="1297"/>
      <c r="AB779" s="1297"/>
      <c r="AC779" s="129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7">
        <f>(T730+AC756+AC776)*12</f>
        <v>710652</v>
      </c>
      <c r="Z780" s="1297"/>
      <c r="AA780" s="1297"/>
      <c r="AB780" s="1297"/>
      <c r="AC780" s="129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1">
        <v>25</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7">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5">
        <v>52597</v>
      </c>
      <c r="AA787" s="1258"/>
      <c r="AB787" s="1258"/>
      <c r="AC787" s="1258"/>
      <c r="AD787" s="1258"/>
      <c r="AE787" s="125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4">
        <f>'Subsidy Contract Calculation'!I40</f>
        <v>278340</v>
      </c>
      <c r="AA788" s="1295"/>
      <c r="AB788" s="1295"/>
      <c r="AC788" s="1295"/>
      <c r="AD788" s="1295"/>
      <c r="AE788" s="129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5">
        <v>10650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98"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6">
        <f>SUM(Z792:AE795)</f>
        <v>10650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6">
        <f>Z796+Y780+Z788</f>
        <v>999642</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3" t="s">
        <v>694</v>
      </c>
      <c r="D804" s="1184"/>
      <c r="E804" s="1184"/>
      <c r="F804" s="1184"/>
      <c r="G804" s="1184"/>
      <c r="H804" s="1184"/>
      <c r="I804" s="54"/>
      <c r="J804" s="54"/>
      <c r="K804" s="54"/>
      <c r="L804" s="55"/>
      <c r="M804" s="1180"/>
      <c r="N804" s="1180"/>
      <c r="O804" s="1180"/>
      <c r="P804" s="1180"/>
      <c r="Q804" s="1180">
        <v>29</v>
      </c>
      <c r="R804" s="1180"/>
      <c r="S804" s="1180"/>
      <c r="T804" s="1180"/>
      <c r="U804" s="1180">
        <v>40</v>
      </c>
      <c r="V804" s="1180"/>
      <c r="W804" s="1180"/>
      <c r="X804" s="1180"/>
      <c r="Y804" s="1180">
        <v>48</v>
      </c>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1" t="s">
        <v>695</v>
      </c>
      <c r="D805" s="1182"/>
      <c r="E805" s="1182"/>
      <c r="F805" s="1182"/>
      <c r="G805" s="1182"/>
      <c r="H805" s="1182"/>
      <c r="I805" s="9"/>
      <c r="J805" s="9"/>
      <c r="K805" s="9"/>
      <c r="L805" s="52"/>
      <c r="M805" s="1180"/>
      <c r="N805" s="1180"/>
      <c r="O805" s="1180"/>
      <c r="P805" s="1180"/>
      <c r="Q805" s="1180">
        <v>19</v>
      </c>
      <c r="R805" s="1180"/>
      <c r="S805" s="1180"/>
      <c r="T805" s="1180"/>
      <c r="U805" s="1180">
        <v>30</v>
      </c>
      <c r="V805" s="1180"/>
      <c r="W805" s="1180"/>
      <c r="X805" s="1180"/>
      <c r="Y805" s="1180">
        <v>36</v>
      </c>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1" t="s">
        <v>71</v>
      </c>
      <c r="D806" s="1182"/>
      <c r="E806" s="1182"/>
      <c r="F806" s="1182"/>
      <c r="G806" s="1182"/>
      <c r="H806" s="1182"/>
      <c r="I806" s="66"/>
      <c r="J806" s="66"/>
      <c r="K806" s="66"/>
      <c r="L806" s="67"/>
      <c r="M806" s="1180"/>
      <c r="N806" s="1180"/>
      <c r="O806" s="1180"/>
      <c r="P806" s="1180"/>
      <c r="Q806" s="1180">
        <v>19</v>
      </c>
      <c r="R806" s="1180"/>
      <c r="S806" s="1180"/>
      <c r="T806" s="1180"/>
      <c r="U806" s="1180">
        <v>22</v>
      </c>
      <c r="V806" s="1180"/>
      <c r="W806" s="1180"/>
      <c r="X806" s="1180"/>
      <c r="Y806" s="1180">
        <v>25</v>
      </c>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1" t="s">
        <v>790</v>
      </c>
      <c r="D808" s="1182"/>
      <c r="E808" s="1182"/>
      <c r="F808" s="1182"/>
      <c r="G808" s="1182"/>
      <c r="H808" s="1182"/>
      <c r="I808" s="66"/>
      <c r="J808" s="66"/>
      <c r="K808" s="66"/>
      <c r="L808" s="67"/>
      <c r="M808" s="1180"/>
      <c r="N808" s="1180"/>
      <c r="O808" s="1180"/>
      <c r="P808" s="1180"/>
      <c r="Q808" s="1180">
        <f>33+11</f>
        <v>44</v>
      </c>
      <c r="R808" s="1180"/>
      <c r="S808" s="1180"/>
      <c r="T808" s="1180"/>
      <c r="U808" s="1180">
        <f>41+11</f>
        <v>52</v>
      </c>
      <c r="V808" s="1180"/>
      <c r="W808" s="1180"/>
      <c r="X808" s="1180"/>
      <c r="Y808" s="1180">
        <f>46+11</f>
        <v>57</v>
      </c>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7" t="s">
        <v>2426</v>
      </c>
      <c r="G810" s="1158"/>
      <c r="H810" s="1158"/>
      <c r="I810" s="1158"/>
      <c r="J810" s="1158"/>
      <c r="K810" s="1158"/>
      <c r="L810" s="1158"/>
      <c r="M810" s="1180"/>
      <c r="N810" s="1180"/>
      <c r="O810" s="1180"/>
      <c r="P810" s="1180"/>
      <c r="Q810" s="1180">
        <v>16</v>
      </c>
      <c r="R810" s="1180"/>
      <c r="S810" s="1180"/>
      <c r="T810" s="1180"/>
      <c r="U810" s="1180">
        <v>21</v>
      </c>
      <c r="V810" s="1180"/>
      <c r="W810" s="1180"/>
      <c r="X810" s="1180"/>
      <c r="Y810" s="1180">
        <v>25</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2" t="s">
        <v>876</v>
      </c>
      <c r="D811" s="1103"/>
      <c r="E811" s="1103"/>
      <c r="F811" s="1103"/>
      <c r="G811" s="1103"/>
      <c r="H811" s="1103"/>
      <c r="I811" s="1103"/>
      <c r="J811" s="1103"/>
      <c r="K811" s="1103"/>
      <c r="L811" s="1105"/>
      <c r="M811" s="1293">
        <f>SUM(M804:P810)</f>
        <v>0</v>
      </c>
      <c r="N811" s="1293"/>
      <c r="O811" s="1293"/>
      <c r="P811" s="1293"/>
      <c r="Q811" s="1293">
        <f>SUM(Q804:T810)</f>
        <v>127</v>
      </c>
      <c r="R811" s="1293"/>
      <c r="S811" s="1293"/>
      <c r="T811" s="1293"/>
      <c r="U811" s="1293">
        <f>SUM(U804:X810)</f>
        <v>165</v>
      </c>
      <c r="V811" s="1293"/>
      <c r="W811" s="1293"/>
      <c r="X811" s="1293"/>
      <c r="Y811" s="1293">
        <f>SUM(Y804:AB810)</f>
        <v>191</v>
      </c>
      <c r="Z811" s="1293"/>
      <c r="AA811" s="1293"/>
      <c r="AB811" s="1293"/>
      <c r="AC811" s="1293">
        <f>SUM(AC804:AF810)</f>
        <v>0</v>
      </c>
      <c r="AD811" s="1293"/>
      <c r="AE811" s="1293"/>
      <c r="AF811" s="1293"/>
      <c r="AG811" s="1293">
        <f>SUM(AG804:AJ810)</f>
        <v>0</v>
      </c>
      <c r="AH811" s="1293"/>
      <c r="AI811" s="1293"/>
      <c r="AJ811" s="129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5" t="s">
        <v>2427</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8">
        <v>650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8">
        <f>6885+2304</f>
        <v>9189</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8">
        <v>7500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7" t="s">
        <v>2469</v>
      </c>
      <c r="N825" s="1158"/>
      <c r="O825" s="1158"/>
      <c r="P825" s="1158"/>
      <c r="Q825" s="1158"/>
      <c r="R825" s="1158"/>
      <c r="S825" s="1158"/>
      <c r="T825" s="1158"/>
      <c r="U825" s="1158"/>
      <c r="V825" s="1159"/>
      <c r="W825" s="1218">
        <v>15784</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Butte</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6">
        <f>SUM(W821:AC825)</f>
        <v>33123</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51120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5"/>
      <c r="X830" s="1275"/>
      <c r="Y830" s="1275"/>
      <c r="Z830" s="1275"/>
      <c r="AA830" s="1275"/>
      <c r="AB830" s="1275"/>
      <c r="AC830" s="127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5">
        <v>19717</v>
      </c>
      <c r="X831" s="1275"/>
      <c r="Y831" s="1275"/>
      <c r="Z831" s="1275"/>
      <c r="AA831" s="1275"/>
      <c r="AB831" s="1275"/>
      <c r="AC831" s="127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5">
        <v>7015</v>
      </c>
      <c r="X832" s="1275"/>
      <c r="Y832" s="1275"/>
      <c r="Z832" s="1275"/>
      <c r="AA832" s="1275"/>
      <c r="AB832" s="1275"/>
      <c r="AC832" s="127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5">
        <v>52808</v>
      </c>
      <c r="X833" s="1275"/>
      <c r="Y833" s="1275"/>
      <c r="Z833" s="1275"/>
      <c r="AA833" s="1275"/>
      <c r="AB833" s="1275"/>
      <c r="AC833" s="127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4">
        <f>SUM(W830:AC833)</f>
        <v>79540</v>
      </c>
      <c r="X834" s="1274"/>
      <c r="Y834" s="1274"/>
      <c r="Z834" s="1274"/>
      <c r="AA834" s="1274"/>
      <c r="AB834" s="1274"/>
      <c r="AC834" s="1274"/>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4">
        <v>43000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19">
        <v>1</v>
      </c>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4">
        <v>58780</v>
      </c>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19">
        <v>1</v>
      </c>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7" t="s">
        <v>867</v>
      </c>
      <c r="N840" s="1158"/>
      <c r="O840" s="1158"/>
      <c r="P840" s="1158"/>
      <c r="Q840" s="1158"/>
      <c r="R840" s="1158"/>
      <c r="S840" s="1158"/>
      <c r="T840" s="1158"/>
      <c r="U840" s="1158"/>
      <c r="V840" s="1159"/>
      <c r="W840" s="1514">
        <v>8861</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5">
        <f>SUM(W836:AC840)</f>
        <v>110641</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4">
        <f>70000+10000+10518</f>
        <v>90518</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8">
        <v>6098</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8">
        <v>41973</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8">
        <v>24188</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8">
        <v>8341</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8">
        <v>18627</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7" t="s">
        <v>2431</v>
      </c>
      <c r="N850" s="1158"/>
      <c r="O850" s="1158"/>
      <c r="P850" s="1158"/>
      <c r="Q850" s="1158"/>
      <c r="R850" s="1158"/>
      <c r="S850" s="1158"/>
      <c r="T850" s="1158"/>
      <c r="U850" s="1158"/>
      <c r="V850" s="1159"/>
      <c r="W850" s="1218">
        <v>30000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7">
        <f>SUM(W844:AC850)</f>
        <v>129227</v>
      </c>
      <c r="X851" s="1297"/>
      <c r="Y851" s="1297"/>
      <c r="Z851" s="1297"/>
      <c r="AA851" s="1297"/>
      <c r="AB851" s="1297"/>
      <c r="AC851" s="129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7"/>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7"/>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7"/>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7"/>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7"/>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494169</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72</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7">
        <f>IF(ISERROR((ROUNDDOWN(AC862/AC863,0))),0,(ROUNDDOWN(AC862/AC863,0)))</f>
        <v>6863</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225376.89</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45000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35000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v>5000</v>
      </c>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1323</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1" t="s">
        <v>160</v>
      </c>
      <c r="G896" s="1312"/>
      <c r="H896" s="1312"/>
      <c r="I896" s="1312"/>
      <c r="J896" s="1312"/>
      <c r="K896" s="1312"/>
      <c r="L896" s="1312"/>
      <c r="M896" s="1312"/>
      <c r="N896" s="1312"/>
      <c r="O896" s="1312"/>
      <c r="P896" s="1312"/>
      <c r="Q896" s="1312"/>
      <c r="R896" s="1312"/>
      <c r="S896" s="1312"/>
      <c r="T896" s="1313"/>
      <c r="U896" s="1212" t="s">
        <v>108</v>
      </c>
      <c r="V896" s="1142"/>
      <c r="W896" s="1142"/>
      <c r="X896" s="1142"/>
      <c r="Y896" s="1142"/>
      <c r="Z896" s="1143"/>
      <c r="AA896" s="1172">
        <f>AO622</f>
        <v>13497650</v>
      </c>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9" t="s">
        <v>946</v>
      </c>
      <c r="G897" s="1540"/>
      <c r="H897" s="1540"/>
      <c r="I897" s="1540"/>
      <c r="J897" s="1540"/>
      <c r="K897" s="1540"/>
      <c r="L897" s="1540"/>
      <c r="M897" s="1540"/>
      <c r="N897" s="1540"/>
      <c r="O897" s="1540"/>
      <c r="P897" s="1540"/>
      <c r="Q897" s="1540"/>
      <c r="R897" s="1540"/>
      <c r="S897" s="1540"/>
      <c r="T897" s="1541"/>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9" t="s">
        <v>947</v>
      </c>
      <c r="G898" s="1540"/>
      <c r="H898" s="1540"/>
      <c r="I898" s="1540"/>
      <c r="J898" s="1540"/>
      <c r="K898" s="1540"/>
      <c r="L898" s="1540"/>
      <c r="M898" s="1540"/>
      <c r="N898" s="1540"/>
      <c r="O898" s="1540"/>
      <c r="P898" s="1540"/>
      <c r="Q898" s="1540"/>
      <c r="R898" s="1540"/>
      <c r="S898" s="1540"/>
      <c r="T898" s="1541"/>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9" t="s">
        <v>948</v>
      </c>
      <c r="G899" s="1540"/>
      <c r="H899" s="1540"/>
      <c r="I899" s="1540"/>
      <c r="J899" s="1540"/>
      <c r="K899" s="1540"/>
      <c r="L899" s="1540"/>
      <c r="M899" s="1540"/>
      <c r="N899" s="1540"/>
      <c r="O899" s="1540"/>
      <c r="P899" s="1540"/>
      <c r="Q899" s="1540"/>
      <c r="R899" s="1540"/>
      <c r="S899" s="1540"/>
      <c r="T899" s="1541"/>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1" t="s">
        <v>2285</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1" t="s">
        <v>2282</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1" t="s">
        <v>2283</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1" t="s">
        <v>2284</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1" t="s">
        <v>2278</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1" t="s">
        <v>2275</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6" t="s">
        <v>157</v>
      </c>
      <c r="G908" s="1577"/>
      <c r="H908" s="1577"/>
      <c r="I908" s="1577"/>
      <c r="J908" s="1577"/>
      <c r="K908" s="1577"/>
      <c r="L908" s="1577"/>
      <c r="M908" s="1577"/>
      <c r="N908" s="1577"/>
      <c r="O908" s="1577"/>
      <c r="P908" s="1577"/>
      <c r="Q908" s="1577"/>
      <c r="R908" s="1577"/>
      <c r="S908" s="1577"/>
      <c r="T908" s="1578"/>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9" t="s">
        <v>1008</v>
      </c>
      <c r="G910" s="1540"/>
      <c r="H910" s="1540"/>
      <c r="I910" s="1540"/>
      <c r="J910" s="1540"/>
      <c r="K910" s="1540"/>
      <c r="L910" s="1540"/>
      <c r="M910" s="1540"/>
      <c r="N910" s="1540"/>
      <c r="O910" s="1540"/>
      <c r="P910" s="1540"/>
      <c r="Q910" s="1540"/>
      <c r="R910" s="1540"/>
      <c r="S910" s="1540"/>
      <c r="T910" s="1541"/>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4" t="s">
        <v>2286</v>
      </c>
      <c r="G911" s="1565"/>
      <c r="H911" s="1565"/>
      <c r="I911" s="1565"/>
      <c r="J911" s="1565"/>
      <c r="K911" s="1565"/>
      <c r="L911" s="1565"/>
      <c r="M911" s="1565"/>
      <c r="N911" s="1565"/>
      <c r="O911" s="1565"/>
      <c r="P911" s="1565"/>
      <c r="Q911" s="1565"/>
      <c r="R911" s="1565"/>
      <c r="S911" s="1565"/>
      <c r="T911" s="1566"/>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4" t="s">
        <v>2288</v>
      </c>
      <c r="G912" s="1565"/>
      <c r="H912" s="1565"/>
      <c r="I912" s="1565"/>
      <c r="J912" s="1565"/>
      <c r="K912" s="1565"/>
      <c r="L912" s="1565"/>
      <c r="M912" s="1565"/>
      <c r="N912" s="1565"/>
      <c r="O912" s="1565"/>
      <c r="P912" s="1565"/>
      <c r="Q912" s="1565"/>
      <c r="R912" s="1565"/>
      <c r="S912" s="1565"/>
      <c r="T912" s="1566"/>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1" t="s">
        <v>2276</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2"/>
      <c r="AB913" s="1263"/>
      <c r="AC913" s="1263"/>
      <c r="AD913" s="1263"/>
      <c r="AE913" s="1263"/>
      <c r="AF913" s="1264"/>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1" t="s">
        <v>2280</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2"/>
      <c r="AB914" s="1263"/>
      <c r="AC914" s="1263"/>
      <c r="AD914" s="1263"/>
      <c r="AE914" s="1263"/>
      <c r="AF914" s="1264"/>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1" t="s">
        <v>2277</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2"/>
      <c r="AB915" s="1263"/>
      <c r="AC915" s="1263"/>
      <c r="AD915" s="1263"/>
      <c r="AE915" s="1263"/>
      <c r="AF915" s="1264"/>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4" t="s">
        <v>1902</v>
      </c>
      <c r="G916" s="1565"/>
      <c r="H916" s="1565"/>
      <c r="I916" s="1565"/>
      <c r="J916" s="1565"/>
      <c r="K916" s="1565"/>
      <c r="L916" s="1565"/>
      <c r="M916" s="1565"/>
      <c r="N916" s="1565"/>
      <c r="O916" s="1565"/>
      <c r="P916" s="1565"/>
      <c r="Q916" s="1565"/>
      <c r="R916" s="1565"/>
      <c r="S916" s="1565"/>
      <c r="T916" s="1566"/>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4" t="s">
        <v>2289</v>
      </c>
      <c r="G917" s="1565"/>
      <c r="H917" s="1565"/>
      <c r="I917" s="1565"/>
      <c r="J917" s="1565"/>
      <c r="K917" s="1565"/>
      <c r="L917" s="1565"/>
      <c r="M917" s="1565"/>
      <c r="N917" s="1565"/>
      <c r="O917" s="1565"/>
      <c r="P917" s="1565"/>
      <c r="Q917" s="1565"/>
      <c r="R917" s="1565"/>
      <c r="S917" s="1565"/>
      <c r="T917" s="1566"/>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4" t="s">
        <v>1903</v>
      </c>
      <c r="G918" s="1565"/>
      <c r="H918" s="1565"/>
      <c r="I918" s="1565"/>
      <c r="J918" s="1565"/>
      <c r="K918" s="1565"/>
      <c r="L918" s="1565"/>
      <c r="M918" s="1565"/>
      <c r="N918" s="1565"/>
      <c r="O918" s="1565"/>
      <c r="P918" s="1565"/>
      <c r="Q918" s="1565"/>
      <c r="R918" s="1565"/>
      <c r="S918" s="1565"/>
      <c r="T918" s="1566"/>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4" t="s">
        <v>156</v>
      </c>
      <c r="G919" s="1565"/>
      <c r="H919" s="1565"/>
      <c r="I919" s="1565"/>
      <c r="J919" s="1565"/>
      <c r="K919" s="1565"/>
      <c r="L919" s="1565"/>
      <c r="M919" s="1565"/>
      <c r="N919" s="1565"/>
      <c r="O919" s="1565"/>
      <c r="P919" s="1565"/>
      <c r="Q919" s="1565"/>
      <c r="R919" s="1565"/>
      <c r="S919" s="1565"/>
      <c r="T919" s="1566"/>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4" t="s">
        <v>2287</v>
      </c>
      <c r="G920" s="1565"/>
      <c r="H920" s="1565"/>
      <c r="I920" s="1565"/>
      <c r="J920" s="1565"/>
      <c r="K920" s="1565"/>
      <c r="L920" s="1565"/>
      <c r="M920" s="1565"/>
      <c r="N920" s="1565"/>
      <c r="O920" s="1565"/>
      <c r="P920" s="1565"/>
      <c r="Q920" s="1565"/>
      <c r="R920" s="1565"/>
      <c r="S920" s="1565"/>
      <c r="T920" s="1566"/>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1" t="s">
        <v>2279</v>
      </c>
      <c r="G922" s="1312"/>
      <c r="H922" s="1313"/>
      <c r="I922" s="1157" t="s">
        <v>562</v>
      </c>
      <c r="J922" s="1255"/>
      <c r="K922" s="1255"/>
      <c r="L922" s="1255"/>
      <c r="M922" s="1255"/>
      <c r="N922" s="1255"/>
      <c r="O922" s="1255"/>
      <c r="P922" s="1255"/>
      <c r="Q922" s="1255"/>
      <c r="R922" s="1255"/>
      <c r="S922" s="1255"/>
      <c r="T922" s="1256"/>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1" t="s">
        <v>373</v>
      </c>
      <c r="G923" s="1312"/>
      <c r="H923" s="1313"/>
      <c r="I923" s="1157" t="s">
        <v>562</v>
      </c>
      <c r="J923" s="1255"/>
      <c r="K923" s="1255"/>
      <c r="L923" s="1255"/>
      <c r="M923" s="1255"/>
      <c r="N923" s="1255"/>
      <c r="O923" s="1255"/>
      <c r="P923" s="1255"/>
      <c r="Q923" s="1255"/>
      <c r="R923" s="1255"/>
      <c r="S923" s="1255"/>
      <c r="T923" s="1256"/>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1" t="s">
        <v>826</v>
      </c>
      <c r="G924" s="1312"/>
      <c r="H924" s="1313"/>
      <c r="I924" s="1157" t="s">
        <v>562</v>
      </c>
      <c r="J924" s="1255"/>
      <c r="K924" s="1255"/>
      <c r="L924" s="1255"/>
      <c r="M924" s="1255"/>
      <c r="N924" s="1255"/>
      <c r="O924" s="1255"/>
      <c r="P924" s="1255"/>
      <c r="Q924" s="1255"/>
      <c r="R924" s="1255"/>
      <c r="S924" s="1255"/>
      <c r="T924" s="1256"/>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1" t="s">
        <v>283</v>
      </c>
      <c r="G925" s="1312"/>
      <c r="H925" s="1313"/>
      <c r="I925" s="1157" t="s">
        <v>562</v>
      </c>
      <c r="J925" s="1255"/>
      <c r="K925" s="1255"/>
      <c r="L925" s="1255"/>
      <c r="M925" s="1255"/>
      <c r="N925" s="1255"/>
      <c r="O925" s="1255"/>
      <c r="P925" s="1255"/>
      <c r="Q925" s="1255"/>
      <c r="R925" s="1255"/>
      <c r="S925" s="1255"/>
      <c r="T925" s="1256"/>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1" t="s">
        <v>283</v>
      </c>
      <c r="G926" s="1312"/>
      <c r="H926" s="1313"/>
      <c r="I926" s="1157" t="s">
        <v>562</v>
      </c>
      <c r="J926" s="1255"/>
      <c r="K926" s="1255"/>
      <c r="L926" s="1255"/>
      <c r="M926" s="1255"/>
      <c r="N926" s="1255"/>
      <c r="O926" s="1255"/>
      <c r="P926" s="1255"/>
      <c r="Q926" s="1255"/>
      <c r="R926" s="1255"/>
      <c r="S926" s="1255"/>
      <c r="T926" s="1256"/>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453" t="s">
        <v>2470</v>
      </c>
      <c r="M931" s="1352"/>
      <c r="N931" s="1352"/>
      <c r="O931" s="1352"/>
      <c r="P931" s="1352"/>
      <c r="Q931" s="1352"/>
      <c r="R931" s="1352"/>
      <c r="S931" s="1454"/>
      <c r="U931" s="72" t="s">
        <v>827</v>
      </c>
      <c r="V931" s="9"/>
      <c r="W931" s="9"/>
      <c r="X931" s="9"/>
      <c r="Y931" s="9"/>
      <c r="Z931" s="9"/>
      <c r="AA931" s="9"/>
      <c r="AB931" s="9"/>
      <c r="AC931" s="9"/>
      <c r="AD931" s="52"/>
      <c r="AE931" s="1257"/>
      <c r="AF931" s="1258"/>
      <c r="AG931" s="1258"/>
      <c r="AH931" s="1258"/>
      <c r="AI931" s="1258"/>
      <c r="AJ931" s="1258"/>
      <c r="AK931" s="125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3" t="s">
        <v>2428</v>
      </c>
      <c r="M932" s="1352"/>
      <c r="N932" s="1352"/>
      <c r="O932" s="1352"/>
      <c r="P932" s="1352"/>
      <c r="Q932" s="1352"/>
      <c r="R932" s="1352"/>
      <c r="S932" s="1454"/>
      <c r="U932" s="72" t="s">
        <v>828</v>
      </c>
      <c r="V932" s="9"/>
      <c r="W932" s="9"/>
      <c r="X932" s="9"/>
      <c r="Y932" s="9"/>
      <c r="Z932" s="9"/>
      <c r="AA932" s="9"/>
      <c r="AB932" s="9"/>
      <c r="AC932" s="9"/>
      <c r="AD932" s="52"/>
      <c r="AE932" s="1260"/>
      <c r="AF932" s="1147"/>
      <c r="AG932" s="1147"/>
      <c r="AH932" s="1147"/>
      <c r="AI932" s="1147"/>
      <c r="AJ932" s="1147"/>
      <c r="AK932" s="126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0" t="s">
        <v>2429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4">
        <v>0.352112676056338</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8">
        <v>25</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5">
        <f>'Subsidy Contract Calculation'!F40</f>
        <v>468216</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5">
        <f>L938*L936</f>
        <v>9364320</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88">
        <v>20</v>
      </c>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0" t="s">
        <v>79</v>
      </c>
      <c r="N948" s="1161"/>
      <c r="O948" s="1161"/>
      <c r="P948" s="1161"/>
      <c r="Q948" s="1161"/>
      <c r="R948" s="1161"/>
      <c r="S948" s="1162"/>
      <c r="T948" s="1393"/>
      <c r="U948" s="1394"/>
      <c r="V948" s="1394"/>
      <c r="W948" s="1394"/>
      <c r="X948" s="1394"/>
      <c r="Y948" s="1394"/>
      <c r="Z948" s="1395"/>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8"/>
      <c r="N949" s="1114"/>
      <c r="O949" s="1114"/>
      <c r="P949" s="1114"/>
      <c r="Q949" s="1114"/>
      <c r="R949" s="1114"/>
      <c r="S949" s="1179"/>
      <c r="T949" s="1393"/>
      <c r="U949" s="1394"/>
      <c r="V949" s="1394"/>
      <c r="W949" s="1394"/>
      <c r="X949" s="1394"/>
      <c r="Y949" s="1394"/>
      <c r="Z949" s="1395"/>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6" t="s">
        <v>482</v>
      </c>
      <c r="P950" s="1127"/>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91"/>
      <c r="AB951" s="1318"/>
      <c r="AC951" s="1318"/>
      <c r="AD951" s="1318"/>
      <c r="AE951" s="1318"/>
      <c r="AF951" s="1318"/>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59"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319236</v>
      </c>
      <c r="S961" s="1254"/>
      <c r="T961" s="1254"/>
      <c r="U961" s="1254"/>
      <c r="V961" s="1254"/>
      <c r="W961" s="1254"/>
      <c r="X961" s="1254"/>
      <c r="Y961" s="1254"/>
      <c r="Z961" s="1254"/>
      <c r="AA961" s="1254"/>
      <c r="AB961" s="1373">
        <f>BN651</f>
        <v>0</v>
      </c>
      <c r="AC961" s="1374"/>
      <c r="AD961" s="1374"/>
      <c r="AE961" s="1374"/>
      <c r="AF961" s="1374"/>
      <c r="AG961" s="1374"/>
      <c r="AH961" s="1374"/>
      <c r="AI961" s="1375"/>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368076</v>
      </c>
      <c r="S962" s="1254"/>
      <c r="T962" s="1254"/>
      <c r="U962" s="1254"/>
      <c r="V962" s="1254"/>
      <c r="W962" s="1254"/>
      <c r="X962" s="1254"/>
      <c r="Y962" s="1254"/>
      <c r="Z962" s="1254"/>
      <c r="AA962" s="1254"/>
      <c r="AB962" s="1373">
        <f>BS651</f>
        <v>24</v>
      </c>
      <c r="AC962" s="1374"/>
      <c r="AD962" s="1374"/>
      <c r="AE962" s="1374"/>
      <c r="AF962" s="1374"/>
      <c r="AG962" s="1374"/>
      <c r="AH962" s="1374"/>
      <c r="AI962" s="1375"/>
      <c r="AJ962" s="1229">
        <f>IF(ISERROR((R962*AB962)),0,(R962*AB962))</f>
        <v>8833824</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444000</v>
      </c>
      <c r="S963" s="1254"/>
      <c r="T963" s="1254"/>
      <c r="U963" s="1254"/>
      <c r="V963" s="1254"/>
      <c r="W963" s="1254"/>
      <c r="X963" s="1254"/>
      <c r="Y963" s="1254"/>
      <c r="Z963" s="1254"/>
      <c r="AA963" s="1254"/>
      <c r="AB963" s="1373">
        <f>BX651</f>
        <v>30</v>
      </c>
      <c r="AC963" s="1374"/>
      <c r="AD963" s="1374"/>
      <c r="AE963" s="1374"/>
      <c r="AF963" s="1374"/>
      <c r="AG963" s="1374"/>
      <c r="AH963" s="1374"/>
      <c r="AI963" s="1375"/>
      <c r="AJ963" s="1229">
        <f>IF(ISERROR((R963*AB963)),0,(R963*AB963))</f>
        <v>13320000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568320</v>
      </c>
      <c r="S964" s="1254"/>
      <c r="T964" s="1254"/>
      <c r="U964" s="1254"/>
      <c r="V964" s="1254"/>
      <c r="W964" s="1254"/>
      <c r="X964" s="1254"/>
      <c r="Y964" s="1254"/>
      <c r="Z964" s="1254"/>
      <c r="AA964" s="1254"/>
      <c r="AB964" s="1373">
        <f>CC651</f>
        <v>18</v>
      </c>
      <c r="AC964" s="1374"/>
      <c r="AD964" s="1374"/>
      <c r="AE964" s="1374"/>
      <c r="AF964" s="1374"/>
      <c r="AG964" s="1374"/>
      <c r="AH964" s="1374"/>
      <c r="AI964" s="1375"/>
      <c r="AJ964" s="1229">
        <f>IF(ISERROR((R964*AB964)),0,(R964*AB964))</f>
        <v>10229760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633144</v>
      </c>
      <c r="S965" s="1254"/>
      <c r="T965" s="1254"/>
      <c r="U965" s="1254"/>
      <c r="V965" s="1254"/>
      <c r="W965" s="1254"/>
      <c r="X965" s="1254"/>
      <c r="Y965" s="1254"/>
      <c r="Z965" s="1254"/>
      <c r="AA965" s="1254"/>
      <c r="AB965" s="1373">
        <f>CM651+CH651</f>
        <v>0</v>
      </c>
      <c r="AC965" s="1374"/>
      <c r="AD965" s="1374"/>
      <c r="AE965" s="1374"/>
      <c r="AF965" s="1374"/>
      <c r="AG965" s="1374"/>
      <c r="AH965" s="1374"/>
      <c r="AI965" s="1375"/>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3">
        <f>SUM(AB961:AI965)</f>
        <v>72</v>
      </c>
      <c r="AC966" s="1374"/>
      <c r="AD966" s="1374"/>
      <c r="AE966" s="1374"/>
      <c r="AF966" s="1374"/>
      <c r="AG966" s="1374"/>
      <c r="AH966" s="1374"/>
      <c r="AI966" s="1375"/>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29">
        <f>SUM(AJ961:AQ965)</f>
        <v>32383584</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6" t="s">
        <v>479</v>
      </c>
      <c r="AG968" s="1397"/>
      <c r="AH968" s="1397"/>
      <c r="AI968" s="1398"/>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9" t="s">
        <v>108</v>
      </c>
      <c r="AH969" s="1560"/>
      <c r="AI969" s="85"/>
      <c r="AJ969" s="1361">
        <f>ROUND(IF(AND(AG969="yes",D975&lt;&gt;""),AJ967*0.2,0),0)</f>
        <v>6476717</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245" t="s">
        <v>2273</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248" t="s">
        <v>2274</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385" t="s">
        <v>2430</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383"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4"/>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485</v>
      </c>
      <c r="D982" s="1383"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4"/>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2" t="s">
        <v>1999</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3"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4"/>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1892</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3"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4"/>
      <c r="AF988" s="82"/>
      <c r="AG988" s="1359" t="s">
        <v>482</v>
      </c>
      <c r="AH988" s="1360"/>
      <c r="AI988" s="82"/>
      <c r="AJ988" s="1361">
        <f>ROUND(IF(AG988="yes",AJ967*0.02,0),0)</f>
        <v>0</v>
      </c>
      <c r="AK988" s="1362"/>
      <c r="AL988" s="1362"/>
      <c r="AM988" s="1362"/>
      <c r="AN988" s="1362"/>
      <c r="AO988" s="1362"/>
      <c r="AP988" s="1362"/>
      <c r="AQ988" s="1363"/>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2" t="s">
        <v>1894</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4"/>
      <c r="AK989" s="1365"/>
      <c r="AL989" s="1365"/>
      <c r="AM989" s="1365"/>
      <c r="AN989" s="1365"/>
      <c r="AO989" s="1365"/>
      <c r="AP989" s="1365"/>
      <c r="AQ989" s="1366"/>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3"/>
      <c r="AG990" s="1574"/>
      <c r="AH990" s="1574"/>
      <c r="AI990" s="1575"/>
      <c r="AJ990" s="1367"/>
      <c r="AK990" s="1368"/>
      <c r="AL990" s="1368"/>
      <c r="AM990" s="1368"/>
      <c r="AN990" s="1368"/>
      <c r="AO990" s="1368"/>
      <c r="AP990" s="1368"/>
      <c r="AQ990" s="1369"/>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2" t="s">
        <v>2000</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5" t="str">
        <f>IF(AND(AG991="Yes",BA992=0),BA994,"")</f>
        <v/>
      </c>
      <c r="AG992" s="1206"/>
      <c r="AH992" s="1206"/>
      <c r="AI992" s="1207"/>
      <c r="AJ992" s="1364"/>
      <c r="AK992" s="1365"/>
      <c r="AL992" s="1365"/>
      <c r="AM992" s="1365"/>
      <c r="AN992" s="1365"/>
      <c r="AO992" s="1365"/>
      <c r="AP992" s="1365"/>
      <c r="AQ992" s="1366"/>
      <c r="AR992" s="43"/>
      <c r="AS992" s="43"/>
      <c r="AT992" s="43"/>
      <c r="AU992" s="43"/>
      <c r="AV992" s="43"/>
      <c r="AW992" s="43"/>
      <c r="AX992" s="43"/>
      <c r="AY992" s="43"/>
      <c r="AZ992" s="43"/>
      <c r="BA992" s="960">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5"/>
      <c r="AG993" s="1206"/>
      <c r="AH993" s="1206"/>
      <c r="AI993" s="1207"/>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4"/>
      <c r="AG994" s="1555"/>
      <c r="AH994" s="1555"/>
      <c r="AI994" s="1556"/>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5" t="s">
        <v>1896</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5" t="str">
        <f>IF(AG995="yes","Please Select Type and Enter Amount:","")</f>
        <v/>
      </c>
      <c r="AG996" s="1206"/>
      <c r="AH996" s="1206"/>
      <c r="AI996" s="1207"/>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522" t="s">
        <v>1897</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5"/>
      <c r="AG997" s="1206"/>
      <c r="AH997" s="1206"/>
      <c r="AI997" s="1207"/>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08"/>
      <c r="AG998" s="1208"/>
      <c r="AH998" s="1208"/>
      <c r="AI998" s="1208"/>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08"/>
      <c r="AG999" s="1208"/>
      <c r="AH999" s="1208"/>
      <c r="AI999" s="1208"/>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3"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4"/>
      <c r="AF1000" s="82"/>
      <c r="AG1000" s="1359" t="s">
        <v>108</v>
      </c>
      <c r="AH1000" s="1360"/>
      <c r="AI1000" s="85"/>
      <c r="AJ1000" s="1361">
        <f>ROUND(IF(AG1000="Yes",AF1002,0),0)</f>
        <v>567004</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2" t="s">
        <v>2001</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09" t="str">
        <f>IF(AG1000="yes","Please Enter Amount:","")</f>
        <v>Please Enter Amount:</v>
      </c>
      <c r="AG1001" s="1210"/>
      <c r="AH1001" s="1210"/>
      <c r="AI1001" s="1211"/>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08">
        <v>567004</v>
      </c>
      <c r="AG1002" s="1208"/>
      <c r="AH1002" s="1208"/>
      <c r="AI1002" s="1208"/>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8"/>
      <c r="AG1003" s="1208"/>
      <c r="AH1003" s="1208"/>
      <c r="AI1003" s="1208"/>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2" t="s">
        <v>1900</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581</v>
      </c>
      <c r="D1007" s="1383"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4"/>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30"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1"/>
      <c r="AF1008" s="870"/>
      <c r="AG1008" s="871"/>
      <c r="AH1008" s="871"/>
      <c r="AI1008" s="872"/>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0"/>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1"/>
      <c r="AF1009" s="870"/>
      <c r="AG1009" s="871"/>
      <c r="AH1009" s="871"/>
      <c r="AI1009" s="872"/>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3"/>
      <c r="AG1010" s="874"/>
      <c r="AH1010" s="874"/>
      <c r="AI1010" s="875"/>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2" t="s">
        <v>482</v>
      </c>
      <c r="AH1011" s="1543"/>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0"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1"/>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0"/>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1"/>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0"/>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1"/>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2006</v>
      </c>
      <c r="D1016" s="1383"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4"/>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2" t="s">
        <v>2214</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39427305</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38228848.879999995</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0.9696033974424576</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5" t="s">
        <v>124</v>
      </c>
      <c r="B1048" s="1115"/>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5" t="s">
        <v>124</v>
      </c>
      <c r="B1055" s="1115"/>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5" t="s">
        <v>124</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5" t="s">
        <v>124</v>
      </c>
      <c r="B1071" s="1115"/>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workbookViewId="0">
      <selection activeCell="O92" sqref="O92"/>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1)Perm Loan- Citi Bank</v>
      </c>
      <c r="G2" s="233" t="str">
        <f>Application!B622&amp;Application!C622</f>
        <v>2)CDBG-DRMHP</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2700000</v>
      </c>
      <c r="C4" s="241">
        <v>2700000</v>
      </c>
      <c r="D4" s="241"/>
      <c r="E4" s="241">
        <f>C4-SUM(F4:Q4)</f>
        <v>2700000</v>
      </c>
      <c r="F4" s="241"/>
      <c r="G4" s="241"/>
      <c r="H4" s="241"/>
      <c r="I4" s="241"/>
      <c r="J4" s="241"/>
      <c r="K4" s="241"/>
      <c r="L4" s="241"/>
      <c r="M4" s="241"/>
      <c r="N4" s="241"/>
      <c r="O4" s="241"/>
      <c r="P4" s="241"/>
      <c r="Q4" s="241"/>
      <c r="R4" s="241">
        <f>C4</f>
        <v>2700000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2700000</v>
      </c>
      <c r="C8" s="240">
        <f t="shared" ref="C8:R8" si="0">SUM(C4:C7)</f>
        <v>2700000</v>
      </c>
      <c r="D8" s="240">
        <f t="shared" si="0"/>
        <v>0</v>
      </c>
      <c r="E8" s="240">
        <f t="shared" si="0"/>
        <v>2700000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2700000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2700000</v>
      </c>
      <c r="C12" s="240">
        <f t="shared" si="2"/>
        <v>2700000</v>
      </c>
      <c r="D12" s="240">
        <f t="shared" si="2"/>
        <v>0</v>
      </c>
      <c r="E12" s="240">
        <f t="shared" si="2"/>
        <v>2700000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2700000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4989702</v>
      </c>
      <c r="C29" s="241">
        <v>4989702</v>
      </c>
      <c r="D29" s="241"/>
      <c r="E29" s="241">
        <f>C29-SUM(F29:Q29)</f>
        <v>4989702</v>
      </c>
      <c r="F29" s="241"/>
      <c r="G29" s="241"/>
      <c r="H29" s="241"/>
      <c r="I29" s="241"/>
      <c r="J29" s="241"/>
      <c r="K29" s="241"/>
      <c r="L29" s="241"/>
      <c r="M29" s="241"/>
      <c r="N29" s="241"/>
      <c r="O29" s="241"/>
      <c r="P29" s="241"/>
      <c r="Q29" s="241"/>
      <c r="R29" s="241">
        <f t="shared" ref="R29:R37" si="7">SUM(E29:Q29)</f>
        <v>4989702</v>
      </c>
      <c r="S29" s="241">
        <f>R29</f>
        <v>4989702</v>
      </c>
      <c r="T29" s="241"/>
      <c r="U29" s="237"/>
    </row>
    <row r="30" spans="1:21" s="238" customFormat="1" ht="11.4">
      <c r="A30" s="239" t="s">
        <v>911</v>
      </c>
      <c r="B30" s="240">
        <f t="shared" si="6"/>
        <v>18000000</v>
      </c>
      <c r="C30" s="241">
        <v>18000000</v>
      </c>
      <c r="D30" s="241"/>
      <c r="E30" s="241">
        <f>C30-SUM(F30:Q30)</f>
        <v>1426508.6400000006</v>
      </c>
      <c r="F30" s="241">
        <f>F107</f>
        <v>3075841.36</v>
      </c>
      <c r="G30" s="241">
        <f>G107</f>
        <v>13497650</v>
      </c>
      <c r="H30" s="241"/>
      <c r="I30" s="241"/>
      <c r="J30" s="241"/>
      <c r="K30" s="241"/>
      <c r="L30" s="241"/>
      <c r="M30" s="241"/>
      <c r="N30" s="241"/>
      <c r="O30" s="241"/>
      <c r="P30" s="241"/>
      <c r="Q30" s="241"/>
      <c r="R30" s="241">
        <f t="shared" si="7"/>
        <v>18000000</v>
      </c>
      <c r="S30" s="241">
        <f>R30</f>
        <v>18000000</v>
      </c>
      <c r="T30" s="241"/>
      <c r="U30" s="237"/>
    </row>
    <row r="31" spans="1:21" s="238" customFormat="1" ht="11.4">
      <c r="A31" s="239" t="s">
        <v>912</v>
      </c>
      <c r="B31" s="240">
        <f t="shared" si="6"/>
        <v>1509925.58</v>
      </c>
      <c r="C31" s="241">
        <v>1509925.58</v>
      </c>
      <c r="D31" s="241"/>
      <c r="E31" s="241">
        <f t="shared" ref="E31:E36" si="8">C31-SUM(F31:Q31)</f>
        <v>1509925.58</v>
      </c>
      <c r="F31" s="241"/>
      <c r="G31" s="241"/>
      <c r="H31" s="241"/>
      <c r="I31" s="241"/>
      <c r="J31" s="241"/>
      <c r="K31" s="241"/>
      <c r="L31" s="241"/>
      <c r="M31" s="241"/>
      <c r="N31" s="241"/>
      <c r="O31" s="241"/>
      <c r="P31" s="241"/>
      <c r="Q31" s="241"/>
      <c r="R31" s="241">
        <f t="shared" si="7"/>
        <v>1509925.58</v>
      </c>
      <c r="S31" s="241">
        <f>R31</f>
        <v>1509925.58</v>
      </c>
      <c r="T31" s="241"/>
      <c r="U31" s="237"/>
    </row>
    <row r="32" spans="1:21" s="238" customFormat="1" ht="11.4">
      <c r="A32" s="239" t="s">
        <v>913</v>
      </c>
      <c r="B32" s="240">
        <f t="shared" si="6"/>
        <v>1183583.6160000002</v>
      </c>
      <c r="C32" s="241">
        <f>1479479.52*0.8</f>
        <v>1183583.6160000002</v>
      </c>
      <c r="D32" s="241"/>
      <c r="E32" s="241">
        <f t="shared" si="8"/>
        <v>1183583.6160000002</v>
      </c>
      <c r="F32" s="241"/>
      <c r="G32" s="241"/>
      <c r="H32" s="241"/>
      <c r="I32" s="241"/>
      <c r="J32" s="241"/>
      <c r="K32" s="241"/>
      <c r="L32" s="241"/>
      <c r="M32" s="241"/>
      <c r="N32" s="241"/>
      <c r="O32" s="241"/>
      <c r="P32" s="241"/>
      <c r="Q32" s="241"/>
      <c r="R32" s="241">
        <f t="shared" si="7"/>
        <v>1183583.6160000002</v>
      </c>
      <c r="S32" s="241">
        <f>R32</f>
        <v>1183583.6160000002</v>
      </c>
      <c r="T32" s="241"/>
      <c r="U32" s="237"/>
    </row>
    <row r="33" spans="1:21" s="238" customFormat="1" ht="11.4">
      <c r="A33" s="239" t="s">
        <v>914</v>
      </c>
      <c r="B33" s="240">
        <f t="shared" si="6"/>
        <v>295895.90400000004</v>
      </c>
      <c r="C33" s="241">
        <f>1479479.52*0.2</f>
        <v>295895.90400000004</v>
      </c>
      <c r="D33" s="241"/>
      <c r="E33" s="241">
        <f t="shared" si="8"/>
        <v>295895.90400000004</v>
      </c>
      <c r="F33" s="241"/>
      <c r="G33" s="241"/>
      <c r="H33" s="241"/>
      <c r="I33" s="241"/>
      <c r="J33" s="241"/>
      <c r="K33" s="241"/>
      <c r="L33" s="241"/>
      <c r="M33" s="241"/>
      <c r="N33" s="241"/>
      <c r="O33" s="241"/>
      <c r="P33" s="241"/>
      <c r="Q33" s="241"/>
      <c r="R33" s="241">
        <f t="shared" si="7"/>
        <v>295895.90400000004</v>
      </c>
      <c r="S33" s="241">
        <f>R33</f>
        <v>295895.90400000004</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916</v>
      </c>
      <c r="B35" s="240">
        <f t="shared" si="6"/>
        <v>567582.14</v>
      </c>
      <c r="C35" s="241">
        <v>567582.14</v>
      </c>
      <c r="D35" s="241"/>
      <c r="E35" s="241">
        <f t="shared" si="8"/>
        <v>567582.14</v>
      </c>
      <c r="F35" s="241"/>
      <c r="G35" s="241"/>
      <c r="H35" s="241"/>
      <c r="I35" s="241"/>
      <c r="J35" s="241"/>
      <c r="K35" s="241"/>
      <c r="L35" s="241"/>
      <c r="M35" s="241"/>
      <c r="N35" s="241"/>
      <c r="O35" s="241"/>
      <c r="P35" s="241"/>
      <c r="Q35" s="241"/>
      <c r="R35" s="241">
        <f t="shared" si="7"/>
        <v>567582.14</v>
      </c>
      <c r="S35" s="241">
        <f>R35</f>
        <v>567582.14</v>
      </c>
      <c r="T35" s="241"/>
      <c r="U35" s="237"/>
    </row>
    <row r="36" spans="1:21" s="238" customFormat="1" ht="11.4">
      <c r="A36" s="250" t="s">
        <v>1952</v>
      </c>
      <c r="B36" s="240">
        <f t="shared" si="6"/>
        <v>250000</v>
      </c>
      <c r="C36" s="241">
        <v>250000</v>
      </c>
      <c r="D36" s="241"/>
      <c r="E36" s="241">
        <f t="shared" si="8"/>
        <v>250000</v>
      </c>
      <c r="F36" s="241"/>
      <c r="G36" s="241"/>
      <c r="H36" s="241"/>
      <c r="I36" s="241"/>
      <c r="J36" s="241"/>
      <c r="K36" s="241"/>
      <c r="L36" s="241"/>
      <c r="M36" s="241"/>
      <c r="N36" s="241"/>
      <c r="O36" s="241"/>
      <c r="P36" s="241"/>
      <c r="Q36" s="241"/>
      <c r="R36" s="241">
        <f t="shared" si="7"/>
        <v>250000</v>
      </c>
      <c r="S36" s="241">
        <f>R36</f>
        <v>250000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26796689.239999998</v>
      </c>
      <c r="C38" s="240">
        <f>SUM(C29:C37)</f>
        <v>26796689.239999998</v>
      </c>
      <c r="D38" s="240">
        <f>SUM(D29:D37)</f>
        <v>0</v>
      </c>
      <c r="E38" s="240">
        <f>SUM(E29:E37)</f>
        <v>10223197.880000001</v>
      </c>
      <c r="F38" s="240">
        <f t="shared" ref="F38:T38" si="9">SUM(F29:F37)</f>
        <v>3075841.36</v>
      </c>
      <c r="G38" s="240">
        <f t="shared" si="9"/>
        <v>13497650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26796689.239999998</v>
      </c>
      <c r="S38" s="244">
        <f t="shared" si="9"/>
        <v>26796689.239999998</v>
      </c>
      <c r="T38" s="244">
        <f t="shared" si="9"/>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651345</v>
      </c>
      <c r="C40" s="241">
        <f>1302690/2</f>
        <v>651345</v>
      </c>
      <c r="D40" s="241"/>
      <c r="E40" s="241">
        <f t="shared" ref="E40:E41" si="10">C40-SUM(F40:Q40)</f>
        <v>651345</v>
      </c>
      <c r="F40" s="241"/>
      <c r="G40" s="241"/>
      <c r="H40" s="241"/>
      <c r="I40" s="241"/>
      <c r="J40" s="241"/>
      <c r="K40" s="241"/>
      <c r="L40" s="241"/>
      <c r="M40" s="241"/>
      <c r="N40" s="241"/>
      <c r="O40" s="241"/>
      <c r="P40" s="241"/>
      <c r="Q40" s="241"/>
      <c r="R40" s="241">
        <f>SUM(E40:Q40)</f>
        <v>651345</v>
      </c>
      <c r="S40" s="241">
        <f>R40</f>
        <v>651345</v>
      </c>
      <c r="T40" s="241"/>
      <c r="U40" s="237"/>
    </row>
    <row r="41" spans="1:21" s="238" customFormat="1" ht="11.4">
      <c r="A41" s="239" t="s">
        <v>922</v>
      </c>
      <c r="B41" s="240">
        <f>SUM(C41+D41)</f>
        <v>651345</v>
      </c>
      <c r="C41" s="241">
        <f>C40</f>
        <v>651345</v>
      </c>
      <c r="D41" s="241"/>
      <c r="E41" s="241">
        <f t="shared" si="10"/>
        <v>651345</v>
      </c>
      <c r="F41" s="241"/>
      <c r="G41" s="241"/>
      <c r="H41" s="241"/>
      <c r="I41" s="241"/>
      <c r="J41" s="241"/>
      <c r="K41" s="241"/>
      <c r="L41" s="241"/>
      <c r="M41" s="241"/>
      <c r="N41" s="241"/>
      <c r="O41" s="241"/>
      <c r="P41" s="241"/>
      <c r="Q41" s="241"/>
      <c r="R41" s="241">
        <f>SUM(E41:Q41)</f>
        <v>651345</v>
      </c>
      <c r="S41" s="241">
        <f>R41</f>
        <v>651345</v>
      </c>
      <c r="T41" s="241"/>
      <c r="U41" s="237"/>
    </row>
    <row r="42" spans="1:21" s="238" customFormat="1">
      <c r="A42" s="243" t="s">
        <v>923</v>
      </c>
      <c r="B42" s="240">
        <f>SUM(C42:D42)</f>
        <v>1302690</v>
      </c>
      <c r="C42" s="240">
        <f>SUM(C39:C41)</f>
        <v>1302690</v>
      </c>
      <c r="D42" s="240">
        <f>SUM(D39:D41)</f>
        <v>0</v>
      </c>
      <c r="E42" s="240">
        <f t="shared" ref="E42:T42" si="11">SUM(E40:E41)</f>
        <v>1302690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1302690</v>
      </c>
      <c r="S42" s="244">
        <f t="shared" si="11"/>
        <v>1302690</v>
      </c>
      <c r="T42" s="244">
        <f t="shared" si="11"/>
        <v>0</v>
      </c>
      <c r="U42" s="237"/>
    </row>
    <row r="43" spans="1:21" s="238" customFormat="1">
      <c r="A43" s="243" t="s">
        <v>924</v>
      </c>
      <c r="B43" s="240">
        <f>SUM(C43:D43)</f>
        <v>0</v>
      </c>
      <c r="C43" s="241"/>
      <c r="D43" s="241"/>
      <c r="E43" s="241"/>
      <c r="F43" s="241">
        <v>0</v>
      </c>
      <c r="G43" s="241"/>
      <c r="H43" s="241"/>
      <c r="I43" s="241"/>
      <c r="J43" s="241"/>
      <c r="K43" s="241"/>
      <c r="L43" s="241"/>
      <c r="M43" s="241"/>
      <c r="N43" s="241"/>
      <c r="O43" s="241"/>
      <c r="P43" s="241"/>
      <c r="Q43" s="241"/>
      <c r="R43" s="241">
        <f>SUM(E43:Q43)</f>
        <v>0</v>
      </c>
      <c r="S43" s="241"/>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2">SUM(C45+D45)</f>
        <v>3887398.11</v>
      </c>
      <c r="C45" s="241">
        <v>3887398.11</v>
      </c>
      <c r="D45" s="241"/>
      <c r="E45" s="241">
        <f t="shared" ref="E45:E52" si="13">C45-SUM(F45:Q45)</f>
        <v>3887398.11</v>
      </c>
      <c r="F45" s="241"/>
      <c r="G45" s="241"/>
      <c r="H45" s="241"/>
      <c r="I45" s="241"/>
      <c r="J45" s="241"/>
      <c r="K45" s="241"/>
      <c r="L45" s="241"/>
      <c r="M45" s="241"/>
      <c r="N45" s="241"/>
      <c r="O45" s="241"/>
      <c r="P45" s="241"/>
      <c r="Q45" s="241"/>
      <c r="R45" s="241">
        <f t="shared" ref="R45:R52" si="14">SUM(E45:Q45)</f>
        <v>3887398.11</v>
      </c>
      <c r="S45" s="241">
        <v>2803148</v>
      </c>
      <c r="T45" s="241"/>
      <c r="U45" s="237"/>
    </row>
    <row r="46" spans="1:21" s="238" customFormat="1" ht="11.4">
      <c r="A46" s="239" t="s">
        <v>927</v>
      </c>
      <c r="B46" s="240">
        <f t="shared" si="12"/>
        <v>421540.16</v>
      </c>
      <c r="C46" s="241">
        <v>421540.16</v>
      </c>
      <c r="D46" s="241"/>
      <c r="E46" s="241">
        <f t="shared" si="13"/>
        <v>421540.16</v>
      </c>
      <c r="F46" s="241"/>
      <c r="G46" s="241"/>
      <c r="H46" s="241"/>
      <c r="I46" s="241"/>
      <c r="J46" s="241"/>
      <c r="K46" s="241"/>
      <c r="L46" s="241"/>
      <c r="M46" s="241"/>
      <c r="N46" s="241"/>
      <c r="O46" s="241"/>
      <c r="P46" s="241"/>
      <c r="Q46" s="241"/>
      <c r="R46" s="241">
        <f t="shared" si="14"/>
        <v>421540.16</v>
      </c>
      <c r="S46" s="241">
        <v>303967</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4"/>
        <v>0</v>
      </c>
      <c r="S47" s="241"/>
      <c r="T47" s="241"/>
      <c r="U47" s="237"/>
    </row>
    <row r="48" spans="1:21" s="238" customFormat="1" ht="11.4">
      <c r="A48" s="239" t="s">
        <v>929</v>
      </c>
      <c r="B48" s="240">
        <f t="shared" si="12"/>
        <v>283791.07</v>
      </c>
      <c r="C48" s="241">
        <v>283791.07</v>
      </c>
      <c r="D48" s="241"/>
      <c r="E48" s="241">
        <f t="shared" si="13"/>
        <v>283791.07</v>
      </c>
      <c r="F48" s="241"/>
      <c r="G48" s="241"/>
      <c r="H48" s="241"/>
      <c r="I48" s="241"/>
      <c r="J48" s="241"/>
      <c r="K48" s="241"/>
      <c r="L48" s="241"/>
      <c r="M48" s="241"/>
      <c r="N48" s="241"/>
      <c r="O48" s="241"/>
      <c r="P48" s="241"/>
      <c r="Q48" s="241"/>
      <c r="R48" s="241">
        <f t="shared" si="14"/>
        <v>283791.07</v>
      </c>
      <c r="S48" s="241">
        <v>283791</v>
      </c>
      <c r="T48" s="241"/>
      <c r="U48" s="237"/>
    </row>
    <row r="49" spans="1:21" s="238" customFormat="1" ht="11.4">
      <c r="A49" s="239" t="s">
        <v>932</v>
      </c>
      <c r="B49" s="240">
        <f t="shared" si="12"/>
        <v>60000</v>
      </c>
      <c r="C49" s="241">
        <v>60000</v>
      </c>
      <c r="D49" s="241"/>
      <c r="E49" s="241">
        <f t="shared" si="13"/>
        <v>60000</v>
      </c>
      <c r="F49" s="241"/>
      <c r="G49" s="241"/>
      <c r="H49" s="241"/>
      <c r="I49" s="241"/>
      <c r="J49" s="241"/>
      <c r="K49" s="241"/>
      <c r="L49" s="241"/>
      <c r="M49" s="241"/>
      <c r="N49" s="241"/>
      <c r="O49" s="241"/>
      <c r="P49" s="241"/>
      <c r="Q49" s="241"/>
      <c r="R49" s="241">
        <f t="shared" si="14"/>
        <v>60000</v>
      </c>
      <c r="S49" s="241">
        <v>25000</v>
      </c>
      <c r="T49" s="241"/>
      <c r="U49" s="237"/>
    </row>
    <row r="50" spans="1:21" s="238" customFormat="1" ht="11.4">
      <c r="A50" s="239" t="s">
        <v>930</v>
      </c>
      <c r="B50" s="240">
        <f t="shared" si="12"/>
        <v>0</v>
      </c>
      <c r="C50" s="241"/>
      <c r="D50" s="241"/>
      <c r="E50" s="241"/>
      <c r="F50" s="241"/>
      <c r="G50" s="241"/>
      <c r="H50" s="241"/>
      <c r="I50" s="241"/>
      <c r="J50" s="241"/>
      <c r="K50" s="241"/>
      <c r="L50" s="241"/>
      <c r="M50" s="241"/>
      <c r="N50" s="241"/>
      <c r="O50" s="241"/>
      <c r="P50" s="241"/>
      <c r="Q50" s="241"/>
      <c r="R50" s="241">
        <f t="shared" si="14"/>
        <v>0</v>
      </c>
      <c r="S50" s="241"/>
      <c r="T50" s="241"/>
      <c r="U50" s="237"/>
    </row>
    <row r="51" spans="1:21" s="238" customFormat="1" ht="11.4">
      <c r="A51" s="239" t="s">
        <v>931</v>
      </c>
      <c r="B51" s="240">
        <f t="shared" si="12"/>
        <v>0</v>
      </c>
      <c r="C51" s="241"/>
      <c r="D51" s="241"/>
      <c r="E51" s="241"/>
      <c r="F51" s="241"/>
      <c r="G51" s="241"/>
      <c r="H51" s="241"/>
      <c r="I51" s="241"/>
      <c r="J51" s="241"/>
      <c r="K51" s="241"/>
      <c r="L51" s="241"/>
      <c r="M51" s="241"/>
      <c r="N51" s="241"/>
      <c r="O51" s="241"/>
      <c r="P51" s="241"/>
      <c r="Q51" s="241"/>
      <c r="R51" s="241">
        <f t="shared" si="14"/>
        <v>0</v>
      </c>
      <c r="S51" s="241"/>
      <c r="T51" s="241"/>
      <c r="U51" s="237"/>
    </row>
    <row r="52" spans="1:21" s="238" customFormat="1" ht="11.4">
      <c r="A52" s="246" t="s">
        <v>2432</v>
      </c>
      <c r="B52" s="240">
        <f t="shared" si="12"/>
        <v>50000</v>
      </c>
      <c r="C52" s="241">
        <v>50000</v>
      </c>
      <c r="D52" s="241"/>
      <c r="E52" s="241">
        <f t="shared" si="13"/>
        <v>50000</v>
      </c>
      <c r="F52" s="241"/>
      <c r="G52" s="241"/>
      <c r="H52" s="241"/>
      <c r="I52" s="241"/>
      <c r="J52" s="241"/>
      <c r="K52" s="241"/>
      <c r="L52" s="241"/>
      <c r="M52" s="241"/>
      <c r="N52" s="241"/>
      <c r="O52" s="241"/>
      <c r="P52" s="241"/>
      <c r="Q52" s="241"/>
      <c r="R52" s="241">
        <f t="shared" si="14"/>
        <v>50000</v>
      </c>
      <c r="S52" s="241">
        <v>50000</v>
      </c>
      <c r="T52" s="241"/>
      <c r="U52" s="237"/>
    </row>
    <row r="53" spans="1:21" s="248" customFormat="1">
      <c r="A53" s="243" t="s">
        <v>933</v>
      </c>
      <c r="B53" s="244">
        <f>SUM(C53:D53)</f>
        <v>4702729.34</v>
      </c>
      <c r="C53" s="244">
        <f t="shared" ref="C53:T53" si="15">SUM(C45:C52)</f>
        <v>4702729.34</v>
      </c>
      <c r="D53" s="244">
        <f t="shared" si="15"/>
        <v>0</v>
      </c>
      <c r="E53" s="244">
        <f t="shared" si="15"/>
        <v>4702729.34</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4702729.34</v>
      </c>
      <c r="S53" s="244">
        <f t="shared" si="15"/>
        <v>3465906</v>
      </c>
      <c r="T53" s="244">
        <f t="shared" si="15"/>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6">SUM(C55+D55)</f>
        <v>46758.41</v>
      </c>
      <c r="C55" s="241">
        <f>16000+30758.41</f>
        <v>46758.41</v>
      </c>
      <c r="D55" s="241"/>
      <c r="E55" s="241">
        <f t="shared" ref="E55:E60" si="17">C55-SUM(F55:Q55)</f>
        <v>46758.41</v>
      </c>
      <c r="F55" s="241"/>
      <c r="G55" s="241"/>
      <c r="H55" s="241"/>
      <c r="I55" s="241"/>
      <c r="J55" s="241"/>
      <c r="K55" s="241"/>
      <c r="L55" s="241"/>
      <c r="M55" s="241"/>
      <c r="N55" s="241"/>
      <c r="O55" s="241"/>
      <c r="P55" s="241"/>
      <c r="Q55" s="241"/>
      <c r="R55" s="241">
        <f t="shared" ref="R55:R60" si="18">SUM(E55:Q55)</f>
        <v>46758.41</v>
      </c>
      <c r="S55" s="242"/>
      <c r="T55" s="242"/>
      <c r="U55" s="237"/>
    </row>
    <row r="56" spans="1:21" s="238" customFormat="1" ht="12" customHeight="1">
      <c r="A56" s="239" t="s">
        <v>928</v>
      </c>
      <c r="B56" s="240">
        <f t="shared" si="16"/>
        <v>500</v>
      </c>
      <c r="C56" s="241">
        <v>500</v>
      </c>
      <c r="D56" s="241"/>
      <c r="E56" s="241">
        <f t="shared" si="17"/>
        <v>500</v>
      </c>
      <c r="F56" s="241"/>
      <c r="G56" s="241"/>
      <c r="H56" s="241"/>
      <c r="I56" s="241"/>
      <c r="J56" s="241"/>
      <c r="K56" s="241"/>
      <c r="L56" s="241"/>
      <c r="M56" s="241"/>
      <c r="N56" s="241"/>
      <c r="O56" s="241"/>
      <c r="P56" s="241"/>
      <c r="Q56" s="241"/>
      <c r="R56" s="241">
        <f t="shared" si="18"/>
        <v>500</v>
      </c>
      <c r="S56" s="242"/>
      <c r="T56" s="242"/>
      <c r="U56" s="237"/>
    </row>
    <row r="57" spans="1:21" s="238" customFormat="1" ht="11.4">
      <c r="A57" s="239" t="s">
        <v>932</v>
      </c>
      <c r="B57" s="240">
        <f t="shared" si="16"/>
        <v>0</v>
      </c>
      <c r="C57" s="241"/>
      <c r="D57" s="241"/>
      <c r="E57" s="241"/>
      <c r="F57" s="241"/>
      <c r="G57" s="241"/>
      <c r="H57" s="241"/>
      <c r="I57" s="241"/>
      <c r="J57" s="241"/>
      <c r="K57" s="241"/>
      <c r="L57" s="241"/>
      <c r="M57" s="241"/>
      <c r="N57" s="241"/>
      <c r="O57" s="241"/>
      <c r="P57" s="241"/>
      <c r="Q57" s="241"/>
      <c r="R57" s="241">
        <f t="shared" si="18"/>
        <v>0</v>
      </c>
      <c r="S57" s="242"/>
      <c r="T57" s="242"/>
      <c r="U57" s="237"/>
    </row>
    <row r="58" spans="1:21" s="238" customFormat="1" ht="11.4">
      <c r="A58" s="239" t="s">
        <v>930</v>
      </c>
      <c r="B58" s="240">
        <f t="shared" si="16"/>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ht="11.4">
      <c r="A59" s="239" t="s">
        <v>931</v>
      </c>
      <c r="B59" s="240">
        <f t="shared" si="16"/>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ht="11.4">
      <c r="A60" s="246" t="s">
        <v>2433</v>
      </c>
      <c r="B60" s="240">
        <f t="shared" si="16"/>
        <v>88000</v>
      </c>
      <c r="C60" s="241">
        <f>78000+10000</f>
        <v>88000</v>
      </c>
      <c r="D60" s="241"/>
      <c r="E60" s="241">
        <f t="shared" si="17"/>
        <v>88000</v>
      </c>
      <c r="F60" s="241"/>
      <c r="G60" s="241"/>
      <c r="H60" s="241"/>
      <c r="I60" s="241"/>
      <c r="J60" s="241"/>
      <c r="K60" s="241"/>
      <c r="L60" s="241"/>
      <c r="M60" s="241"/>
      <c r="N60" s="241"/>
      <c r="O60" s="241"/>
      <c r="P60" s="241"/>
      <c r="Q60" s="241"/>
      <c r="R60" s="241">
        <f t="shared" si="18"/>
        <v>88000</v>
      </c>
      <c r="S60" s="242"/>
      <c r="T60" s="242"/>
      <c r="U60" s="237"/>
    </row>
    <row r="61" spans="1:21" s="238" customFormat="1" ht="13.95" customHeight="1">
      <c r="A61" s="243" t="s">
        <v>500</v>
      </c>
      <c r="B61" s="240">
        <f>SUM(C61:D61)</f>
        <v>135258.41</v>
      </c>
      <c r="C61" s="240">
        <f t="shared" ref="C61:R61" si="19">SUM(C55:C60)</f>
        <v>135258.41</v>
      </c>
      <c r="D61" s="240">
        <f t="shared" si="19"/>
        <v>0</v>
      </c>
      <c r="E61" s="240">
        <f t="shared" si="19"/>
        <v>135258.41</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135258.41</v>
      </c>
      <c r="S61" s="242"/>
      <c r="T61" s="242"/>
      <c r="U61" s="237"/>
    </row>
    <row r="62" spans="1:21" s="238" customFormat="1" ht="11.4">
      <c r="A62" s="249" t="s">
        <v>501</v>
      </c>
      <c r="B62" s="240">
        <f>SUM(C62:D62)</f>
        <v>35637366.989999995</v>
      </c>
      <c r="C62" s="240">
        <f t="shared" ref="C62:R62" si="20">SUM(C8+C11+C13+C14+C15+C26+C27+C38+C42+C43+C53+C61)</f>
        <v>35637366.989999995</v>
      </c>
      <c r="D62" s="240">
        <f t="shared" si="20"/>
        <v>0</v>
      </c>
      <c r="E62" s="240">
        <f t="shared" si="20"/>
        <v>19063875.629999999</v>
      </c>
      <c r="F62" s="240">
        <f t="shared" si="20"/>
        <v>3075841.36</v>
      </c>
      <c r="G62" s="240">
        <f t="shared" si="20"/>
        <v>13497650</v>
      </c>
      <c r="H62" s="240">
        <f t="shared" si="20"/>
        <v>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35637366.989999995</v>
      </c>
      <c r="S62" s="240">
        <f>SUM(S10+S13+S14+S15+S26+S27+S38+S42+S43+S53)</f>
        <v>31565285.239999998</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185000</v>
      </c>
      <c r="C64" s="241">
        <v>185000</v>
      </c>
      <c r="D64" s="241"/>
      <c r="E64" s="241">
        <f t="shared" ref="E64:E68" si="21">C64-SUM(F64:Q64)</f>
        <v>185000</v>
      </c>
      <c r="F64" s="241"/>
      <c r="G64" s="241"/>
      <c r="H64" s="241"/>
      <c r="I64" s="241"/>
      <c r="J64" s="241"/>
      <c r="K64" s="241"/>
      <c r="L64" s="241"/>
      <c r="M64" s="241"/>
      <c r="N64" s="241"/>
      <c r="O64" s="241"/>
      <c r="P64" s="241"/>
      <c r="Q64" s="241"/>
      <c r="R64" s="241">
        <f>SUM(E64:Q64)</f>
        <v>185000</v>
      </c>
      <c r="S64" s="241">
        <v>70000</v>
      </c>
      <c r="T64" s="241"/>
      <c r="U64" s="237"/>
    </row>
    <row r="65" spans="1:21" s="238" customFormat="1" ht="22.8">
      <c r="A65" s="239" t="s">
        <v>1954</v>
      </c>
      <c r="B65" s="240">
        <f>SUM(C65+D65)</f>
        <v>250000</v>
      </c>
      <c r="C65" s="241">
        <v>250000</v>
      </c>
      <c r="D65" s="241"/>
      <c r="E65" s="241">
        <f t="shared" si="21"/>
        <v>250000</v>
      </c>
      <c r="F65" s="241"/>
      <c r="G65" s="241"/>
      <c r="H65" s="241"/>
      <c r="I65" s="241"/>
      <c r="J65" s="241"/>
      <c r="K65" s="241"/>
      <c r="L65" s="241"/>
      <c r="M65" s="241"/>
      <c r="N65" s="241"/>
      <c r="O65" s="241"/>
      <c r="P65" s="241"/>
      <c r="Q65" s="241"/>
      <c r="R65" s="241">
        <f>SUM(E65:Q65)</f>
        <v>250000</v>
      </c>
      <c r="S65" s="241">
        <v>250000</v>
      </c>
      <c r="T65" s="241"/>
      <c r="U65" s="237"/>
    </row>
    <row r="66" spans="1:21" s="238" customFormat="1" ht="22.8">
      <c r="A66" s="239" t="s">
        <v>1955</v>
      </c>
      <c r="B66" s="240">
        <f>SUM(C66+D66)</f>
        <v>352440</v>
      </c>
      <c r="C66" s="241">
        <v>352440</v>
      </c>
      <c r="D66" s="241"/>
      <c r="E66" s="241">
        <f t="shared" si="21"/>
        <v>352440</v>
      </c>
      <c r="F66" s="241"/>
      <c r="G66" s="241"/>
      <c r="H66" s="241"/>
      <c r="I66" s="241"/>
      <c r="J66" s="241"/>
      <c r="K66" s="241"/>
      <c r="L66" s="241"/>
      <c r="M66" s="241"/>
      <c r="N66" s="241"/>
      <c r="O66" s="241"/>
      <c r="P66" s="241"/>
      <c r="Q66" s="241"/>
      <c r="R66" s="241">
        <f>SUM(E66:Q66)</f>
        <v>352440</v>
      </c>
      <c r="S66" s="241">
        <f>R66</f>
        <v>352440</v>
      </c>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c r="B68" s="240">
        <f>SUM(C68+D68)</f>
        <v>0</v>
      </c>
      <c r="C68" s="241"/>
      <c r="D68" s="241"/>
      <c r="E68" s="241">
        <f t="shared" si="21"/>
        <v>0</v>
      </c>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787440</v>
      </c>
      <c r="C69" s="240">
        <f>SUM(C63:C68)</f>
        <v>787440</v>
      </c>
      <c r="D69" s="240">
        <f>SUM(D63:D68)</f>
        <v>0</v>
      </c>
      <c r="E69" s="240">
        <f t="shared" ref="E69:T69" si="22">SUM(E64:E68)</f>
        <v>787440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787440</v>
      </c>
      <c r="S69" s="244">
        <f t="shared" si="22"/>
        <v>672440</v>
      </c>
      <c r="T69" s="244">
        <f t="shared" si="22"/>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225376.89</v>
      </c>
      <c r="C74" s="241">
        <v>225376.89</v>
      </c>
      <c r="D74" s="241"/>
      <c r="E74" s="241">
        <f t="shared" ref="E74" si="23">C74-SUM(F74:Q74)</f>
        <v>225376.89</v>
      </c>
      <c r="F74" s="241"/>
      <c r="G74" s="241"/>
      <c r="H74" s="241"/>
      <c r="I74" s="241"/>
      <c r="J74" s="241"/>
      <c r="K74" s="241"/>
      <c r="L74" s="241"/>
      <c r="M74" s="241"/>
      <c r="N74" s="241"/>
      <c r="O74" s="241"/>
      <c r="P74" s="241"/>
      <c r="Q74" s="241"/>
      <c r="R74" s="241">
        <f>SUM(E74:Q74)</f>
        <v>225376.89</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225376.89</v>
      </c>
      <c r="C76" s="240">
        <f t="shared" ref="C76:Q76" si="24">SUM(C71:C75)</f>
        <v>225376.89</v>
      </c>
      <c r="D76" s="240">
        <f t="shared" si="24"/>
        <v>0</v>
      </c>
      <c r="E76" s="240">
        <f>SUM(E71:E75)</f>
        <v>225376.89</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225376.89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2554119.64</v>
      </c>
      <c r="C78" s="241">
        <v>2554119.64</v>
      </c>
      <c r="D78" s="241"/>
      <c r="E78" s="241">
        <f t="shared" ref="E78:E79" si="25">C78-SUM(F78:Q78)</f>
        <v>2554119.64</v>
      </c>
      <c r="F78" s="241"/>
      <c r="G78" s="241"/>
      <c r="H78" s="241"/>
      <c r="I78" s="241"/>
      <c r="J78" s="241"/>
      <c r="K78" s="241"/>
      <c r="L78" s="241"/>
      <c r="M78" s="241"/>
      <c r="N78" s="241"/>
      <c r="O78" s="241"/>
      <c r="P78" s="241"/>
      <c r="Q78" s="241"/>
      <c r="R78" s="241">
        <f>SUM(E78:Q78)</f>
        <v>2554119.64</v>
      </c>
      <c r="S78" s="241">
        <f>R78</f>
        <v>2554119.64</v>
      </c>
      <c r="T78" s="241"/>
      <c r="U78" s="237"/>
    </row>
    <row r="79" spans="1:21" s="238" customFormat="1" ht="11.4">
      <c r="A79" s="239" t="s">
        <v>538</v>
      </c>
      <c r="B79" s="240">
        <f>SUM(C79+D79)</f>
        <v>580000</v>
      </c>
      <c r="C79" s="241">
        <v>580000</v>
      </c>
      <c r="D79" s="241"/>
      <c r="E79" s="241">
        <f t="shared" si="25"/>
        <v>580000</v>
      </c>
      <c r="F79" s="241"/>
      <c r="G79" s="241"/>
      <c r="H79" s="241"/>
      <c r="I79" s="241"/>
      <c r="J79" s="241"/>
      <c r="K79" s="241"/>
      <c r="L79" s="241"/>
      <c r="M79" s="241"/>
      <c r="N79" s="241"/>
      <c r="O79" s="241"/>
      <c r="P79" s="241"/>
      <c r="Q79" s="241"/>
      <c r="R79" s="241">
        <f>SUM(E79:Q79)</f>
        <v>580000</v>
      </c>
      <c r="S79" s="241">
        <v>200000</v>
      </c>
      <c r="T79" s="241"/>
      <c r="U79" s="237"/>
    </row>
    <row r="80" spans="1:21" s="238" customFormat="1">
      <c r="A80" s="243" t="s">
        <v>1742</v>
      </c>
      <c r="B80" s="240">
        <f>SUM(C80:D80)</f>
        <v>3134119.64</v>
      </c>
      <c r="C80" s="666">
        <f>SUM(C78:C79)</f>
        <v>3134119.64</v>
      </c>
      <c r="D80" s="666">
        <f t="shared" ref="D80:R80" si="26">SUM(D78:D79)</f>
        <v>0</v>
      </c>
      <c r="E80" s="666">
        <f t="shared" si="26"/>
        <v>3134119.64</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3134119.64</v>
      </c>
      <c r="S80" s="666">
        <f>SUM(S78:S79)</f>
        <v>2754119.64</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152200</v>
      </c>
      <c r="C82" s="241">
        <f>252200-100000</f>
        <v>152200</v>
      </c>
      <c r="D82" s="241"/>
      <c r="E82" s="241">
        <f t="shared" ref="E82:E91" si="27">C82-SUM(F82:Q82)</f>
        <v>152200</v>
      </c>
      <c r="F82" s="241"/>
      <c r="G82" s="241"/>
      <c r="H82" s="241"/>
      <c r="I82" s="241"/>
      <c r="J82" s="241"/>
      <c r="K82" s="241"/>
      <c r="L82" s="241"/>
      <c r="M82" s="241"/>
      <c r="N82" s="241"/>
      <c r="O82" s="241"/>
      <c r="P82" s="241"/>
      <c r="Q82" s="241"/>
      <c r="R82" s="241">
        <f>SUM(E82:Q82)</f>
        <v>152200</v>
      </c>
      <c r="S82" s="242"/>
      <c r="T82" s="242"/>
      <c r="U82" s="237"/>
    </row>
    <row r="83" spans="1:21" s="238" customFormat="1" ht="11.4">
      <c r="A83" s="239" t="s">
        <v>516</v>
      </c>
      <c r="B83" s="240">
        <f t="shared" ref="B83:B93" si="28">SUM(C83+D83)</f>
        <v>0</v>
      </c>
      <c r="C83" s="241"/>
      <c r="D83" s="241"/>
      <c r="E83" s="241"/>
      <c r="F83" s="241"/>
      <c r="G83" s="241"/>
      <c r="H83" s="241"/>
      <c r="I83" s="241"/>
      <c r="J83" s="241"/>
      <c r="K83" s="241"/>
      <c r="L83" s="241"/>
      <c r="M83" s="241"/>
      <c r="N83" s="241"/>
      <c r="O83" s="241"/>
      <c r="P83" s="241"/>
      <c r="Q83" s="241"/>
      <c r="R83" s="241">
        <f t="shared" ref="R83:R93" si="29">SUM(E83:Q83)</f>
        <v>0</v>
      </c>
      <c r="S83" s="241"/>
      <c r="T83" s="241"/>
      <c r="U83" s="237"/>
    </row>
    <row r="84" spans="1:21" s="238" customFormat="1" ht="11.4">
      <c r="A84" s="239" t="s">
        <v>517</v>
      </c>
      <c r="B84" s="240">
        <f t="shared" si="28"/>
        <v>567004</v>
      </c>
      <c r="C84" s="241">
        <v>567004</v>
      </c>
      <c r="D84" s="241"/>
      <c r="E84" s="241">
        <f t="shared" si="27"/>
        <v>567004</v>
      </c>
      <c r="F84" s="241"/>
      <c r="G84" s="241"/>
      <c r="H84" s="241"/>
      <c r="I84" s="241"/>
      <c r="J84" s="241"/>
      <c r="K84" s="241"/>
      <c r="L84" s="241"/>
      <c r="M84" s="241"/>
      <c r="N84" s="241"/>
      <c r="O84" s="241"/>
      <c r="P84" s="241"/>
      <c r="Q84" s="241"/>
      <c r="R84" s="241">
        <f t="shared" si="29"/>
        <v>567004</v>
      </c>
      <c r="S84" s="241">
        <f>R84</f>
        <v>567004</v>
      </c>
      <c r="T84" s="241"/>
      <c r="U84" s="237"/>
    </row>
    <row r="85" spans="1:21" s="238" customFormat="1" ht="11.4">
      <c r="A85" s="239" t="s">
        <v>518</v>
      </c>
      <c r="B85" s="240">
        <f t="shared" si="28"/>
        <v>0</v>
      </c>
      <c r="C85" s="241"/>
      <c r="D85" s="241"/>
      <c r="E85" s="241"/>
      <c r="F85" s="241"/>
      <c r="G85" s="241"/>
      <c r="H85" s="241"/>
      <c r="I85" s="241"/>
      <c r="J85" s="241"/>
      <c r="K85" s="241"/>
      <c r="L85" s="241"/>
      <c r="M85" s="241"/>
      <c r="N85" s="241"/>
      <c r="O85" s="241"/>
      <c r="P85" s="241"/>
      <c r="Q85" s="241"/>
      <c r="R85" s="241">
        <f t="shared" si="29"/>
        <v>0</v>
      </c>
      <c r="S85" s="241"/>
      <c r="T85" s="241"/>
      <c r="U85" s="237"/>
    </row>
    <row r="86" spans="1:21" s="238" customFormat="1" ht="11.4">
      <c r="A86" s="239" t="s">
        <v>519</v>
      </c>
      <c r="B86" s="240">
        <f t="shared" si="28"/>
        <v>0</v>
      </c>
      <c r="C86" s="241"/>
      <c r="D86" s="241"/>
      <c r="E86" s="241"/>
      <c r="F86" s="241"/>
      <c r="G86" s="241"/>
      <c r="H86" s="241"/>
      <c r="I86" s="241"/>
      <c r="J86" s="241"/>
      <c r="K86" s="241"/>
      <c r="L86" s="241"/>
      <c r="M86" s="241"/>
      <c r="N86" s="241"/>
      <c r="O86" s="241"/>
      <c r="P86" s="241"/>
      <c r="Q86" s="241"/>
      <c r="R86" s="241">
        <f t="shared" si="29"/>
        <v>0</v>
      </c>
      <c r="S86" s="241"/>
      <c r="T86" s="241"/>
      <c r="U86" s="237"/>
    </row>
    <row r="87" spans="1:21" s="238" customFormat="1" ht="11.4">
      <c r="A87" s="239" t="s">
        <v>520</v>
      </c>
      <c r="B87" s="240">
        <f t="shared" si="28"/>
        <v>80175</v>
      </c>
      <c r="C87" s="241">
        <v>80175</v>
      </c>
      <c r="D87" s="241"/>
      <c r="E87" s="241">
        <f t="shared" si="27"/>
        <v>80175</v>
      </c>
      <c r="F87" s="241"/>
      <c r="G87" s="241"/>
      <c r="H87" s="241"/>
      <c r="I87" s="241"/>
      <c r="J87" s="241"/>
      <c r="K87" s="241"/>
      <c r="L87" s="241"/>
      <c r="M87" s="241"/>
      <c r="N87" s="241"/>
      <c r="O87" s="241"/>
      <c r="P87" s="241"/>
      <c r="Q87" s="241"/>
      <c r="R87" s="241">
        <f t="shared" si="29"/>
        <v>80175</v>
      </c>
      <c r="S87" s="242"/>
      <c r="T87" s="242"/>
      <c r="U87" s="237"/>
    </row>
    <row r="88" spans="1:21" s="238" customFormat="1" ht="11.4">
      <c r="A88" s="239" t="s">
        <v>521</v>
      </c>
      <c r="B88" s="240">
        <f t="shared" si="28"/>
        <v>100000</v>
      </c>
      <c r="C88" s="241">
        <v>100000</v>
      </c>
      <c r="D88" s="241"/>
      <c r="E88" s="241">
        <f t="shared" si="27"/>
        <v>100000</v>
      </c>
      <c r="F88" s="241"/>
      <c r="G88" s="241"/>
      <c r="H88" s="241"/>
      <c r="I88" s="241"/>
      <c r="J88" s="241"/>
      <c r="K88" s="241"/>
      <c r="L88" s="241"/>
      <c r="M88" s="241"/>
      <c r="N88" s="241"/>
      <c r="O88" s="241"/>
      <c r="P88" s="241"/>
      <c r="Q88" s="241"/>
      <c r="R88" s="241">
        <f t="shared" si="29"/>
        <v>100000</v>
      </c>
      <c r="S88" s="241">
        <v>100000</v>
      </c>
      <c r="T88" s="241"/>
      <c r="U88" s="237"/>
    </row>
    <row r="89" spans="1:21" s="238" customFormat="1" ht="11.4">
      <c r="A89" s="239" t="s">
        <v>522</v>
      </c>
      <c r="B89" s="240">
        <f t="shared" si="28"/>
        <v>15000</v>
      </c>
      <c r="C89" s="241">
        <v>15000</v>
      </c>
      <c r="D89" s="241"/>
      <c r="E89" s="241">
        <f t="shared" si="27"/>
        <v>15000</v>
      </c>
      <c r="F89" s="241"/>
      <c r="G89" s="241"/>
      <c r="H89" s="241"/>
      <c r="I89" s="241"/>
      <c r="J89" s="241"/>
      <c r="K89" s="241"/>
      <c r="L89" s="241"/>
      <c r="M89" s="241"/>
      <c r="N89" s="241"/>
      <c r="O89" s="241"/>
      <c r="P89" s="241"/>
      <c r="Q89" s="241"/>
      <c r="R89" s="241">
        <f t="shared" si="29"/>
        <v>15000</v>
      </c>
      <c r="S89" s="241">
        <v>15000</v>
      </c>
      <c r="T89" s="241"/>
      <c r="U89" s="237"/>
    </row>
    <row r="90" spans="1:21" s="238" customFormat="1" ht="11.4">
      <c r="A90" s="250" t="s">
        <v>1315</v>
      </c>
      <c r="B90" s="240">
        <f t="shared" si="28"/>
        <v>75000</v>
      </c>
      <c r="C90" s="241">
        <v>75000</v>
      </c>
      <c r="D90" s="241"/>
      <c r="E90" s="241">
        <f t="shared" si="27"/>
        <v>75000</v>
      </c>
      <c r="F90" s="241"/>
      <c r="G90" s="241"/>
      <c r="H90" s="241"/>
      <c r="I90" s="241"/>
      <c r="J90" s="241"/>
      <c r="K90" s="241"/>
      <c r="L90" s="241"/>
      <c r="M90" s="241"/>
      <c r="N90" s="241"/>
      <c r="O90" s="241"/>
      <c r="P90" s="241"/>
      <c r="Q90" s="241"/>
      <c r="R90" s="241">
        <f t="shared" si="29"/>
        <v>75000</v>
      </c>
      <c r="S90" s="241">
        <v>55000</v>
      </c>
      <c r="T90" s="241"/>
      <c r="U90" s="237"/>
    </row>
    <row r="91" spans="1:21" s="238" customFormat="1" ht="11.4">
      <c r="A91" s="250" t="s">
        <v>1740</v>
      </c>
      <c r="B91" s="240">
        <f t="shared" si="28"/>
        <v>15000</v>
      </c>
      <c r="C91" s="241">
        <v>15000</v>
      </c>
      <c r="D91" s="241"/>
      <c r="E91" s="241">
        <f t="shared" si="27"/>
        <v>15000</v>
      </c>
      <c r="F91" s="241"/>
      <c r="G91" s="241"/>
      <c r="H91" s="241"/>
      <c r="I91" s="241"/>
      <c r="J91" s="241"/>
      <c r="K91" s="241"/>
      <c r="L91" s="241"/>
      <c r="M91" s="241"/>
      <c r="N91" s="241"/>
      <c r="O91" s="241"/>
      <c r="P91" s="241"/>
      <c r="Q91" s="241"/>
      <c r="R91" s="241">
        <f t="shared" si="29"/>
        <v>15000</v>
      </c>
      <c r="S91" s="241">
        <v>0</v>
      </c>
      <c r="T91" s="241"/>
      <c r="U91" s="237"/>
    </row>
    <row r="92" spans="1:21" s="238" customFormat="1" ht="11.4">
      <c r="A92" s="246" t="s">
        <v>533</v>
      </c>
      <c r="B92" s="240">
        <f t="shared" si="28"/>
        <v>0</v>
      </c>
      <c r="C92" s="241"/>
      <c r="D92" s="241"/>
      <c r="E92" s="241"/>
      <c r="F92" s="241"/>
      <c r="G92" s="241"/>
      <c r="H92" s="241"/>
      <c r="I92" s="241"/>
      <c r="J92" s="241"/>
      <c r="K92" s="241"/>
      <c r="L92" s="241"/>
      <c r="M92" s="241"/>
      <c r="N92" s="241"/>
      <c r="O92" s="241"/>
      <c r="P92" s="241"/>
      <c r="Q92" s="241"/>
      <c r="R92" s="241">
        <f t="shared" si="29"/>
        <v>0</v>
      </c>
      <c r="S92" s="241"/>
      <c r="T92" s="241"/>
      <c r="U92" s="237"/>
    </row>
    <row r="93" spans="1:21" s="238" customFormat="1" ht="11.4">
      <c r="A93" s="246" t="s">
        <v>533</v>
      </c>
      <c r="B93" s="240">
        <f t="shared" si="28"/>
        <v>0</v>
      </c>
      <c r="C93" s="241"/>
      <c r="D93" s="241"/>
      <c r="E93" s="241"/>
      <c r="F93" s="241"/>
      <c r="G93" s="241"/>
      <c r="H93" s="241"/>
      <c r="I93" s="241"/>
      <c r="J93" s="241"/>
      <c r="K93" s="241"/>
      <c r="L93" s="241"/>
      <c r="M93" s="241"/>
      <c r="N93" s="241"/>
      <c r="O93" s="241"/>
      <c r="P93" s="241"/>
      <c r="Q93" s="241"/>
      <c r="R93" s="241">
        <f t="shared" si="29"/>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1004379</v>
      </c>
      <c r="C95" s="240">
        <f t="shared" ref="C95:R95" si="30">SUM(C82:C94)</f>
        <v>1004379</v>
      </c>
      <c r="D95" s="240">
        <f t="shared" si="30"/>
        <v>0</v>
      </c>
      <c r="E95" s="240">
        <f t="shared" si="30"/>
        <v>1004379</v>
      </c>
      <c r="F95" s="240">
        <f t="shared" si="30"/>
        <v>0</v>
      </c>
      <c r="G95" s="240">
        <f t="shared" si="30"/>
        <v>0</v>
      </c>
      <c r="H95" s="240">
        <f t="shared" si="30"/>
        <v>0</v>
      </c>
      <c r="I95" s="240">
        <f t="shared" si="30"/>
        <v>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1004379</v>
      </c>
      <c r="S95" s="244">
        <f>SUM(S83:S86,S88:S94)</f>
        <v>737004</v>
      </c>
      <c r="T95" s="240">
        <f>SUM(T83:T86,T88:T94)</f>
        <v>0</v>
      </c>
      <c r="U95" s="237"/>
    </row>
    <row r="96" spans="1:21" s="238" customFormat="1">
      <c r="A96" s="243" t="s">
        <v>524</v>
      </c>
      <c r="B96" s="240">
        <f>SUM(C96:D96)</f>
        <v>40788682.519999996</v>
      </c>
      <c r="C96" s="240">
        <f t="shared" ref="C96:R96" si="31">SUM(C62+C69+C76+C80+C95)</f>
        <v>40788682.519999996</v>
      </c>
      <c r="D96" s="240">
        <f t="shared" si="31"/>
        <v>0</v>
      </c>
      <c r="E96" s="240">
        <f t="shared" si="31"/>
        <v>24215191.16</v>
      </c>
      <c r="F96" s="240">
        <f t="shared" si="31"/>
        <v>3075841.36</v>
      </c>
      <c r="G96" s="240">
        <f t="shared" si="31"/>
        <v>13497650</v>
      </c>
      <c r="H96" s="240">
        <f t="shared" si="31"/>
        <v>0</v>
      </c>
      <c r="I96" s="240">
        <f t="shared" si="31"/>
        <v>0</v>
      </c>
      <c r="J96" s="240">
        <f t="shared" si="31"/>
        <v>0</v>
      </c>
      <c r="K96" s="240">
        <f t="shared" si="31"/>
        <v>0</v>
      </c>
      <c r="L96" s="240">
        <f t="shared" si="31"/>
        <v>0</v>
      </c>
      <c r="M96" s="240">
        <f t="shared" si="31"/>
        <v>0</v>
      </c>
      <c r="N96" s="240">
        <f t="shared" si="31"/>
        <v>0</v>
      </c>
      <c r="O96" s="240">
        <f t="shared" si="31"/>
        <v>0</v>
      </c>
      <c r="P96" s="240">
        <f t="shared" si="31"/>
        <v>0</v>
      </c>
      <c r="Q96" s="240">
        <f t="shared" si="31"/>
        <v>0</v>
      </c>
      <c r="R96" s="240">
        <f t="shared" si="31"/>
        <v>40788682.519999996</v>
      </c>
      <c r="S96" s="244">
        <f>SUM(+S62+S69+S80+S95)</f>
        <v>35728848.879999995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 t="shared" ref="E98" si="32">C98-SUM(F98:Q98)</f>
        <v>2451465.58</v>
      </c>
      <c r="F98" s="241"/>
      <c r="G98" s="241"/>
      <c r="H98" s="241">
        <f>H107</f>
        <v>48534.42</v>
      </c>
      <c r="I98" s="241"/>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3">SUM(C98:C102)</f>
        <v>2500000</v>
      </c>
      <c r="D103" s="240">
        <f t="shared" si="33"/>
        <v>0</v>
      </c>
      <c r="E103" s="240">
        <f t="shared" si="33"/>
        <v>2451465.58</v>
      </c>
      <c r="F103" s="240">
        <f t="shared" si="33"/>
        <v>0</v>
      </c>
      <c r="G103" s="240">
        <f t="shared" si="33"/>
        <v>0</v>
      </c>
      <c r="H103" s="240">
        <f t="shared" si="33"/>
        <v>48534.42</v>
      </c>
      <c r="I103" s="240">
        <f t="shared" si="33"/>
        <v>0</v>
      </c>
      <c r="J103" s="240">
        <f t="shared" si="33"/>
        <v>0</v>
      </c>
      <c r="K103" s="240">
        <f t="shared" si="33"/>
        <v>0</v>
      </c>
      <c r="L103" s="240">
        <f t="shared" si="33"/>
        <v>0</v>
      </c>
      <c r="M103" s="240">
        <f t="shared" si="33"/>
        <v>0</v>
      </c>
      <c r="N103" s="240">
        <f t="shared" si="33"/>
        <v>0</v>
      </c>
      <c r="O103" s="240">
        <f t="shared" si="33"/>
        <v>0</v>
      </c>
      <c r="P103" s="240">
        <f t="shared" si="33"/>
        <v>0</v>
      </c>
      <c r="Q103" s="240">
        <f t="shared" si="33"/>
        <v>0</v>
      </c>
      <c r="R103" s="240">
        <f t="shared" si="33"/>
        <v>2500000</v>
      </c>
      <c r="S103" s="244">
        <f t="shared" si="33"/>
        <v>2500000</v>
      </c>
      <c r="T103" s="244">
        <f t="shared" si="33"/>
        <v>0</v>
      </c>
      <c r="U103" s="237"/>
    </row>
    <row r="104" spans="1:21" s="238" customFormat="1">
      <c r="A104" s="243" t="s">
        <v>1156</v>
      </c>
      <c r="B104" s="244">
        <f>SUM(C104:D104)</f>
        <v>43288682.519999996</v>
      </c>
      <c r="C104" s="244">
        <f t="shared" ref="C104:R104" si="34">SUM(C96+C103)</f>
        <v>43288682.519999996</v>
      </c>
      <c r="D104" s="244">
        <f t="shared" si="34"/>
        <v>0</v>
      </c>
      <c r="E104" s="244">
        <f t="shared" si="34"/>
        <v>26666656.740000002</v>
      </c>
      <c r="F104" s="244">
        <f t="shared" si="34"/>
        <v>3075841.36</v>
      </c>
      <c r="G104" s="244">
        <f t="shared" si="34"/>
        <v>13497650</v>
      </c>
      <c r="H104" s="244">
        <f t="shared" si="34"/>
        <v>48534.42</v>
      </c>
      <c r="I104" s="244">
        <f t="shared" si="34"/>
        <v>0</v>
      </c>
      <c r="J104" s="244">
        <f t="shared" si="34"/>
        <v>0</v>
      </c>
      <c r="K104" s="244">
        <f t="shared" si="34"/>
        <v>0</v>
      </c>
      <c r="L104" s="244">
        <f t="shared" si="34"/>
        <v>0</v>
      </c>
      <c r="M104" s="244">
        <f t="shared" si="34"/>
        <v>0</v>
      </c>
      <c r="N104" s="244">
        <f t="shared" si="34"/>
        <v>0</v>
      </c>
      <c r="O104" s="244">
        <f t="shared" si="34"/>
        <v>0</v>
      </c>
      <c r="P104" s="244">
        <f t="shared" si="34"/>
        <v>0</v>
      </c>
      <c r="Q104" s="244">
        <f t="shared" si="34"/>
        <v>0</v>
      </c>
      <c r="R104" s="240">
        <f t="shared" si="34"/>
        <v>43288682.519999996</v>
      </c>
      <c r="S104" s="244">
        <f>S96+S103</f>
        <v>38228848.879999995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38228848.879999995</v>
      </c>
      <c r="T106" s="244">
        <f>T104+T105</f>
        <v>0</v>
      </c>
      <c r="U106" s="256"/>
    </row>
    <row r="107" spans="1:21" s="258" customFormat="1">
      <c r="A107" s="257" t="s">
        <v>1107</v>
      </c>
      <c r="B107" s="252"/>
      <c r="C107" s="252"/>
      <c r="D107" s="252"/>
      <c r="E107" s="240">
        <f>Application!AO634</f>
        <v>26666656.739999998</v>
      </c>
      <c r="F107" s="240">
        <f>Application!AO621</f>
        <v>3075841.36</v>
      </c>
      <c r="G107" s="240">
        <f>Application!AO622</f>
        <v>13497650</v>
      </c>
      <c r="H107" s="240">
        <f>Application!AO623</f>
        <v>48534.42</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5" t="s">
        <v>1291</v>
      </c>
      <c r="E122" s="1585"/>
      <c r="F122" s="1585"/>
      <c r="U122" s="256"/>
    </row>
    <row r="123" spans="1:21" s="253" customFormat="1" ht="11.4">
      <c r="A123" s="253" t="s">
        <v>1292</v>
      </c>
      <c r="B123" s="546"/>
      <c r="D123" s="1587"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3.2">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AJ34" sqref="AJ34"/>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9" t="s">
        <v>1746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IF(T25=100%,"",'Sources and Basis Breakdown'!G2)</f>
        <v/>
      </c>
      <c r="Z7" s="1597"/>
      <c r="AA7" s="1597"/>
      <c r="AB7" s="1597"/>
      <c r="AC7" s="1597"/>
      <c r="AD7" s="1597" t="str">
        <f>IF(T25=100%,'Sources and Basis Breakdown'!J2,'Sources and Basis Breakdown'!I2)</f>
        <v>30% PVC for Acquisition
NON-DDA/
NON-QCT Building(s)</v>
      </c>
      <c r="AE7" s="1597"/>
      <c r="AF7" s="1597"/>
      <c r="AG7" s="1597"/>
      <c r="AH7" s="1597"/>
      <c r="AI7" s="1597" t="str">
        <f>IF(T25=100%,"",'Sources and Basis Breakdown'!J2)</f>
        <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38228848.879999995</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1712</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 customHeight="1">
      <c r="B14" s="8"/>
      <c r="C14" s="1624" t="s">
        <v>768</v>
      </c>
      <c r="D14" s="1624"/>
      <c r="E14" s="1624"/>
      <c r="F14" s="1624"/>
      <c r="G14" s="1624"/>
      <c r="H14" s="1624"/>
      <c r="I14" s="1624"/>
      <c r="J14" s="1624"/>
      <c r="K14" s="1624"/>
      <c r="L14" s="1624"/>
      <c r="M14" s="1624"/>
      <c r="N14" s="1624"/>
      <c r="O14" s="1624"/>
      <c r="P14" s="1624"/>
      <c r="Q14" s="1624"/>
      <c r="R14" s="1624"/>
      <c r="S14" s="1625"/>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 customHeight="1">
      <c r="B15" s="8"/>
      <c r="C15" s="1624" t="s">
        <v>769</v>
      </c>
      <c r="D15" s="1624"/>
      <c r="E15" s="1624"/>
      <c r="F15" s="1624"/>
      <c r="G15" s="1624"/>
      <c r="H15" s="1624"/>
      <c r="I15" s="1624"/>
      <c r="J15" s="1624"/>
      <c r="K15" s="1624"/>
      <c r="L15" s="1624"/>
      <c r="M15" s="1624"/>
      <c r="N15" s="1624"/>
      <c r="O15" s="1624"/>
      <c r="P15" s="1624"/>
      <c r="Q15" s="1624"/>
      <c r="R15" s="1624"/>
      <c r="S15" s="1625"/>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 customHeight="1">
      <c r="B16" s="8"/>
      <c r="C16" s="1623" t="s">
        <v>1012</v>
      </c>
      <c r="D16" s="1623"/>
      <c r="E16" s="1623"/>
      <c r="F16" s="1623"/>
      <c r="G16" s="1623"/>
      <c r="H16" s="1623"/>
      <c r="I16" s="1623"/>
      <c r="J16" s="1623"/>
      <c r="K16" s="1623"/>
      <c r="L16" s="1623"/>
      <c r="M16" s="1623"/>
      <c r="N16" s="1623"/>
      <c r="O16" s="1623"/>
      <c r="P16" s="1623"/>
      <c r="Q16" s="1623"/>
      <c r="R16" s="1623"/>
      <c r="S16" s="1626"/>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 customHeight="1">
      <c r="B17" s="8"/>
      <c r="C17" s="1624" t="s">
        <v>770</v>
      </c>
      <c r="D17" s="1624"/>
      <c r="E17" s="1624"/>
      <c r="F17" s="1624"/>
      <c r="G17" s="1624"/>
      <c r="H17" s="1624"/>
      <c r="I17" s="1624"/>
      <c r="J17" s="1624"/>
      <c r="K17" s="1624"/>
      <c r="L17" s="1624"/>
      <c r="M17" s="1624"/>
      <c r="N17" s="1624"/>
      <c r="O17" s="1624"/>
      <c r="P17" s="1624"/>
      <c r="Q17" s="1624"/>
      <c r="R17" s="1624"/>
      <c r="S17" s="1625"/>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 customHeight="1">
      <c r="B18" s="940"/>
      <c r="C18" s="1619" t="s">
        <v>1217</v>
      </c>
      <c r="D18" s="1619"/>
      <c r="E18" s="1619"/>
      <c r="F18" s="1619"/>
      <c r="G18" s="1619"/>
      <c r="H18" s="1619"/>
      <c r="I18" s="1619"/>
      <c r="J18" s="1619"/>
      <c r="K18" s="1619"/>
      <c r="L18" s="1619"/>
      <c r="M18" s="1619"/>
      <c r="N18" s="1619"/>
      <c r="O18" s="1619"/>
      <c r="P18" s="1619"/>
      <c r="Q18" s="1619"/>
      <c r="R18" s="1619"/>
      <c r="S18" s="1620"/>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 customHeight="1">
      <c r="B19" s="484"/>
      <c r="C19" s="1619" t="s">
        <v>1217</v>
      </c>
      <c r="D19" s="1619"/>
      <c r="E19" s="1619"/>
      <c r="F19" s="1619"/>
      <c r="G19" s="1619"/>
      <c r="H19" s="1619"/>
      <c r="I19" s="1619"/>
      <c r="J19" s="1619"/>
      <c r="K19" s="1619"/>
      <c r="L19" s="1619"/>
      <c r="M19" s="1619"/>
      <c r="N19" s="1619"/>
      <c r="O19" s="1619"/>
      <c r="P19" s="1619"/>
      <c r="Q19" s="1619"/>
      <c r="R19" s="1619"/>
      <c r="S19" s="1620"/>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3"/>
      <c r="V20" s="1293"/>
      <c r="W20" s="1293"/>
      <c r="X20" s="1293"/>
      <c r="Y20" s="1594">
        <f>SUM(Y13:AC19)</f>
        <v>0</v>
      </c>
      <c r="Z20" s="1293"/>
      <c r="AA20" s="1293"/>
      <c r="AB20" s="1293"/>
      <c r="AC20" s="1293"/>
      <c r="AD20" s="1293">
        <f>SUM(AD13:AH19)</f>
        <v>0</v>
      </c>
      <c r="AE20" s="1293"/>
      <c r="AF20" s="1293"/>
      <c r="AG20" s="1293"/>
      <c r="AH20" s="1293"/>
      <c r="AI20" s="1293">
        <f>SUM(AI13:AM19)</f>
        <v>0</v>
      </c>
      <c r="AJ20" s="1293"/>
      <c r="AK20" s="1293"/>
      <c r="AL20" s="1293"/>
      <c r="AM20" s="1293"/>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10440000</f>
        <v>10440000</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8">
        <f>(ABS(T20)+ABS(T21))*-1</f>
        <v>-10440000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 customHeight="1">
      <c r="B23" s="1102" t="s">
        <v>1905</v>
      </c>
      <c r="C23" s="1103"/>
      <c r="D23" s="1103"/>
      <c r="E23" s="1103"/>
      <c r="F23" s="1103"/>
      <c r="G23" s="1103"/>
      <c r="H23" s="1103"/>
      <c r="I23" s="1103"/>
      <c r="J23" s="1103"/>
      <c r="K23" s="1103"/>
      <c r="L23" s="1103"/>
      <c r="M23" s="1103"/>
      <c r="N23" s="1103"/>
      <c r="O23" s="1103"/>
      <c r="P23" s="1103"/>
      <c r="Q23" s="1103"/>
      <c r="R23" s="1103"/>
      <c r="S23" s="1105"/>
      <c r="T23" s="1594">
        <f>T11+T22</f>
        <v>27788848.879999995</v>
      </c>
      <c r="U23" s="1293"/>
      <c r="V23" s="1293"/>
      <c r="W23" s="1293"/>
      <c r="X23" s="1293"/>
      <c r="Y23" s="1594">
        <f>Y11+Y22</f>
        <v>0</v>
      </c>
      <c r="Z23" s="1293"/>
      <c r="AA23" s="1293"/>
      <c r="AB23" s="1293"/>
      <c r="AC23" s="1293"/>
      <c r="AD23" s="1594">
        <f>IF(AD11=AD21,0,AD11)</f>
        <v>0</v>
      </c>
      <c r="AE23" s="1293"/>
      <c r="AF23" s="1293"/>
      <c r="AG23" s="1293"/>
      <c r="AH23" s="1293"/>
      <c r="AI23" s="1594">
        <f>IF(AI11=AI21,0,AI11)</f>
        <v>0</v>
      </c>
      <c r="AJ23" s="1293"/>
      <c r="AK23" s="1293"/>
      <c r="AL23" s="1293"/>
      <c r="AM23" s="1293"/>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Application!AJ1020</f>
        <v>39427305</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1907</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27788848.879999995</v>
      </c>
      <c r="U26" s="1606"/>
      <c r="V26" s="1606"/>
      <c r="W26" s="1606"/>
      <c r="X26" s="1606"/>
      <c r="Y26" s="1093">
        <f>Y23*Y25</f>
        <v>0</v>
      </c>
      <c r="Z26" s="1606"/>
      <c r="AA26" s="1606"/>
      <c r="AB26" s="1606"/>
      <c r="AC26" s="1606"/>
      <c r="AD26" s="1093">
        <f>AD23*AD25</f>
        <v>0</v>
      </c>
      <c r="AE26" s="1606"/>
      <c r="AF26" s="1606"/>
      <c r="AG26" s="1606"/>
      <c r="AH26" s="1606"/>
      <c r="AI26" s="1093">
        <f>AI23*AI25</f>
        <v>0</v>
      </c>
      <c r="AJ26" s="1606"/>
      <c r="AK26" s="1606"/>
      <c r="AL26" s="1606"/>
      <c r="AM26" s="1606"/>
    </row>
    <row r="27" spans="1:39" ht="12.9"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27788848.879999995</v>
      </c>
      <c r="U28" s="1606"/>
      <c r="V28" s="1606"/>
      <c r="W28" s="1606"/>
      <c r="X28" s="1606"/>
      <c r="Y28" s="1093">
        <f>IF(ISERROR((Y26*Y27)),0,(Y26*Y27))</f>
        <v>0</v>
      </c>
      <c r="Z28" s="1606"/>
      <c r="AA28" s="1606"/>
      <c r="AB28" s="1606"/>
      <c r="AC28" s="1606"/>
      <c r="AD28" s="1093">
        <f>IF(ISERROR((AD26*AD27)),0,(AD26*AD27))</f>
        <v>0</v>
      </c>
      <c r="AE28" s="1606"/>
      <c r="AF28" s="1606"/>
      <c r="AG28" s="1606"/>
      <c r="AH28" s="1606"/>
      <c r="AI28" s="1093">
        <f>IF(ISERROR((AI26*AI27)),0,(AI26*AI27))</f>
        <v>0</v>
      </c>
      <c r="AJ28" s="1606"/>
      <c r="AK28" s="1606"/>
      <c r="AL28" s="1606"/>
      <c r="AM28" s="1606"/>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27788848.879999995</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608" t="s">
        <v>1906</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 customHeight="1">
      <c r="B31" s="1590" t="s">
        <v>1908</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4" ht="12.9" customHeight="1">
      <c r="B36" s="204"/>
      <c r="X36" s="71"/>
      <c r="Y36" s="1597"/>
      <c r="Z36" s="1597"/>
      <c r="AA36" s="1597"/>
      <c r="AB36" s="1597"/>
      <c r="AC36" s="1597"/>
      <c r="AD36" s="1225"/>
      <c r="AE36" s="1225"/>
      <c r="AF36" s="1225"/>
      <c r="AG36" s="1225"/>
      <c r="AH36" s="122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4"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3">
        <f>IF(T24&gt;=(T23+Y23+AD23+AI23),T28+Y28,0)</f>
        <v>27788848.879999995</v>
      </c>
      <c r="Z38" s="1293"/>
      <c r="AA38" s="1293"/>
      <c r="AB38" s="1293"/>
      <c r="AC38" s="1293"/>
      <c r="AD38" s="1293">
        <f>IF(T24&gt;=(T23+Y23+AD23+AI23),AD28+AI28,0)</f>
        <v>0</v>
      </c>
      <c r="AE38" s="1293"/>
      <c r="AF38" s="1293"/>
      <c r="AG38" s="1293"/>
      <c r="AH38" s="1293"/>
    </row>
    <row r="39" spans="1:44" ht="12.9" customHeight="1">
      <c r="B39" s="1102" t="s">
        <v>1815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3">
        <v>0.09</v>
      </c>
      <c r="Z39" s="1593"/>
      <c r="AA39" s="1593"/>
      <c r="AB39" s="1593"/>
      <c r="AC39" s="1593"/>
      <c r="AD39" s="1593">
        <v>0.04</v>
      </c>
      <c r="AE39" s="1593"/>
      <c r="AF39" s="1593"/>
      <c r="AG39" s="1593"/>
      <c r="AH39" s="1593"/>
    </row>
    <row r="40" spans="1:44"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3">
        <f>ROUND(Y38*Y39,0)</f>
        <v>2500996</v>
      </c>
      <c r="Z40" s="1293"/>
      <c r="AA40" s="1293"/>
      <c r="AB40" s="1293"/>
      <c r="AC40" s="1293"/>
      <c r="AD40" s="1594">
        <f>ROUND(AD38*AD39,0)</f>
        <v>0</v>
      </c>
      <c r="AE40" s="1293"/>
      <c r="AF40" s="1293"/>
      <c r="AG40" s="1293"/>
      <c r="AH40" s="1293"/>
    </row>
    <row r="41" spans="1:44"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IF(Application!Y211="No",'Basis &amp; Credits'!AR42,AR43)</f>
        <v>2500000</v>
      </c>
      <c r="Z41" s="1596"/>
      <c r="AA41" s="1596"/>
      <c r="AB41" s="1596"/>
      <c r="AC41" s="1596"/>
      <c r="AD41" s="1596"/>
      <c r="AE41" s="1596"/>
      <c r="AF41" s="1596"/>
      <c r="AG41" s="1596"/>
      <c r="AH41" s="1594"/>
    </row>
    <row r="42" spans="1:44" ht="12.9" customHeight="1">
      <c r="A42" s="3"/>
      <c r="B42" s="1605" t="s">
        <v>1816</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2500996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6">
        <f>'Sources and Uses Budget'!B104-(MAX(IF('Sources and Uses Budget'!B15="",0,'Sources and Uses Budget'!B15),IF(Application!AG387="",0,Application!AG387)))</f>
        <v>43288682.519999996</v>
      </c>
      <c r="AC46" s="1227"/>
      <c r="AD46" s="1227"/>
      <c r="AE46" s="1227"/>
      <c r="AF46" s="1228"/>
    </row>
    <row r="47" spans="1:44" ht="12.9" customHeight="1">
      <c r="D47" s="3" t="s">
        <v>837</v>
      </c>
      <c r="AB47" s="1226">
        <f>Application!AO633-MAX(IF('Sources and Uses Budget'!B15="",0,'Sources and Uses Budget'!B15),IF(Application!AG387="",0,Application!AG387))</f>
        <v>16622025.779999999</v>
      </c>
      <c r="AC47" s="1227"/>
      <c r="AD47" s="1227"/>
      <c r="AE47" s="1227"/>
      <c r="AF47" s="1228"/>
    </row>
    <row r="48" spans="1:44" ht="12.9" customHeight="1">
      <c r="D48" s="3" t="s">
        <v>378</v>
      </c>
      <c r="AB48" s="1226">
        <f>AB46-AB47</f>
        <v>26666656.739999995</v>
      </c>
      <c r="AC48" s="1227"/>
      <c r="AD48" s="1227"/>
      <c r="AE48" s="1227"/>
      <c r="AF48" s="1228"/>
    </row>
    <row r="49" spans="1:40" ht="12.9" customHeight="1">
      <c r="D49" s="3" t="s">
        <v>872</v>
      </c>
      <c r="AA49" s="34"/>
      <c r="AB49" s="1600">
        <v>0.8</v>
      </c>
      <c r="AC49" s="1601"/>
      <c r="AD49" s="1601"/>
      <c r="AE49" s="1601"/>
      <c r="AF49" s="1602"/>
    </row>
    <row r="50" spans="1:40" s="323" customFormat="1" ht="12.9" customHeight="1">
      <c r="A50"/>
      <c r="B50"/>
      <c r="C50"/>
      <c r="D50"/>
      <c r="E50" s="1607" t="s">
        <v>1951</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33333321</v>
      </c>
      <c r="AC53" s="1227"/>
      <c r="AD53" s="1227"/>
      <c r="AE53" s="1227"/>
      <c r="AF53" s="1228"/>
    </row>
    <row r="54" spans="1:40" ht="12.9" customHeight="1">
      <c r="D54" s="3" t="s">
        <v>561</v>
      </c>
      <c r="AB54" s="1226">
        <f>(AB53/10)</f>
        <v>3333332.1</v>
      </c>
      <c r="AC54" s="1227"/>
      <c r="AD54" s="1227"/>
      <c r="AE54" s="1227"/>
      <c r="AF54" s="1228"/>
    </row>
    <row r="55" spans="1:40" ht="12.9" customHeight="1">
      <c r="D55" s="3" t="s">
        <v>341</v>
      </c>
      <c r="AB55" s="1226">
        <f>(IF((Y41&lt;AB54),Y41,AB54))</f>
        <v>2500000</v>
      </c>
      <c r="AC55" s="1227"/>
      <c r="AD55" s="1227"/>
      <c r="AE55" s="1227"/>
      <c r="AF55" s="1228"/>
    </row>
    <row r="56" spans="1:40" ht="12.9" customHeight="1">
      <c r="D56" s="3" t="s">
        <v>107</v>
      </c>
      <c r="AB56" s="1226">
        <f>ROUND((10*AB55*AB49),0)</f>
        <v>20000000</v>
      </c>
      <c r="AC56" s="1227"/>
      <c r="AD56" s="1227"/>
      <c r="AE56" s="1227"/>
      <c r="AF56" s="1228"/>
    </row>
    <row r="57" spans="1:40" ht="12.9" customHeight="1">
      <c r="D57" s="3"/>
      <c r="AB57" s="276"/>
      <c r="AC57" s="276"/>
      <c r="AD57" s="276"/>
      <c r="AE57" s="276"/>
      <c r="AF57" s="276"/>
    </row>
    <row r="58" spans="1:40" ht="12.9" customHeight="1">
      <c r="D58" s="3" t="s">
        <v>106</v>
      </c>
      <c r="AB58" s="1297">
        <f>AB48-AB56</f>
        <v>6666656.7399999946</v>
      </c>
      <c r="AC58" s="1297"/>
      <c r="AD58" s="1297"/>
      <c r="AE58" s="1297"/>
      <c r="AF58" s="129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27788848.879999995</v>
      </c>
      <c r="Z63" s="1603"/>
      <c r="AA63" s="1603"/>
      <c r="AB63" s="1603"/>
      <c r="AC63" s="1603"/>
      <c r="AD63" s="1293">
        <f>IF(AND(T25=1.3,Application!D214="At-Risk"),AI28,IF(Application!D214&lt;&gt;"At-Risk",0,AD28))</f>
        <v>0</v>
      </c>
      <c r="AE63" s="1603"/>
      <c r="AF63" s="1603"/>
      <c r="AG63" s="1603"/>
      <c r="AH63" s="1603"/>
    </row>
    <row r="64" spans="1:40" ht="12.9"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 customHeight="1">
      <c r="C67" s="3"/>
      <c r="D67" s="3" t="s">
        <v>941</v>
      </c>
      <c r="Y67" s="1293">
        <f>ROUND(Y63*Y66,0)</f>
        <v>8336655</v>
      </c>
      <c r="Z67" s="1603"/>
      <c r="AA67" s="1603"/>
      <c r="AB67" s="1603"/>
      <c r="AC67" s="1603"/>
      <c r="AD67" s="1293" t="str">
        <f>IF(OR(Application!D211="At-Risk",Application!D211="At-Risk/Located in Rural Census Tract",Application!D214="At-Risk"),ROUND(AD63*AD66,0),"$0")</f>
        <v>$0</v>
      </c>
      <c r="AE67" s="1293"/>
      <c r="AF67" s="1293"/>
      <c r="AG67" s="1293"/>
      <c r="AH67" s="1293"/>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00">
        <v>0.8</v>
      </c>
      <c r="AC70" s="1601"/>
      <c r="AD70" s="1601"/>
      <c r="AE70" s="1601"/>
      <c r="AF70" s="1602"/>
    </row>
    <row r="71" spans="1:34" ht="12.9" customHeight="1">
      <c r="A71" s="3"/>
      <c r="C71" s="3"/>
      <c r="D71" s="3"/>
      <c r="E71" s="1604" t="s">
        <v>2248</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4">
        <f>ROUND(IF(ISERROR((AB58/AB70)),0,(AB58/AB70)),0)</f>
        <v>8333321</v>
      </c>
      <c r="AC75" s="1274"/>
      <c r="AD75" s="1274"/>
      <c r="AE75" s="1274"/>
      <c r="AF75" s="1274"/>
    </row>
    <row r="76" spans="1:34" ht="12.9" customHeight="1">
      <c r="C76" s="3"/>
      <c r="D76" s="3" t="s">
        <v>105</v>
      </c>
      <c r="AB76" s="1175">
        <f>IF((Y67+AD67&lt;AB75),Y67+AD67,AB75)</f>
        <v>8333321</v>
      </c>
      <c r="AC76" s="1176"/>
      <c r="AD76" s="1176"/>
      <c r="AE76" s="1176"/>
      <c r="AF76" s="1177"/>
    </row>
    <row r="77" spans="1:34" ht="12.9" customHeight="1">
      <c r="C77" s="3"/>
      <c r="D77" s="3" t="s">
        <v>942</v>
      </c>
      <c r="AB77" s="1598">
        <f>AB76*AB70</f>
        <v>6666656.8000000007</v>
      </c>
      <c r="AC77" s="1598"/>
      <c r="AD77" s="1598"/>
      <c r="AE77" s="1598"/>
      <c r="AF77" s="1598"/>
    </row>
    <row r="78" spans="1:34" ht="12.9" customHeight="1">
      <c r="C78" s="3"/>
      <c r="D78" s="3"/>
      <c r="AB78" s="598"/>
      <c r="AC78" s="598"/>
      <c r="AD78" s="598"/>
      <c r="AE78" s="598"/>
      <c r="AF78" s="598"/>
    </row>
    <row r="79" spans="1:34" ht="12.9" customHeight="1">
      <c r="D79" s="3" t="s">
        <v>106</v>
      </c>
      <c r="AB79" s="1297">
        <f>AB48-(AB56+AB77)</f>
        <v>-6.0000006109476089E-2</v>
      </c>
      <c r="AC79" s="1297"/>
      <c r="AD79" s="1297"/>
      <c r="AE79" s="1297"/>
      <c r="AF79" s="129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N19" sqref="N19"/>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1" t="s">
        <v>1823</v>
      </c>
      <c r="B1" s="1642"/>
      <c r="C1" s="1642"/>
      <c r="D1" s="1642"/>
      <c r="E1" s="1642"/>
      <c r="F1" s="1642"/>
      <c r="G1" s="1642"/>
      <c r="H1" s="1642"/>
      <c r="I1" s="1642"/>
      <c r="J1" s="1643"/>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2700000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2700000</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2700000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4989702</v>
      </c>
      <c r="C28" s="585"/>
      <c r="D28" s="585"/>
      <c r="E28" s="584">
        <f>'Sources and Uses Budget'!S29</f>
        <v>4989702</v>
      </c>
      <c r="F28" s="585"/>
      <c r="G28" s="585"/>
      <c r="H28" s="584">
        <f>'Sources and Uses Budget'!T29</f>
        <v>0</v>
      </c>
      <c r="I28" s="585"/>
      <c r="J28" s="585"/>
      <c r="K28" s="579"/>
    </row>
    <row r="29" spans="1:11" s="253" customFormat="1" ht="11.4">
      <c r="A29" s="239" t="s">
        <v>911</v>
      </c>
      <c r="B29" s="584">
        <f>'Sources and Uses Budget'!C30</f>
        <v>18000000</v>
      </c>
      <c r="C29" s="585"/>
      <c r="D29" s="585"/>
      <c r="E29" s="584">
        <f>'Sources and Uses Budget'!S30</f>
        <v>18000000</v>
      </c>
      <c r="F29" s="585"/>
      <c r="G29" s="585"/>
      <c r="H29" s="584">
        <f>'Sources and Uses Budget'!T30</f>
        <v>0</v>
      </c>
      <c r="I29" s="585"/>
      <c r="J29" s="585"/>
      <c r="K29" s="579"/>
    </row>
    <row r="30" spans="1:11" s="253" customFormat="1" ht="11.4">
      <c r="A30" s="239" t="s">
        <v>912</v>
      </c>
      <c r="B30" s="584">
        <f>'Sources and Uses Budget'!C31</f>
        <v>1509925.58</v>
      </c>
      <c r="C30" s="585"/>
      <c r="D30" s="585"/>
      <c r="E30" s="584">
        <f>'Sources and Uses Budget'!S31</f>
        <v>1509925.58</v>
      </c>
      <c r="F30" s="585"/>
      <c r="G30" s="585"/>
      <c r="H30" s="584">
        <f>'Sources and Uses Budget'!T31</f>
        <v>0</v>
      </c>
      <c r="I30" s="585"/>
      <c r="J30" s="585"/>
      <c r="K30" s="579"/>
    </row>
    <row r="31" spans="1:11" s="253" customFormat="1" ht="11.4">
      <c r="A31" s="239" t="s">
        <v>913</v>
      </c>
      <c r="B31" s="584">
        <f>'Sources and Uses Budget'!C32</f>
        <v>1183583.6160000002</v>
      </c>
      <c r="C31" s="585"/>
      <c r="D31" s="585"/>
      <c r="E31" s="584">
        <f>'Sources and Uses Budget'!S32</f>
        <v>1183583.6160000002</v>
      </c>
      <c r="F31" s="585"/>
      <c r="G31" s="585"/>
      <c r="H31" s="584">
        <f>'Sources and Uses Budget'!T32</f>
        <v>0</v>
      </c>
      <c r="I31" s="585"/>
      <c r="J31" s="585"/>
      <c r="K31" s="579"/>
    </row>
    <row r="32" spans="1:11" s="253" customFormat="1" ht="11.4">
      <c r="A32" s="239" t="s">
        <v>914</v>
      </c>
      <c r="B32" s="584">
        <f>'Sources and Uses Budget'!C33</f>
        <v>295895.90400000004</v>
      </c>
      <c r="C32" s="585"/>
      <c r="D32" s="585"/>
      <c r="E32" s="584">
        <f>'Sources and Uses Budget'!S33</f>
        <v>295895.90400000004</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567582.14</v>
      </c>
      <c r="C34" s="585"/>
      <c r="D34" s="585"/>
      <c r="E34" s="584">
        <f>'Sources and Uses Budget'!S35</f>
        <v>567582.14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250000</v>
      </c>
      <c r="C35" s="585"/>
      <c r="D35" s="585"/>
      <c r="E35" s="584">
        <f>'Sources and Uses Budget'!S36</f>
        <v>250000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26796689.239999998</v>
      </c>
      <c r="C37" s="584">
        <f>SUM(C28:C36)</f>
        <v>0</v>
      </c>
      <c r="D37" s="584">
        <f>SUM(D28:D36)</f>
        <v>0</v>
      </c>
      <c r="E37" s="584">
        <f>'Sources and Uses Budget'!S38</f>
        <v>26796689.239999998</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651345</v>
      </c>
      <c r="C39" s="585"/>
      <c r="D39" s="585"/>
      <c r="E39" s="584">
        <f>'Sources and Uses Budget'!S40</f>
        <v>651345</v>
      </c>
      <c r="F39" s="585"/>
      <c r="G39" s="585"/>
      <c r="H39" s="584">
        <f>'Sources and Uses Budget'!T40</f>
        <v>0</v>
      </c>
      <c r="I39" s="585"/>
      <c r="J39" s="585"/>
      <c r="K39" s="579"/>
    </row>
    <row r="40" spans="1:11" s="253" customFormat="1" ht="11.4">
      <c r="A40" s="239" t="s">
        <v>922</v>
      </c>
      <c r="B40" s="584">
        <f>'Sources and Uses Budget'!C41</f>
        <v>651345</v>
      </c>
      <c r="C40" s="585"/>
      <c r="D40" s="585"/>
      <c r="E40" s="584">
        <f>'Sources and Uses Budget'!S41</f>
        <v>651345</v>
      </c>
      <c r="F40" s="585"/>
      <c r="G40" s="585"/>
      <c r="H40" s="584">
        <f>'Sources and Uses Budget'!T41</f>
        <v>0</v>
      </c>
      <c r="I40" s="585"/>
      <c r="J40" s="585"/>
      <c r="K40" s="579"/>
    </row>
    <row r="41" spans="1:11" s="253" customFormat="1">
      <c r="A41" s="243" t="s">
        <v>923</v>
      </c>
      <c r="B41" s="584">
        <f>'Sources and Uses Budget'!C42</f>
        <v>1302690</v>
      </c>
      <c r="C41" s="584">
        <f>SUM(C38:C40)</f>
        <v>0</v>
      </c>
      <c r="D41" s="584">
        <f>SUM(D38:D40)</f>
        <v>0</v>
      </c>
      <c r="E41" s="584">
        <f>'Sources and Uses Budget'!S42</f>
        <v>1302690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0</v>
      </c>
      <c r="C42" s="585"/>
      <c r="D42" s="585"/>
      <c r="E42" s="584">
        <f>'Sources and Uses Budget'!S43</f>
        <v>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3887398.11</v>
      </c>
      <c r="C44" s="585"/>
      <c r="D44" s="585"/>
      <c r="E44" s="584">
        <f>'Sources and Uses Budget'!S45</f>
        <v>2803148</v>
      </c>
      <c r="F44" s="585"/>
      <c r="G44" s="585"/>
      <c r="H44" s="584">
        <f>'Sources and Uses Budget'!T45</f>
        <v>0</v>
      </c>
      <c r="I44" s="585"/>
      <c r="J44" s="585"/>
      <c r="K44" s="579"/>
    </row>
    <row r="45" spans="1:11" s="253" customFormat="1" ht="11.4">
      <c r="A45" s="239" t="s">
        <v>927</v>
      </c>
      <c r="B45" s="584">
        <f>'Sources and Uses Budget'!C46</f>
        <v>421540.16</v>
      </c>
      <c r="C45" s="585"/>
      <c r="D45" s="585"/>
      <c r="E45" s="584">
        <f>'Sources and Uses Budget'!S46</f>
        <v>303967</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283791.07</v>
      </c>
      <c r="C47" s="585"/>
      <c r="D47" s="585"/>
      <c r="E47" s="584">
        <f>'Sources and Uses Budget'!S48</f>
        <v>283791</v>
      </c>
      <c r="F47" s="585"/>
      <c r="G47" s="585"/>
      <c r="H47" s="584">
        <f>'Sources and Uses Budget'!T48</f>
        <v>0</v>
      </c>
      <c r="I47" s="585"/>
      <c r="J47" s="585"/>
      <c r="K47" s="579"/>
    </row>
    <row r="48" spans="1:11" s="253" customFormat="1" ht="11.4">
      <c r="A48" s="239" t="s">
        <v>932</v>
      </c>
      <c r="B48" s="584">
        <f>'Sources and Uses Budget'!C49</f>
        <v>60000</v>
      </c>
      <c r="C48" s="585"/>
      <c r="D48" s="585"/>
      <c r="E48" s="584">
        <f>'Sources and Uses Budget'!S49</f>
        <v>25000</v>
      </c>
      <c r="F48" s="585"/>
      <c r="G48" s="585"/>
      <c r="H48" s="584">
        <f>'Sources and Uses Budget'!T49</f>
        <v>0</v>
      </c>
      <c r="I48" s="585"/>
      <c r="J48" s="585"/>
      <c r="K48" s="579"/>
    </row>
    <row r="49" spans="1:11" s="253" customFormat="1" ht="11.4">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Bond issuance</v>
      </c>
      <c r="B51" s="584">
        <f>'Sources and Uses Budget'!C52</f>
        <v>50000</v>
      </c>
      <c r="C51" s="585"/>
      <c r="D51" s="585"/>
      <c r="E51" s="584">
        <f>'Sources and Uses Budget'!S52</f>
        <v>50000</v>
      </c>
      <c r="F51" s="585"/>
      <c r="G51" s="585"/>
      <c r="H51" s="584">
        <f>'Sources and Uses Budget'!T52</f>
        <v>0</v>
      </c>
      <c r="I51" s="585"/>
      <c r="J51" s="585"/>
      <c r="K51" s="579"/>
    </row>
    <row r="52" spans="1:11" s="577" customFormat="1">
      <c r="A52" s="243" t="s">
        <v>933</v>
      </c>
      <c r="B52" s="584">
        <f>'Sources and Uses Budget'!C53</f>
        <v>4702729.34</v>
      </c>
      <c r="C52" s="587">
        <f>SUM(C44:C51)</f>
        <v>0</v>
      </c>
      <c r="D52" s="587">
        <f>SUM(D44:D51)</f>
        <v>0</v>
      </c>
      <c r="E52" s="584">
        <f>'Sources and Uses Budget'!S53</f>
        <v>3465906</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46758.41</v>
      </c>
      <c r="C54" s="585"/>
      <c r="D54" s="585"/>
      <c r="E54" s="586"/>
      <c r="F54" s="586"/>
      <c r="G54" s="586"/>
      <c r="H54" s="586"/>
      <c r="I54" s="586"/>
      <c r="J54" s="586"/>
      <c r="K54" s="579"/>
    </row>
    <row r="55" spans="1:11" s="253" customFormat="1" ht="12" customHeight="1">
      <c r="A55" s="239" t="s">
        <v>928</v>
      </c>
      <c r="B55" s="584">
        <f>'Sources and Uses Budget'!C56</f>
        <v>500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Bridge Loan Interest/Legal</v>
      </c>
      <c r="B59" s="584">
        <f>'Sources and Uses Budget'!C60</f>
        <v>88000</v>
      </c>
      <c r="C59" s="585"/>
      <c r="D59" s="585"/>
      <c r="E59" s="586"/>
      <c r="F59" s="586"/>
      <c r="G59" s="586"/>
      <c r="H59" s="586"/>
      <c r="I59" s="586"/>
      <c r="J59" s="586"/>
      <c r="K59" s="579"/>
    </row>
    <row r="60" spans="1:11" s="253" customFormat="1" ht="13.95" customHeight="1">
      <c r="A60" s="243" t="s">
        <v>500</v>
      </c>
      <c r="B60" s="584">
        <f>'Sources and Uses Budget'!C61</f>
        <v>135258.41</v>
      </c>
      <c r="C60" s="584">
        <f>SUM(C54:C59)</f>
        <v>0</v>
      </c>
      <c r="D60" s="584">
        <f>SUM(D54:D59)</f>
        <v>0</v>
      </c>
      <c r="E60" s="586"/>
      <c r="F60" s="586"/>
      <c r="G60" s="586"/>
      <c r="H60" s="586"/>
      <c r="I60" s="586"/>
      <c r="J60" s="586"/>
      <c r="K60" s="579"/>
    </row>
    <row r="61" spans="1:11" s="253" customFormat="1" ht="11.4">
      <c r="A61" s="249" t="s">
        <v>501</v>
      </c>
      <c r="B61" s="584">
        <f>'Sources and Uses Budget'!C62</f>
        <v>35637366.989999995</v>
      </c>
      <c r="C61" s="584">
        <f>SUM(C8+C11+C13+C14+C15+C25+C26+C37+C41+C42+C52+C60)</f>
        <v>0</v>
      </c>
      <c r="D61" s="584">
        <f>SUM(D8+D11+D13+D14+D15+D25+D26+D37+D41+D42+D52+D60)</f>
        <v>0</v>
      </c>
      <c r="E61" s="584">
        <f>'Sources and Uses Budget'!S62</f>
        <v>31565285.239999998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185000</v>
      </c>
      <c r="C63" s="585"/>
      <c r="D63" s="585"/>
      <c r="E63" s="584">
        <f>'Sources and Uses Budget'!S64</f>
        <v>70000</v>
      </c>
      <c r="F63" s="585"/>
      <c r="G63" s="585"/>
      <c r="H63" s="584">
        <f>'Sources and Uses Budget'!T64</f>
        <v>0</v>
      </c>
      <c r="I63" s="585"/>
      <c r="J63" s="585"/>
      <c r="K63" s="579"/>
    </row>
    <row r="64" spans="1:11" s="253" customFormat="1" ht="22.8">
      <c r="A64" s="239" t="s">
        <v>1954</v>
      </c>
      <c r="B64" s="584">
        <f>'Sources and Uses Budget'!C65</f>
        <v>250000</v>
      </c>
      <c r="C64" s="585"/>
      <c r="D64" s="585"/>
      <c r="E64" s="584">
        <f>'Sources and Uses Budget'!S65</f>
        <v>250000</v>
      </c>
      <c r="F64" s="585"/>
      <c r="G64" s="585"/>
      <c r="H64" s="584">
        <f>'Sources and Uses Budget'!T65</f>
        <v>0</v>
      </c>
      <c r="I64" s="585"/>
      <c r="J64" s="585"/>
      <c r="K64" s="579"/>
    </row>
    <row r="65" spans="1:11" s="253" customFormat="1" ht="22.8">
      <c r="A65" s="239" t="s">
        <v>1955</v>
      </c>
      <c r="B65" s="584">
        <f>'Sources and Uses Budget'!C66</f>
        <v>352440</v>
      </c>
      <c r="C65" s="585"/>
      <c r="D65" s="585"/>
      <c r="E65" s="584">
        <f>'Sources and Uses Budget'!S66</f>
        <v>352440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787440</v>
      </c>
      <c r="C68" s="584">
        <f>SUM(C62:C67)</f>
        <v>0</v>
      </c>
      <c r="D68" s="584">
        <f>SUM(D62:D67)</f>
        <v>0</v>
      </c>
      <c r="E68" s="584">
        <f>'Sources and Uses Budget'!S69</f>
        <v>672440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225376.89</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225376.89</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2554119.64</v>
      </c>
      <c r="C77" s="585"/>
      <c r="D77" s="585"/>
      <c r="E77" s="584">
        <f>'Sources and Uses Budget'!S78</f>
        <v>2554119.64</v>
      </c>
      <c r="F77" s="585"/>
      <c r="G77" s="585"/>
      <c r="H77" s="584">
        <f>'Sources and Uses Budget'!T78</f>
        <v>0</v>
      </c>
      <c r="I77" s="585"/>
      <c r="J77" s="585"/>
      <c r="K77" s="579"/>
    </row>
    <row r="78" spans="1:11" s="253" customFormat="1" ht="11.4">
      <c r="A78" s="239" t="s">
        <v>538</v>
      </c>
      <c r="B78" s="584">
        <f>'Sources and Uses Budget'!C79</f>
        <v>580000</v>
      </c>
      <c r="C78" s="585"/>
      <c r="D78" s="585"/>
      <c r="E78" s="584">
        <f>'Sources and Uses Budget'!S79</f>
        <v>200000</v>
      </c>
      <c r="F78" s="585"/>
      <c r="G78" s="585"/>
      <c r="H78" s="584">
        <f>'Sources and Uses Budget'!T79</f>
        <v>0</v>
      </c>
      <c r="I78" s="585"/>
      <c r="J78" s="585"/>
      <c r="K78" s="579"/>
    </row>
    <row r="79" spans="1:11" s="253" customFormat="1">
      <c r="A79" s="243" t="s">
        <v>1742</v>
      </c>
      <c r="B79" s="584">
        <f>'Sources and Uses Budget'!C80</f>
        <v>3134119.64</v>
      </c>
      <c r="C79" s="667">
        <f>SUM(C77:C78)</f>
        <v>0</v>
      </c>
      <c r="D79" s="667">
        <f>SUM(D77:D78)</f>
        <v>0</v>
      </c>
      <c r="E79" s="584">
        <f>'Sources and Uses Budget'!S80</f>
        <v>2754119.64</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152200</v>
      </c>
      <c r="C81" s="585"/>
      <c r="D81" s="585"/>
      <c r="E81" s="586"/>
      <c r="F81" s="586"/>
      <c r="G81" s="586"/>
      <c r="H81" s="586"/>
      <c r="I81" s="586"/>
      <c r="J81" s="586"/>
      <c r="K81" s="579"/>
    </row>
    <row r="82" spans="1:11" s="253" customFormat="1" ht="11.4">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ht="11.4">
      <c r="A83" s="239" t="s">
        <v>517</v>
      </c>
      <c r="B83" s="584">
        <f>'Sources and Uses Budget'!C84</f>
        <v>567004</v>
      </c>
      <c r="C83" s="585"/>
      <c r="D83" s="585"/>
      <c r="E83" s="584">
        <f>'Sources and Uses Budget'!S84</f>
        <v>567004</v>
      </c>
      <c r="F83" s="585"/>
      <c r="G83" s="585"/>
      <c r="H83" s="584">
        <f>'Sources and Uses Budget'!T84</f>
        <v>0</v>
      </c>
      <c r="I83" s="585"/>
      <c r="J83" s="585"/>
      <c r="K83" s="579"/>
    </row>
    <row r="84" spans="1:11" s="253" customFormat="1" ht="11.4">
      <c r="A84" s="239" t="s">
        <v>518</v>
      </c>
      <c r="B84" s="584">
        <f>'Sources and Uses Budget'!C85</f>
        <v>0</v>
      </c>
      <c r="C84" s="585"/>
      <c r="D84" s="585"/>
      <c r="E84" s="584">
        <f>'Sources and Uses Budget'!S85</f>
        <v>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80175</v>
      </c>
      <c r="C86" s="585"/>
      <c r="D86" s="585"/>
      <c r="E86" s="586"/>
      <c r="F86" s="586"/>
      <c r="G86" s="586"/>
      <c r="H86" s="586"/>
      <c r="I86" s="586"/>
      <c r="J86" s="586"/>
      <c r="K86" s="579"/>
    </row>
    <row r="87" spans="1:11" s="253" customFormat="1" ht="11.4">
      <c r="A87" s="239" t="s">
        <v>521</v>
      </c>
      <c r="B87" s="584">
        <f>'Sources and Uses Budget'!C88</f>
        <v>100000</v>
      </c>
      <c r="C87" s="585"/>
      <c r="D87" s="585"/>
      <c r="E87" s="584">
        <f>'Sources and Uses Budget'!S88</f>
        <v>100000</v>
      </c>
      <c r="F87" s="585"/>
      <c r="G87" s="585"/>
      <c r="H87" s="584">
        <f>'Sources and Uses Budget'!T88</f>
        <v>0</v>
      </c>
      <c r="I87" s="585"/>
      <c r="J87" s="585"/>
      <c r="K87" s="579"/>
    </row>
    <row r="88" spans="1:11" s="253" customFormat="1" ht="11.4">
      <c r="A88" s="239" t="s">
        <v>522</v>
      </c>
      <c r="B88" s="584">
        <f>'Sources and Uses Budget'!C89</f>
        <v>15000</v>
      </c>
      <c r="C88" s="585"/>
      <c r="D88" s="585"/>
      <c r="E88" s="584">
        <f>'Sources and Uses Budget'!S89</f>
        <v>15000</v>
      </c>
      <c r="F88" s="585"/>
      <c r="G88" s="585"/>
      <c r="H88" s="584">
        <f>'Sources and Uses Budget'!T89</f>
        <v>0</v>
      </c>
      <c r="I88" s="585"/>
      <c r="J88" s="585"/>
      <c r="K88" s="579"/>
    </row>
    <row r="89" spans="1:11" s="253" customFormat="1" ht="11.4">
      <c r="A89" s="239" t="s">
        <v>1315</v>
      </c>
      <c r="B89" s="584">
        <f>'Sources and Uses Budget'!C90</f>
        <v>75000</v>
      </c>
      <c r="C89" s="585"/>
      <c r="D89" s="585"/>
      <c r="E89" s="584">
        <f>'Sources and Uses Budget'!S90</f>
        <v>55000</v>
      </c>
      <c r="F89" s="585"/>
      <c r="G89" s="585"/>
      <c r="H89" s="584">
        <f>'Sources and Uses Budget'!T90</f>
        <v>0</v>
      </c>
      <c r="I89" s="585"/>
      <c r="J89" s="585"/>
      <c r="K89" s="579"/>
    </row>
    <row r="90" spans="1:11" s="253" customFormat="1" ht="11.4">
      <c r="A90" s="239" t="s">
        <v>1740</v>
      </c>
      <c r="B90" s="584">
        <f>'Sources and Uses Budget'!C91</f>
        <v>15000</v>
      </c>
      <c r="C90" s="585"/>
      <c r="D90" s="585"/>
      <c r="E90" s="584">
        <f>'Sources and Uses Budget'!S91</f>
        <v>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1004379</v>
      </c>
      <c r="C94" s="584">
        <f>SUM(C81:C93)</f>
        <v>0</v>
      </c>
      <c r="D94" s="584">
        <f>SUM(D81:D93)</f>
        <v>0</v>
      </c>
      <c r="E94" s="584">
        <f>'Sources and Uses Budget'!S95</f>
        <v>737004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40788682.519999996</v>
      </c>
      <c r="C95" s="584">
        <f>SUM(C61+C68+C75+C79+C94)</f>
        <v>0</v>
      </c>
      <c r="D95" s="584">
        <f>SUM(D61+D68+D75+D79+D94)</f>
        <v>0</v>
      </c>
      <c r="E95" s="584">
        <f>'Sources and Uses Budget'!S96</f>
        <v>35728848.879999995</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43288682.519999996</v>
      </c>
      <c r="C103" s="587">
        <f>SUM(C95+C102)</f>
        <v>0</v>
      </c>
      <c r="D103" s="587">
        <f>SUM(D95+D102)</f>
        <v>0</v>
      </c>
      <c r="E103" s="584">
        <f>'Sources and Uses Budget'!S104</f>
        <v>38228848.879999995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38228848.879999995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243" workbookViewId="0">
      <selection activeCell="H204" sqref="H204:I20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2321</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124</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2207</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65"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tr">
        <f>Application!AA329</f>
        <v>The John Stewart Company</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50000000000003"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2200</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5"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2115</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731</v>
      </c>
      <c r="I112" s="1681"/>
      <c r="J112" s="116"/>
      <c r="K112" s="116"/>
      <c r="L112" s="116"/>
      <c r="M112" s="936" t="s">
        <v>2099</v>
      </c>
      <c r="R112" s="1800" t="s">
        <v>2219</v>
      </c>
      <c r="S112" s="1800"/>
      <c r="T112" s="1800"/>
      <c r="U112" s="1800"/>
      <c r="V112" s="1800"/>
      <c r="W112" s="1800"/>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1"/>
      <c r="AN112" s="956"/>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1"/>
      <c r="AN113" s="956"/>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2" t="s">
        <v>2247</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124</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147</v>
      </c>
      <c r="F118" s="116"/>
      <c r="G118" s="116"/>
      <c r="H118" s="1799" t="s">
        <v>124</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1769</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1837</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197</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2</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09" t="s">
        <v>59</v>
      </c>
      <c r="AG156" s="1109"/>
      <c r="AH156" s="1109"/>
      <c r="AI156" s="1109"/>
      <c r="AJ156" s="1109"/>
      <c r="AK156" s="1109"/>
      <c r="AL156" s="1109"/>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1713</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09" t="s">
        <v>60</v>
      </c>
      <c r="AG160" s="1109"/>
      <c r="AH160" s="1109"/>
      <c r="AI160" s="1109"/>
      <c r="AJ160" s="1109"/>
      <c r="AK160" s="1109"/>
      <c r="AL160" s="1109"/>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1714</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09" t="s">
        <v>61</v>
      </c>
      <c r="AG164" s="1109"/>
      <c r="AH164" s="1109"/>
      <c r="AI164" s="1109"/>
      <c r="AJ164" s="1109"/>
      <c r="AK164" s="1109"/>
      <c r="AL164" s="1109"/>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09"/>
      <c r="AF165" s="1109"/>
      <c r="AG165" s="1109"/>
      <c r="AH165" s="1109"/>
      <c r="AI165" s="1109"/>
      <c r="AJ165" s="1109"/>
      <c r="AK165" s="1109"/>
      <c r="AL165" s="966"/>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1715</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09" t="s">
        <v>60</v>
      </c>
      <c r="AG168" s="1109"/>
      <c r="AH168" s="1109"/>
      <c r="AI168" s="1109"/>
      <c r="AJ168" s="1109"/>
      <c r="AK168" s="1109"/>
      <c r="AL168" s="1109"/>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44" t="s">
        <v>1716</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09" t="s">
        <v>103</v>
      </c>
      <c r="AG176" s="1109"/>
      <c r="AH176" s="1109"/>
      <c r="AI176" s="1109"/>
      <c r="AJ176" s="1109"/>
      <c r="AK176" s="1109"/>
      <c r="AL176" s="1109"/>
      <c r="AM176" s="20"/>
      <c r="AN176" s="281"/>
      <c r="AO176" s="26" t="s">
        <v>281</v>
      </c>
      <c r="AP176" s="4">
        <v>1</v>
      </c>
    </row>
    <row r="177" spans="1:61" s="4" customFormat="1" ht="22.95"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09" t="s">
        <v>318</v>
      </c>
      <c r="AG179" s="1109"/>
      <c r="AH179" s="1109"/>
      <c r="AI179" s="1109"/>
      <c r="AJ179" s="1109"/>
      <c r="AK179" s="1109"/>
      <c r="AL179" s="1109"/>
      <c r="AM179" s="20"/>
      <c r="AN179" s="281"/>
    </row>
    <row r="180" spans="1:61" s="4" customFormat="1" ht="22.95"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581</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2310</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5" t="s">
        <v>61</v>
      </c>
      <c r="AG188" s="1135"/>
      <c r="AH188" s="1135"/>
      <c r="AI188" s="1135"/>
      <c r="AJ188" s="1135"/>
      <c r="AK188" s="1135"/>
      <c r="AL188" s="1135"/>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2233</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09" t="s">
        <v>61</v>
      </c>
      <c r="AG191" s="1109"/>
      <c r="AH191" s="1109"/>
      <c r="AI191" s="1109"/>
      <c r="AJ191" s="1109"/>
      <c r="AK191" s="1109"/>
      <c r="AL191" s="1109"/>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2234</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09" t="s">
        <v>103</v>
      </c>
      <c r="AG196" s="1109"/>
      <c r="AH196" s="1109"/>
      <c r="AI196" s="1109"/>
      <c r="AJ196" s="1109"/>
      <c r="AK196" s="1109"/>
      <c r="AL196" s="1109"/>
      <c r="AN196" s="281"/>
      <c r="AY196" s="4" t="s">
        <v>2235</v>
      </c>
      <c r="AZ196" s="958">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09"/>
      <c r="AG197" s="1109"/>
      <c r="AH197" s="1109"/>
      <c r="AI197" s="1109"/>
      <c r="AJ197" s="1109"/>
      <c r="AK197" s="1109"/>
      <c r="AL197" s="1109"/>
      <c r="AN197" s="281"/>
      <c r="AO197" s="127" t="b">
        <f>IF(OR(Application!D214="Special Needs",Application!D211="At-Risk and Special Needs"),IF(BA203&gt;=0.25,TRUE,FALSE),IF(AZ203&gt;=0.25,TRUE,FALSE))</f>
        <v>1</v>
      </c>
      <c r="AY197" s="4" t="s">
        <v>2236</v>
      </c>
      <c r="AZ197" s="958">
        <f>Application!G730</f>
        <v>71</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2238</v>
      </c>
      <c r="AZ198" s="4">
        <f>Application!CC626</f>
        <v>18</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2292</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2241</v>
      </c>
      <c r="AZ202">
        <f>AZ198+AZ199+AZ201</f>
        <v>18</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2242</v>
      </c>
      <c r="AZ203">
        <f>IFERROR(AZ202/AZ197,0)</f>
        <v>0.25352112676056338</v>
      </c>
      <c r="BA203">
        <f>IFERROR(AZ202/(AZ197-AZ196),0)</f>
        <v>0.25352112676056338</v>
      </c>
    </row>
    <row r="204" spans="1:53" customFormat="1" ht="12.75" customHeight="1">
      <c r="A204" s="4"/>
      <c r="B204" s="5"/>
      <c r="C204" s="45"/>
      <c r="D204" s="4" t="s">
        <v>147</v>
      </c>
      <c r="E204" s="116"/>
      <c r="F204" s="116"/>
      <c r="G204" s="116"/>
      <c r="H204" s="1681" t="s">
        <v>197</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124</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4" t="s">
        <v>1949</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1950</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4" t="s">
        <v>2209</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19</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2438</v>
      </c>
      <c r="I287" s="1056"/>
      <c r="J287" s="1056"/>
      <c r="K287" s="1056"/>
      <c r="L287" s="1056"/>
      <c r="M287" s="1056"/>
      <c r="N287" s="1056"/>
      <c r="O287" s="1056"/>
      <c r="P287" s="1056"/>
      <c r="Q287" s="1056"/>
      <c r="R287" s="1056"/>
      <c r="S287"/>
      <c r="T287" s="41" t="s">
        <v>89</v>
      </c>
      <c r="U287"/>
      <c r="V287" s="41"/>
      <c r="W287" s="41"/>
      <c r="X287" s="41"/>
      <c r="Y287" s="41"/>
      <c r="Z287"/>
      <c r="AA287" s="1056" t="s">
        <v>2444</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2439</v>
      </c>
      <c r="I288" s="1054"/>
      <c r="J288" s="1054"/>
      <c r="K288" s="1054"/>
      <c r="L288" s="1054"/>
      <c r="M288" s="1054"/>
      <c r="N288" s="1054"/>
      <c r="O288" s="1054"/>
      <c r="P288" s="1054"/>
      <c r="Q288" s="1054"/>
      <c r="R288" s="1054"/>
      <c r="S288"/>
      <c r="T288" s="41" t="s">
        <v>699</v>
      </c>
      <c r="U288"/>
      <c r="V288" s="41"/>
      <c r="W288" s="41"/>
      <c r="X288" s="41"/>
      <c r="Y288" s="41"/>
      <c r="Z288"/>
      <c r="AA288" s="1054" t="s">
        <v>2445</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2440</v>
      </c>
      <c r="I289" s="1054"/>
      <c r="J289" s="1054"/>
      <c r="K289" s="1054"/>
      <c r="L289" s="1054"/>
      <c r="M289" s="1054"/>
      <c r="N289" s="1054"/>
      <c r="O289" s="1054"/>
      <c r="P289" s="1054"/>
      <c r="Q289" s="1054"/>
      <c r="R289" s="1054"/>
      <c r="S289"/>
      <c r="T289" s="41" t="s">
        <v>99</v>
      </c>
      <c r="U289"/>
      <c r="V289" s="41"/>
      <c r="W289" s="41"/>
      <c r="X289" s="41"/>
      <c r="Y289" s="41"/>
      <c r="Z289"/>
      <c r="AA289" s="1054" t="s">
        <v>2446</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2441</v>
      </c>
      <c r="I290" s="1054"/>
      <c r="J290" s="1054"/>
      <c r="K290" s="1054"/>
      <c r="L290" s="1054"/>
      <c r="M290" s="1054"/>
      <c r="N290" s="1054"/>
      <c r="O290" s="1054"/>
      <c r="P290" s="1054"/>
      <c r="Q290" s="1054"/>
      <c r="R290" s="1054"/>
      <c r="S290"/>
      <c r="T290" s="41" t="s">
        <v>374</v>
      </c>
      <c r="U290"/>
      <c r="V290" s="41"/>
      <c r="W290" s="41"/>
      <c r="X290" s="41"/>
      <c r="Y290" s="41"/>
      <c r="Z290"/>
      <c r="AA290" s="1054" t="s">
        <v>2447</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2442</v>
      </c>
      <c r="I291" s="1057"/>
      <c r="J291" s="1057"/>
      <c r="K291" s="1057"/>
      <c r="L291" s="1057"/>
      <c r="M291" s="1057"/>
      <c r="N291" s="5" t="s">
        <v>818</v>
      </c>
      <c r="O291" s="5"/>
      <c r="P291" s="1053"/>
      <c r="Q291" s="1053"/>
      <c r="R291" s="1053"/>
      <c r="S291" s="41"/>
      <c r="T291" s="41" t="s">
        <v>375</v>
      </c>
      <c r="U291"/>
      <c r="V291" s="41"/>
      <c r="W291" s="41"/>
      <c r="X291" s="41"/>
      <c r="Y291" s="41"/>
      <c r="Z291"/>
      <c r="AA291" s="1057" t="s">
        <v>2448</v>
      </c>
      <c r="AB291" s="1057"/>
      <c r="AC291" s="1057"/>
      <c r="AD291" s="1057"/>
      <c r="AE291" s="1057"/>
      <c r="AF291" s="1057"/>
      <c r="AG291" s="5" t="s">
        <v>818</v>
      </c>
      <c r="AH291" s="5"/>
      <c r="AI291" s="1053"/>
      <c r="AJ291" s="1053"/>
      <c r="AK291" s="1053"/>
      <c r="AL291" s="10"/>
      <c r="AN291" s="281"/>
      <c r="AO291" s="211"/>
      <c r="AP291" t="s">
        <v>2316</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2443</v>
      </c>
      <c r="I293" s="1054"/>
      <c r="J293" s="1054"/>
      <c r="K293" s="1054"/>
      <c r="L293" s="1054"/>
      <c r="M293" s="1054"/>
      <c r="N293" s="1054"/>
      <c r="O293" s="1054"/>
      <c r="P293" s="1054"/>
      <c r="Q293" s="1054"/>
      <c r="R293" s="1054"/>
      <c r="S293" s="41"/>
      <c r="T293" s="41" t="s">
        <v>90</v>
      </c>
      <c r="U293"/>
      <c r="V293" s="41"/>
      <c r="W293" s="41"/>
      <c r="X293" s="41"/>
      <c r="Y293" s="41"/>
      <c r="Z293"/>
      <c r="AA293" s="1054" t="s">
        <v>2449</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8">
        <v>0.42</v>
      </c>
      <c r="I294" s="1858"/>
      <c r="J294" s="1858"/>
      <c r="K294" s="1858"/>
      <c r="L294" s="1858"/>
      <c r="M294" s="1858"/>
      <c r="N294" s="1858"/>
      <c r="O294" s="1858"/>
      <c r="P294" s="1858"/>
      <c r="Q294" s="1858"/>
      <c r="R294" s="1858"/>
      <c r="S294" s="41"/>
      <c r="T294" s="41" t="s">
        <v>101</v>
      </c>
      <c r="U294" s="41"/>
      <c r="V294" s="41"/>
      <c r="W294" s="41"/>
      <c r="X294" s="41"/>
      <c r="Y294" s="41"/>
      <c r="Z294" s="12"/>
      <c r="AA294" s="1858">
        <v>6.8000000000000005E-2</v>
      </c>
      <c r="AB294" s="1858"/>
      <c r="AC294" s="1858"/>
      <c r="AD294" s="1858"/>
      <c r="AE294" s="1858"/>
      <c r="AF294" s="1858"/>
      <c r="AG294" s="1858"/>
      <c r="AH294" s="1858"/>
      <c r="AI294" s="1858"/>
      <c r="AJ294" s="1858"/>
      <c r="AK294" s="1858"/>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2450</v>
      </c>
      <c r="I296" s="1056"/>
      <c r="J296" s="1056"/>
      <c r="K296" s="1056"/>
      <c r="L296" s="1056"/>
      <c r="M296" s="1056"/>
      <c r="N296" s="1056"/>
      <c r="O296" s="1056"/>
      <c r="P296" s="1056"/>
      <c r="Q296" s="1056"/>
      <c r="R296" s="1056"/>
      <c r="S296"/>
      <c r="T296" s="41" t="s">
        <v>89</v>
      </c>
      <c r="U296"/>
      <c r="V296" s="41"/>
      <c r="W296" s="41"/>
      <c r="X296" s="41"/>
      <c r="Y296" s="41"/>
      <c r="Z296"/>
      <c r="AA296" s="1056" t="s">
        <v>2454</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2451</v>
      </c>
      <c r="I297" s="1054"/>
      <c r="J297" s="1054"/>
      <c r="K297" s="1054"/>
      <c r="L297" s="1054"/>
      <c r="M297" s="1054"/>
      <c r="N297" s="1054"/>
      <c r="O297" s="1054"/>
      <c r="P297" s="1054"/>
      <c r="Q297" s="1054"/>
      <c r="R297" s="1054"/>
      <c r="S297"/>
      <c r="T297" s="41" t="s">
        <v>699</v>
      </c>
      <c r="U297"/>
      <c r="V297" s="41"/>
      <c r="W297" s="41"/>
      <c r="X297" s="41"/>
      <c r="Y297" s="41"/>
      <c r="Z297"/>
      <c r="AA297" s="1054" t="s">
        <v>2455</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2440</v>
      </c>
      <c r="I298" s="1054"/>
      <c r="J298" s="1054"/>
      <c r="K298" s="1054"/>
      <c r="L298" s="1054"/>
      <c r="M298" s="1054"/>
      <c r="N298" s="1054"/>
      <c r="O298" s="1054"/>
      <c r="P298" s="1054"/>
      <c r="Q298" s="1054"/>
      <c r="R298" s="1054"/>
      <c r="S298"/>
      <c r="T298" s="41" t="s">
        <v>99</v>
      </c>
      <c r="U298"/>
      <c r="V298" s="41"/>
      <c r="W298" s="41"/>
      <c r="X298" s="41"/>
      <c r="Y298" s="41"/>
      <c r="Z298"/>
      <c r="AA298" s="1054" t="s">
        <v>2440</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2441</v>
      </c>
      <c r="I299" s="1054"/>
      <c r="J299" s="1054"/>
      <c r="K299" s="1054"/>
      <c r="L299" s="1054"/>
      <c r="M299" s="1054"/>
      <c r="N299" s="1054"/>
      <c r="O299" s="1054"/>
      <c r="P299" s="1054"/>
      <c r="Q299" s="1054"/>
      <c r="R299" s="1054"/>
      <c r="S299"/>
      <c r="T299" s="41" t="s">
        <v>374</v>
      </c>
      <c r="U299"/>
      <c r="V299" s="41"/>
      <c r="W299" s="41"/>
      <c r="X299" s="41"/>
      <c r="Y299" s="41"/>
      <c r="Z299"/>
      <c r="AA299" s="1054" t="s">
        <v>2456</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2452</v>
      </c>
      <c r="I300" s="1057"/>
      <c r="J300" s="1057"/>
      <c r="K300" s="1057"/>
      <c r="L300" s="1057"/>
      <c r="M300" s="1057"/>
      <c r="N300" s="5" t="s">
        <v>818</v>
      </c>
      <c r="O300" s="5"/>
      <c r="P300" s="1053"/>
      <c r="Q300" s="1053"/>
      <c r="R300" s="1053"/>
      <c r="S300" s="41"/>
      <c r="T300" s="41" t="s">
        <v>375</v>
      </c>
      <c r="U300"/>
      <c r="V300" s="41"/>
      <c r="W300" s="41"/>
      <c r="X300" s="41"/>
      <c r="Y300" s="41"/>
      <c r="Z300"/>
      <c r="AA300" s="1057" t="s">
        <v>2457</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t="s">
        <v>93</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2453</v>
      </c>
      <c r="I302" s="1054"/>
      <c r="J302" s="1054"/>
      <c r="K302" s="1054"/>
      <c r="L302" s="1054"/>
      <c r="M302" s="1054"/>
      <c r="N302" s="1054"/>
      <c r="O302" s="1054"/>
      <c r="P302" s="1054"/>
      <c r="Q302" s="1054"/>
      <c r="R302" s="1054"/>
      <c r="S302" s="41"/>
      <c r="T302" s="41" t="s">
        <v>90</v>
      </c>
      <c r="U302"/>
      <c r="V302" s="41"/>
      <c r="W302" s="41"/>
      <c r="X302" s="41"/>
      <c r="Y302" s="41"/>
      <c r="Z302"/>
      <c r="AA302" s="1054" t="s">
        <v>2458</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8">
        <v>0.9</v>
      </c>
      <c r="I303" s="1858"/>
      <c r="J303" s="1858"/>
      <c r="K303" s="1858"/>
      <c r="L303" s="1858"/>
      <c r="M303" s="1858"/>
      <c r="N303" s="1858"/>
      <c r="O303" s="1858"/>
      <c r="P303" s="1858"/>
      <c r="Q303" s="1858"/>
      <c r="R303" s="1858"/>
      <c r="S303" s="41"/>
      <c r="T303" s="41" t="s">
        <v>101</v>
      </c>
      <c r="U303" s="41"/>
      <c r="V303" s="41"/>
      <c r="W303" s="41"/>
      <c r="X303" s="41"/>
      <c r="Y303" s="41"/>
      <c r="Z303" s="12"/>
      <c r="AA303" s="1858">
        <v>1.0900000000000001</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2459</v>
      </c>
      <c r="I305" s="1056"/>
      <c r="J305" s="1056"/>
      <c r="K305" s="1056"/>
      <c r="L305" s="1056"/>
      <c r="M305" s="1056"/>
      <c r="N305" s="1056"/>
      <c r="O305" s="1056"/>
      <c r="P305" s="1056"/>
      <c r="Q305" s="1056"/>
      <c r="R305" s="1056"/>
      <c r="S305"/>
      <c r="T305" s="41" t="s">
        <v>89</v>
      </c>
      <c r="U305"/>
      <c r="V305" s="41"/>
      <c r="W305" s="41"/>
      <c r="X305" s="41"/>
      <c r="Y305" s="41"/>
      <c r="Z305"/>
      <c r="AA305" s="1056" t="s">
        <v>2464</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2460</v>
      </c>
      <c r="I306" s="1054"/>
      <c r="J306" s="1054"/>
      <c r="K306" s="1054"/>
      <c r="L306" s="1054"/>
      <c r="M306" s="1054"/>
      <c r="N306" s="1054"/>
      <c r="O306" s="1054"/>
      <c r="P306" s="1054"/>
      <c r="Q306" s="1054"/>
      <c r="R306" s="1054"/>
      <c r="S306"/>
      <c r="T306" s="41" t="s">
        <v>699</v>
      </c>
      <c r="U306"/>
      <c r="V306" s="41"/>
      <c r="W306" s="41"/>
      <c r="X306" s="41"/>
      <c r="Y306" s="41"/>
      <c r="Z306"/>
      <c r="AA306" s="1054" t="s">
        <v>2465</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2440</v>
      </c>
      <c r="I307" s="1054"/>
      <c r="J307" s="1054"/>
      <c r="K307" s="1054"/>
      <c r="L307" s="1054"/>
      <c r="M307" s="1054"/>
      <c r="N307" s="1054"/>
      <c r="O307" s="1054"/>
      <c r="P307" s="1054"/>
      <c r="Q307" s="1054"/>
      <c r="R307" s="1054"/>
      <c r="S307"/>
      <c r="T307" s="41" t="s">
        <v>99</v>
      </c>
      <c r="U307"/>
      <c r="V307" s="41"/>
      <c r="W307" s="41"/>
      <c r="X307" s="41"/>
      <c r="Y307" s="41"/>
      <c r="Z307"/>
      <c r="AA307" s="1054" t="s">
        <v>2440</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2461</v>
      </c>
      <c r="I308" s="1054"/>
      <c r="J308" s="1054"/>
      <c r="K308" s="1054"/>
      <c r="L308" s="1054"/>
      <c r="M308" s="1054"/>
      <c r="N308" s="1054"/>
      <c r="O308" s="1054"/>
      <c r="P308" s="1054"/>
      <c r="Q308" s="1054"/>
      <c r="R308" s="1054"/>
      <c r="S308"/>
      <c r="T308" s="41" t="s">
        <v>374</v>
      </c>
      <c r="U308"/>
      <c r="V308" s="41"/>
      <c r="W308" s="41"/>
      <c r="X308" s="41"/>
      <c r="Y308" s="41"/>
      <c r="Z308"/>
      <c r="AA308" s="1054" t="s">
        <v>2456</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2462</v>
      </c>
      <c r="I309" s="1057"/>
      <c r="J309" s="1057"/>
      <c r="K309" s="1057"/>
      <c r="L309" s="1057"/>
      <c r="M309" s="1057"/>
      <c r="N309" s="5" t="s">
        <v>818</v>
      </c>
      <c r="O309" s="5"/>
      <c r="P309" s="1053"/>
      <c r="Q309" s="1053"/>
      <c r="R309" s="1053"/>
      <c r="S309" s="41"/>
      <c r="T309" s="41" t="s">
        <v>375</v>
      </c>
      <c r="U309"/>
      <c r="V309" s="41"/>
      <c r="W309" s="41"/>
      <c r="X309" s="41"/>
      <c r="Y309" s="41"/>
      <c r="Z309"/>
      <c r="AA309" s="1057" t="s">
        <v>2466</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100</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2463</v>
      </c>
      <c r="I311" s="1054"/>
      <c r="J311" s="1054"/>
      <c r="K311" s="1054"/>
      <c r="L311" s="1054"/>
      <c r="M311" s="1054"/>
      <c r="N311" s="1054"/>
      <c r="O311" s="1054"/>
      <c r="P311" s="1054"/>
      <c r="Q311" s="1054"/>
      <c r="R311" s="1054"/>
      <c r="S311" s="41"/>
      <c r="T311" s="41" t="s">
        <v>90</v>
      </c>
      <c r="U311"/>
      <c r="V311" s="41"/>
      <c r="W311" s="41"/>
      <c r="X311" s="41"/>
      <c r="Y311" s="41"/>
      <c r="Z311"/>
      <c r="AA311" s="1054" t="s">
        <v>2467</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8">
        <v>0.74</v>
      </c>
      <c r="I312" s="1858"/>
      <c r="J312" s="1858"/>
      <c r="K312" s="1858"/>
      <c r="L312" s="1858"/>
      <c r="M312" s="1858"/>
      <c r="N312" s="1858"/>
      <c r="O312" s="1858"/>
      <c r="P312" s="1858"/>
      <c r="Q312" s="1858"/>
      <c r="R312" s="1858"/>
      <c r="S312" s="41"/>
      <c r="T312" s="41" t="s">
        <v>101</v>
      </c>
      <c r="U312" s="41"/>
      <c r="V312" s="41"/>
      <c r="W312" s="41"/>
      <c r="X312" s="41"/>
      <c r="Y312" s="41"/>
      <c r="Z312" s="12"/>
      <c r="AA312" s="1858">
        <v>0.91</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8"/>
      <c r="I321" s="1858"/>
      <c r="J321" s="1858"/>
      <c r="K321" s="1858"/>
      <c r="L321" s="1858"/>
      <c r="M321" s="1858"/>
      <c r="N321" s="1858"/>
      <c r="O321" s="1858"/>
      <c r="P321" s="1858"/>
      <c r="Q321" s="1858"/>
      <c r="R321" s="1858"/>
      <c r="S321" s="41"/>
      <c r="T321" s="41" t="s">
        <v>101</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8"/>
      <c r="I330" s="1858"/>
      <c r="J330" s="1858"/>
      <c r="K330" s="1858"/>
      <c r="L330" s="1858"/>
      <c r="M330" s="1858"/>
      <c r="N330" s="1858"/>
      <c r="O330" s="1858"/>
      <c r="P330" s="1858"/>
      <c r="Q330" s="1858"/>
      <c r="R330" s="1858"/>
      <c r="S330" s="41"/>
      <c r="T330" s="41" t="s">
        <v>101</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6"/>
      <c r="AN333" s="3"/>
    </row>
    <row r="334" spans="1:76" s="4" customFormat="1" ht="12.75" customHeight="1">
      <c r="A334" s="3"/>
      <c r="B334" s="5"/>
      <c r="C334" s="1857" t="s">
        <v>1838</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1839</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2293</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1840</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1.85"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1776</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1809</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7</v>
      </c>
    </row>
    <row r="359" spans="1:46" s="4" customFormat="1" ht="12.75" customHeight="1">
      <c r="A359" s="27"/>
      <c r="B359" s="26"/>
      <c r="C359" s="1857" t="s">
        <v>1841</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431</v>
      </c>
      <c r="AP361" s="71">
        <f>IF(C409="Yes",5,0)</f>
        <v>0</v>
      </c>
    </row>
    <row r="362" spans="1:46" s="4" customFormat="1" ht="11.85"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3</v>
      </c>
    </row>
    <row r="363" spans="1:46" s="4" customFormat="1" ht="12.4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171</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434</v>
      </c>
      <c r="AP365" s="71">
        <f>IF(C423="Yes",5,0)</f>
        <v>0</v>
      </c>
    </row>
    <row r="366" spans="1:46" s="4" customFormat="1" ht="12.75" customHeight="1">
      <c r="A366" s="27"/>
      <c r="B366" s="26"/>
      <c r="C366" s="1857" t="s">
        <v>1842</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099999999999994"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10</v>
      </c>
      <c r="AQ368" s="1225">
        <f>IF(AP368&gt;0,AP368,0)</f>
        <v>10</v>
      </c>
      <c r="AR368" s="1225"/>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1">
        <f>Application!CQ649-U371</f>
        <v>136</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2">
        <f>IF(Application!D214="SRO",Application!CQ628,Application!AG733)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1785</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1784</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0" t="s">
        <v>1948</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1783</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5"/>
      <c r="E414" s="698" t="s">
        <v>193</v>
      </c>
      <c r="F414" s="1699" t="s">
        <v>1787</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1789</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1790</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5"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9" t="s">
        <v>1791</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1794</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7" t="s">
        <v>319</v>
      </c>
      <c r="AG455" s="1867"/>
      <c r="AH455" s="1867"/>
      <c r="AI455" s="1867"/>
      <c r="AJ455" s="1867"/>
      <c r="AK455" s="1867"/>
      <c r="AL455" s="1868"/>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1831</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7" t="s">
        <v>319</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1832</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7"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1" t="s">
        <v>1498</v>
      </c>
      <c r="AQ507" s="1282"/>
      <c r="AR507" s="1283"/>
      <c r="AS507" s="624">
        <v>80</v>
      </c>
      <c r="AT507" s="4">
        <v>0</v>
      </c>
      <c r="AU507" s="160">
        <v>10</v>
      </c>
      <c r="AV507" s="160">
        <v>25</v>
      </c>
      <c r="AW507" s="160">
        <v>37.5</v>
      </c>
      <c r="AX507" s="160">
        <v>35</v>
      </c>
      <c r="AY507" s="160">
        <v>37.5</v>
      </c>
      <c r="AZ507" s="160">
        <v>50</v>
      </c>
      <c r="BA507" s="160">
        <v>50</v>
      </c>
      <c r="BB507" s="21"/>
      <c r="BC507" s="21"/>
      <c r="BE507" s="1281" t="s">
        <v>1498</v>
      </c>
      <c r="BF507" s="1282"/>
      <c r="BG507" s="128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4"/>
      <c r="AQ508" s="1285"/>
      <c r="AR508" s="1286"/>
      <c r="AS508" s="624">
        <v>75</v>
      </c>
      <c r="AT508" s="4">
        <v>0</v>
      </c>
      <c r="AU508" s="160">
        <v>10</v>
      </c>
      <c r="AV508" s="160">
        <v>25</v>
      </c>
      <c r="AW508" s="160">
        <v>37.5</v>
      </c>
      <c r="AX508" s="160">
        <v>35</v>
      </c>
      <c r="AY508" s="160">
        <v>37.5</v>
      </c>
      <c r="AZ508" s="160">
        <v>50</v>
      </c>
      <c r="BA508" s="160">
        <v>50</v>
      </c>
      <c r="BB508" s="21"/>
      <c r="BC508" s="21"/>
      <c r="BE508" s="1284"/>
      <c r="BF508" s="1285"/>
      <c r="BG508" s="128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4"/>
      <c r="AQ509" s="1285"/>
      <c r="AR509" s="1286"/>
      <c r="AS509" s="624">
        <v>70</v>
      </c>
      <c r="AT509" s="4">
        <v>0</v>
      </c>
      <c r="AU509" s="160">
        <v>10</v>
      </c>
      <c r="AV509" s="160">
        <v>25</v>
      </c>
      <c r="AW509" s="160">
        <v>37.5</v>
      </c>
      <c r="AX509" s="160">
        <v>35</v>
      </c>
      <c r="AY509" s="160">
        <v>37.5</v>
      </c>
      <c r="AZ509" s="160">
        <v>50</v>
      </c>
      <c r="BA509" s="160">
        <v>50</v>
      </c>
      <c r="BB509" s="21"/>
      <c r="BC509" s="21"/>
      <c r="BE509" s="1284"/>
      <c r="BF509" s="1285"/>
      <c r="BG509" s="128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4"/>
      <c r="AQ510" s="1285"/>
      <c r="AR510" s="1286"/>
      <c r="AS510" s="624">
        <v>65</v>
      </c>
      <c r="AT510" s="4">
        <v>0</v>
      </c>
      <c r="AU510" s="160">
        <v>10</v>
      </c>
      <c r="AV510" s="160">
        <v>25</v>
      </c>
      <c r="AW510" s="160">
        <v>37.5</v>
      </c>
      <c r="AX510" s="160">
        <v>35</v>
      </c>
      <c r="AY510" s="160">
        <v>37.5</v>
      </c>
      <c r="AZ510" s="160">
        <v>50</v>
      </c>
      <c r="BA510" s="160">
        <v>50</v>
      </c>
      <c r="BB510" s="21"/>
      <c r="BC510" s="21"/>
      <c r="BE510" s="1284"/>
      <c r="BF510" s="1285"/>
      <c r="BG510" s="128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4"/>
      <c r="AQ511" s="1285"/>
      <c r="AR511" s="1286"/>
      <c r="AS511" s="624">
        <v>60</v>
      </c>
      <c r="AT511" s="4">
        <v>0</v>
      </c>
      <c r="AU511" s="160">
        <v>10</v>
      </c>
      <c r="AV511" s="160">
        <v>25</v>
      </c>
      <c r="AW511" s="160">
        <v>37.5</v>
      </c>
      <c r="AX511" s="160">
        <v>35</v>
      </c>
      <c r="AY511" s="160">
        <v>37.5</v>
      </c>
      <c r="AZ511" s="160">
        <v>50</v>
      </c>
      <c r="BA511" s="160">
        <v>50</v>
      </c>
      <c r="BB511" s="21"/>
      <c r="BC511" s="21"/>
      <c r="BE511" s="1284"/>
      <c r="BF511" s="1285"/>
      <c r="BG511" s="128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4"/>
      <c r="AQ512" s="1285"/>
      <c r="AR512" s="1286"/>
      <c r="AS512" s="624">
        <v>55</v>
      </c>
      <c r="AT512" s="4">
        <v>0</v>
      </c>
      <c r="AU512" s="160">
        <v>10</v>
      </c>
      <c r="AV512" s="160">
        <v>25</v>
      </c>
      <c r="AW512" s="160">
        <v>37.5</v>
      </c>
      <c r="AX512" s="160">
        <v>35</v>
      </c>
      <c r="AY512" s="160">
        <v>37.5</v>
      </c>
      <c r="AZ512" s="160">
        <v>50</v>
      </c>
      <c r="BA512" s="160">
        <v>50</v>
      </c>
      <c r="BE512" s="1284"/>
      <c r="BF512" s="1285"/>
      <c r="BG512" s="128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4"/>
      <c r="AQ513" s="1285"/>
      <c r="AR513" s="1286"/>
      <c r="AS513" s="159">
        <v>50</v>
      </c>
      <c r="AT513" s="4">
        <v>0</v>
      </c>
      <c r="AU513" s="160">
        <v>10</v>
      </c>
      <c r="AV513" s="160">
        <v>25</v>
      </c>
      <c r="AW513" s="160">
        <v>37.5</v>
      </c>
      <c r="AX513" s="160">
        <v>35</v>
      </c>
      <c r="AY513" s="160">
        <v>37.5</v>
      </c>
      <c r="AZ513" s="160">
        <v>50</v>
      </c>
      <c r="BA513" s="160">
        <v>50</v>
      </c>
      <c r="BE513" s="1284"/>
      <c r="BF513" s="1285"/>
      <c r="BG513" s="128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4"/>
      <c r="AQ514" s="1285"/>
      <c r="AR514" s="1286"/>
      <c r="AS514" s="159">
        <v>45</v>
      </c>
      <c r="AT514" s="4">
        <v>0</v>
      </c>
      <c r="AU514" s="160">
        <v>10</v>
      </c>
      <c r="AV514" s="160">
        <v>22.5</v>
      </c>
      <c r="AW514" s="160">
        <v>33.799999999999997</v>
      </c>
      <c r="AX514" s="160">
        <v>35</v>
      </c>
      <c r="AY514" s="160">
        <v>37.5</v>
      </c>
      <c r="AZ514" s="160">
        <v>50</v>
      </c>
      <c r="BA514" s="160">
        <v>50</v>
      </c>
      <c r="BE514" s="1284"/>
      <c r="BF514" s="1285"/>
      <c r="BG514" s="128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4"/>
      <c r="AQ515" s="1285"/>
      <c r="AR515" s="1286"/>
      <c r="AS515" s="159">
        <v>40</v>
      </c>
      <c r="AT515" s="4">
        <v>0</v>
      </c>
      <c r="AU515" s="160">
        <v>10</v>
      </c>
      <c r="AV515" s="160">
        <v>20</v>
      </c>
      <c r="AW515" s="160">
        <v>30</v>
      </c>
      <c r="AX515" s="160">
        <v>35</v>
      </c>
      <c r="AY515" s="160">
        <v>37.5</v>
      </c>
      <c r="AZ515" s="160">
        <v>50</v>
      </c>
      <c r="BA515" s="160">
        <v>50</v>
      </c>
      <c r="BE515" s="1284"/>
      <c r="BF515" s="1285"/>
      <c r="BG515" s="128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4"/>
      <c r="AQ516" s="1285"/>
      <c r="AR516" s="1286"/>
      <c r="AS516" s="159">
        <v>35</v>
      </c>
      <c r="AT516" s="4">
        <v>0</v>
      </c>
      <c r="AU516" s="160">
        <v>8.8000000000000007</v>
      </c>
      <c r="AV516" s="160">
        <v>17.5</v>
      </c>
      <c r="AW516" s="160">
        <v>26.3</v>
      </c>
      <c r="AX516" s="160">
        <v>35</v>
      </c>
      <c r="AY516" s="160">
        <v>37.5</v>
      </c>
      <c r="AZ516" s="160">
        <v>50</v>
      </c>
      <c r="BA516" s="160">
        <v>50</v>
      </c>
      <c r="BE516" s="1284"/>
      <c r="BF516" s="1285"/>
      <c r="BG516" s="128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4"/>
      <c r="AQ517" s="1285"/>
      <c r="AR517" s="1286"/>
      <c r="AS517" s="159">
        <v>30</v>
      </c>
      <c r="AT517" s="4">
        <v>0</v>
      </c>
      <c r="AU517" s="160">
        <v>7.5</v>
      </c>
      <c r="AV517" s="160">
        <v>15</v>
      </c>
      <c r="AW517" s="160">
        <v>22.5</v>
      </c>
      <c r="AX517" s="160">
        <v>30</v>
      </c>
      <c r="AY517" s="160">
        <v>37.5</v>
      </c>
      <c r="AZ517" s="160">
        <v>45</v>
      </c>
      <c r="BA517" s="160">
        <v>50</v>
      </c>
      <c r="BE517" s="1284"/>
      <c r="BF517" s="1285"/>
      <c r="BG517" s="128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124</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4"/>
      <c r="AQ518" s="1285"/>
      <c r="AR518" s="1286"/>
      <c r="AS518" s="159">
        <v>25</v>
      </c>
      <c r="AT518" s="4">
        <v>0</v>
      </c>
      <c r="AU518" s="160">
        <v>6.3</v>
      </c>
      <c r="AV518" s="160">
        <v>12.5</v>
      </c>
      <c r="AW518" s="160">
        <v>18.8</v>
      </c>
      <c r="AX518" s="160">
        <v>25</v>
      </c>
      <c r="AY518" s="160">
        <v>31.3</v>
      </c>
      <c r="AZ518" s="160">
        <v>37.5</v>
      </c>
      <c r="BA518" s="160">
        <v>50</v>
      </c>
      <c r="BE518" s="1284"/>
      <c r="BF518" s="1285"/>
      <c r="BG518" s="128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4"/>
      <c r="AQ519" s="1285"/>
      <c r="AR519" s="1286"/>
      <c r="AS519" s="159">
        <v>20</v>
      </c>
      <c r="AT519" s="4">
        <v>0</v>
      </c>
      <c r="AU519" s="160">
        <v>5</v>
      </c>
      <c r="AV519" s="160">
        <v>10</v>
      </c>
      <c r="AW519" s="160">
        <v>15</v>
      </c>
      <c r="AX519" s="160">
        <v>20</v>
      </c>
      <c r="AY519" s="160">
        <v>25</v>
      </c>
      <c r="AZ519" s="160">
        <v>30</v>
      </c>
      <c r="BA519" s="160">
        <v>40</v>
      </c>
      <c r="BE519" s="1284"/>
      <c r="BF519" s="1285"/>
      <c r="BG519" s="128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124</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4"/>
      <c r="AQ520" s="1285"/>
      <c r="AR520" s="1286"/>
      <c r="AS520" s="159">
        <v>15</v>
      </c>
      <c r="AT520" s="4">
        <v>0</v>
      </c>
      <c r="AU520" s="160">
        <v>3.8</v>
      </c>
      <c r="AV520" s="160">
        <v>7.5</v>
      </c>
      <c r="AW520" s="160">
        <v>11.3</v>
      </c>
      <c r="AX520" s="160">
        <v>15</v>
      </c>
      <c r="AY520" s="160">
        <v>18.8</v>
      </c>
      <c r="AZ520" s="160">
        <v>22.5</v>
      </c>
      <c r="BA520" s="160">
        <v>30</v>
      </c>
      <c r="BE520" s="1284"/>
      <c r="BF520" s="1285"/>
      <c r="BG520" s="128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7"/>
      <c r="AQ521" s="1288"/>
      <c r="AR521" s="1289"/>
      <c r="AS521" s="159">
        <v>10</v>
      </c>
      <c r="AT521" s="4">
        <v>0</v>
      </c>
      <c r="AU521" s="160">
        <v>2.5</v>
      </c>
      <c r="AV521" s="160">
        <v>5</v>
      </c>
      <c r="AW521" s="160">
        <v>7.5</v>
      </c>
      <c r="AX521" s="160">
        <v>10</v>
      </c>
      <c r="AY521" s="160">
        <v>12.5</v>
      </c>
      <c r="AZ521" s="160">
        <v>15</v>
      </c>
      <c r="BA521" s="160">
        <v>20</v>
      </c>
      <c r="BE521" s="1287"/>
      <c r="BF521" s="1288"/>
      <c r="BG521" s="128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124</v>
      </c>
      <c r="D524" s="1876"/>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6">
        <f>BJ528</f>
        <v>71</v>
      </c>
      <c r="BE524" s="185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6">
        <f>SUM(E581:J589)</f>
        <v>71</v>
      </c>
      <c r="BE525" s="185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9">
        <f>Application!AG433</f>
        <v>71</v>
      </c>
      <c r="BK528" s="1860"/>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1</v>
      </c>
      <c r="BX531" s="1747"/>
      <c r="BY531" s="1746">
        <f>SUM(BY526:BZ530)</f>
        <v>1</v>
      </c>
      <c r="BZ531" s="1747"/>
      <c r="CA531" s="1746">
        <f>SUM(CA526:CB530)</f>
        <v>1</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455</v>
      </c>
      <c r="AQ532" s="1865"/>
      <c r="AR532" s="1865"/>
      <c r="AS532" s="1865"/>
      <c r="AT532" s="1866"/>
      <c r="AU532" s="1864" t="s">
        <v>456</v>
      </c>
      <c r="AV532" s="1865"/>
      <c r="AW532" s="1865"/>
      <c r="AX532" s="1865"/>
      <c r="AY532" s="1866"/>
      <c r="BM532" s="1759">
        <f>SUM(BM531:BP531)</f>
        <v>0</v>
      </c>
      <c r="BN532" s="1760"/>
      <c r="BO532" s="1760"/>
      <c r="BP532" s="1761"/>
      <c r="BQ532" s="1759">
        <f>SUM(BQ531:BT531)</f>
        <v>2</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3</v>
      </c>
      <c r="AQ534" s="1862"/>
      <c r="AR534" s="1862"/>
      <c r="AS534" s="1862"/>
      <c r="AT534" s="1863"/>
      <c r="AU534" s="1861">
        <f>RANK(Y610,$Y$609:$AC$613,0)+COUNTIF($Y$609:$AC$613,Y610)-1</f>
        <v>1</v>
      </c>
      <c r="AV534" s="1862"/>
      <c r="AW534" s="1862"/>
      <c r="AX534" s="1862"/>
      <c r="AY534" s="1863"/>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3</v>
      </c>
      <c r="AQ535" s="1862"/>
      <c r="AR535" s="1862"/>
      <c r="AS535" s="1862"/>
      <c r="AT535" s="1863"/>
      <c r="AU535" s="1861">
        <f>RANK(Y611,$Y$609:$AC$613,0)+COUNTIF($Y$609:$AC$613,Y611)-1</f>
        <v>3</v>
      </c>
      <c r="AV535" s="1862"/>
      <c r="AW535" s="1862"/>
      <c r="AX535" s="1862"/>
      <c r="AY535" s="1863"/>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3</v>
      </c>
      <c r="AQ536" s="1862"/>
      <c r="AR536" s="1862"/>
      <c r="AS536" s="1862"/>
      <c r="AT536" s="1863"/>
      <c r="AU536" s="1861">
        <f>RANK(Y612,$Y$609:$AC$613,0)+COUNTIF($Y$609:$AC$613,Y612)-1</f>
        <v>2</v>
      </c>
      <c r="AV536" s="1862"/>
      <c r="AW536" s="1862"/>
      <c r="AX536" s="1862"/>
      <c r="AY536" s="1863"/>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71</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3" t="s">
        <v>1719</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1">
        <f>ROUNDUP(BK568*0.1,0)</f>
        <v>8</v>
      </c>
      <c r="AV546" s="1783"/>
      <c r="AW546" s="438"/>
      <c r="AX546" s="438">
        <f>AU546-AP548</f>
        <v>-7</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15</v>
      </c>
      <c r="AQ548" s="1842"/>
      <c r="AR548" s="1842"/>
      <c r="AS548" s="1842"/>
      <c r="AT548" s="1843"/>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65"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5"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1761</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passed</v>
      </c>
      <c r="AW554" s="1751"/>
      <c r="AX554" s="1751"/>
      <c r="AY554" s="1747"/>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849" t="s">
        <v>204</v>
      </c>
      <c r="T559" s="1849"/>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71</v>
      </c>
      <c r="BG565" s="1757"/>
      <c r="BH565" s="1757"/>
      <c r="BI565" s="1757"/>
      <c r="BJ565" s="1758"/>
      <c r="BK565" s="1661">
        <f>SUM(T609:X613)</f>
        <v>15</v>
      </c>
      <c r="BL565" s="1662"/>
      <c r="BM565" s="1662"/>
      <c r="BN565" s="1662"/>
      <c r="BO565" s="1663"/>
    </row>
    <row r="566" spans="1:96" s="4" customFormat="1" ht="12.75" customHeight="1">
      <c r="B566" s="35"/>
      <c r="I566" s="1284" t="s">
        <v>1498</v>
      </c>
      <c r="J566" s="1285"/>
      <c r="K566" s="1285"/>
      <c r="L566" s="1285"/>
      <c r="M566" s="1285"/>
      <c r="N566" s="1286"/>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4"/>
      <c r="J567" s="1285"/>
      <c r="K567" s="1285"/>
      <c r="L567" s="1285"/>
      <c r="M567" s="1285"/>
      <c r="N567" s="1286"/>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4"/>
      <c r="J568" s="1285"/>
      <c r="K568" s="1285"/>
      <c r="L568" s="1285"/>
      <c r="M568" s="1285"/>
      <c r="N568" s="1286"/>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1">
        <f>BF565</f>
        <v>71</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4"/>
      <c r="J569" s="1285"/>
      <c r="K569" s="1285"/>
      <c r="L569" s="1285"/>
      <c r="M569" s="1285"/>
      <c r="N569" s="1286"/>
      <c r="O569" s="1657">
        <v>0.35</v>
      </c>
      <c r="P569" s="1658"/>
      <c r="Q569" s="1659"/>
      <c r="R569" s="1660"/>
      <c r="S569" s="1672" t="s">
        <v>1762</v>
      </c>
      <c r="T569" s="1672"/>
      <c r="U569" s="1674">
        <v>17.5</v>
      </c>
      <c r="V569" s="1674"/>
      <c r="W569" s="1674">
        <v>26.3</v>
      </c>
      <c r="X569" s="1674"/>
      <c r="Y569" s="1674">
        <v>35</v>
      </c>
      <c r="Z569" s="1674"/>
      <c r="AA569" s="1674"/>
      <c r="AB569" s="1674"/>
      <c r="AC569" s="1674">
        <v>50</v>
      </c>
      <c r="AD569" s="1674"/>
      <c r="AE569" s="1694"/>
      <c r="AF569" s="1695"/>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4"/>
      <c r="J570" s="1285"/>
      <c r="K570" s="1285"/>
      <c r="L570" s="1285"/>
      <c r="M570" s="1285"/>
      <c r="N570" s="1286"/>
      <c r="O570" s="1657">
        <v>0.3</v>
      </c>
      <c r="P570" s="1658"/>
      <c r="Q570" s="1659"/>
      <c r="R570" s="1660"/>
      <c r="S570" s="1672" t="s">
        <v>1763</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4"/>
      <c r="J571" s="1285"/>
      <c r="K571" s="1285"/>
      <c r="L571" s="1285"/>
      <c r="M571" s="1285"/>
      <c r="N571" s="1286"/>
      <c r="O571" s="1657">
        <v>0.25</v>
      </c>
      <c r="P571" s="1658"/>
      <c r="Q571" s="1659"/>
      <c r="R571" s="1660"/>
      <c r="S571" s="1672" t="s">
        <v>1764</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3">
        <f t="shared" ref="AU571:AU576" si="1">O608</f>
        <v>0</v>
      </c>
      <c r="AV571" s="1374"/>
      <c r="AW571" s="1374"/>
      <c r="AX571" s="1374"/>
      <c r="AY571" s="1375"/>
      <c r="AZ571" s="1373">
        <f t="shared" ref="AZ571:AZ576" si="2">T608</f>
        <v>0</v>
      </c>
      <c r="BA571" s="1374"/>
      <c r="BB571" s="1374"/>
      <c r="BC571" s="1374"/>
      <c r="BD571" s="1375"/>
      <c r="BE571" s="1748">
        <f t="shared" ref="BE571:BE576" si="3">Y608</f>
        <v>0</v>
      </c>
      <c r="BF571" s="1749"/>
      <c r="BG571" s="1749"/>
      <c r="BH571" s="1749"/>
      <c r="BI571" s="1750"/>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4"/>
      <c r="J572" s="1285"/>
      <c r="K572" s="1285"/>
      <c r="L572" s="1285"/>
      <c r="M572" s="1285"/>
      <c r="N572" s="1286"/>
      <c r="O572" s="1657">
        <v>0.2</v>
      </c>
      <c r="P572" s="1658"/>
      <c r="Q572" s="1659"/>
      <c r="R572" s="1660"/>
      <c r="S572" s="1688" t="s">
        <v>1767</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3">
        <f t="shared" si="1"/>
        <v>0</v>
      </c>
      <c r="AV572" s="1374"/>
      <c r="AW572" s="1374"/>
      <c r="AX572" s="1374"/>
      <c r="AY572" s="1375"/>
      <c r="AZ572" s="1373">
        <f t="shared" si="2"/>
        <v>0</v>
      </c>
      <c r="BA572" s="1374"/>
      <c r="BB572" s="1374"/>
      <c r="BC572" s="1374"/>
      <c r="BD572" s="1375"/>
      <c r="BE572" s="1748">
        <f t="shared" si="3"/>
        <v>0</v>
      </c>
      <c r="BF572" s="1749"/>
      <c r="BG572" s="1749"/>
      <c r="BH572" s="1749"/>
      <c r="BI572" s="1750"/>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4"/>
      <c r="J573" s="1285"/>
      <c r="K573" s="1285"/>
      <c r="L573" s="1285"/>
      <c r="M573" s="1285"/>
      <c r="N573" s="1286"/>
      <c r="O573" s="1657">
        <v>0.15</v>
      </c>
      <c r="P573" s="1658"/>
      <c r="Q573" s="1659"/>
      <c r="R573" s="1660"/>
      <c r="S573" s="1672" t="s">
        <v>1765</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3">
        <f t="shared" si="1"/>
        <v>18</v>
      </c>
      <c r="AV573" s="1374"/>
      <c r="AW573" s="1374"/>
      <c r="AX573" s="1374"/>
      <c r="AY573" s="1375"/>
      <c r="AZ573" s="1373">
        <f t="shared" si="2"/>
        <v>5</v>
      </c>
      <c r="BA573" s="1374"/>
      <c r="BB573" s="1374"/>
      <c r="BC573" s="1374"/>
      <c r="BD573" s="1375"/>
      <c r="BE573" s="1748">
        <f t="shared" si="3"/>
        <v>0.27777777777777779</v>
      </c>
      <c r="BF573" s="1749"/>
      <c r="BG573" s="1749"/>
      <c r="BH573" s="1749"/>
      <c r="BI573" s="1750"/>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7"/>
      <c r="J574" s="1288"/>
      <c r="K574" s="1288"/>
      <c r="L574" s="1288"/>
      <c r="M574" s="1288"/>
      <c r="N574" s="1289"/>
      <c r="O574" s="1657">
        <v>0.1</v>
      </c>
      <c r="P574" s="1658"/>
      <c r="Q574" s="1686"/>
      <c r="R574" s="1687"/>
      <c r="S574" s="1672" t="s">
        <v>1766</v>
      </c>
      <c r="T574" s="1672"/>
      <c r="U574" s="1675">
        <v>5</v>
      </c>
      <c r="V574" s="1675"/>
      <c r="W574" s="1675">
        <v>7.5</v>
      </c>
      <c r="X574" s="1675"/>
      <c r="Y574" s="1675">
        <v>10</v>
      </c>
      <c r="Z574" s="1675"/>
      <c r="AA574" s="1675">
        <v>12.5</v>
      </c>
      <c r="AB574" s="1675"/>
      <c r="AC574" s="1675">
        <v>15</v>
      </c>
      <c r="AD574" s="1675"/>
      <c r="AE574" s="1877">
        <v>20</v>
      </c>
      <c r="AF574" s="1878"/>
      <c r="AK574" s="167"/>
      <c r="AL574" s="167"/>
      <c r="AM574" s="5"/>
      <c r="AN574" s="281"/>
      <c r="AP574" s="1753" t="str">
        <f t="shared" si="0"/>
        <v>2 BR</v>
      </c>
      <c r="AQ574" s="1754"/>
      <c r="AR574" s="1754"/>
      <c r="AS574" s="1754"/>
      <c r="AT574" s="1755"/>
      <c r="AU574" s="1373">
        <f t="shared" si="1"/>
        <v>29</v>
      </c>
      <c r="AV574" s="1374"/>
      <c r="AW574" s="1374"/>
      <c r="AX574" s="1374"/>
      <c r="AY574" s="1375"/>
      <c r="AZ574" s="1373">
        <f t="shared" si="2"/>
        <v>5</v>
      </c>
      <c r="BA574" s="1374"/>
      <c r="BB574" s="1374"/>
      <c r="BC574" s="1374"/>
      <c r="BD574" s="1375"/>
      <c r="BE574" s="1748">
        <f t="shared" si="3"/>
        <v>0.17241379310344829</v>
      </c>
      <c r="BF574" s="1749"/>
      <c r="BG574" s="1749"/>
      <c r="BH574" s="1749"/>
      <c r="BI574" s="1750"/>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3" t="str">
        <f t="shared" si="0"/>
        <v>1 BR</v>
      </c>
      <c r="AQ575" s="1754"/>
      <c r="AR575" s="1754"/>
      <c r="AS575" s="1754"/>
      <c r="AT575" s="1755"/>
      <c r="AU575" s="1373">
        <f t="shared" si="1"/>
        <v>24</v>
      </c>
      <c r="AV575" s="1374"/>
      <c r="AW575" s="1374"/>
      <c r="AX575" s="1374"/>
      <c r="AY575" s="1375"/>
      <c r="AZ575" s="1373">
        <f t="shared" si="2"/>
        <v>5</v>
      </c>
      <c r="BA575" s="1374"/>
      <c r="BB575" s="1374"/>
      <c r="BC575" s="1374"/>
      <c r="BD575" s="1375"/>
      <c r="BE575" s="1748">
        <f t="shared" si="3"/>
        <v>0.20833333333333334</v>
      </c>
      <c r="BF575" s="1749"/>
      <c r="BG575" s="1749"/>
      <c r="BH575" s="1749"/>
      <c r="BI575" s="1750"/>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4"/>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5"/>
      <c r="AN576" s="281"/>
      <c r="AP576" s="1753" t="str">
        <f t="shared" si="0"/>
        <v>SRO</v>
      </c>
      <c r="AQ576" s="1754"/>
      <c r="AR576" s="1754"/>
      <c r="AS576" s="1754"/>
      <c r="AT576" s="1755"/>
      <c r="AU576" s="1373">
        <f t="shared" si="1"/>
        <v>0</v>
      </c>
      <c r="AV576" s="1374"/>
      <c r="AW576" s="1374"/>
      <c r="AX576" s="1374"/>
      <c r="AY576" s="1375"/>
      <c r="AZ576" s="1373">
        <f t="shared" si="2"/>
        <v>0</v>
      </c>
      <c r="BA576" s="1374"/>
      <c r="BB576" s="1374"/>
      <c r="BC576" s="1374"/>
      <c r="BD576" s="1375"/>
      <c r="BE576" s="1748">
        <f t="shared" si="3"/>
        <v>0</v>
      </c>
      <c r="BF576" s="1749"/>
      <c r="BG576" s="1749"/>
      <c r="BH576" s="1749"/>
      <c r="BI576" s="1750"/>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4" t="s">
        <v>1508</v>
      </c>
      <c r="F577" s="1885"/>
      <c r="G577" s="1885"/>
      <c r="H577" s="1885"/>
      <c r="I577" s="1885"/>
      <c r="J577" s="1886"/>
      <c r="K577" s="1884" t="s">
        <v>1758</v>
      </c>
      <c r="L577" s="1885"/>
      <c r="M577" s="1885"/>
      <c r="N577" s="1885"/>
      <c r="O577" s="1885"/>
      <c r="P577" s="1886"/>
      <c r="Q577" s="1281" t="s">
        <v>1504</v>
      </c>
      <c r="R577" s="1282"/>
      <c r="S577" s="1282"/>
      <c r="T577" s="1282"/>
      <c r="U577" s="1282"/>
      <c r="V577" s="1283"/>
      <c r="W577" s="1281" t="str">
        <f>I566</f>
        <v>Percent of Low-Income Units (exclusive of manager’s units)</v>
      </c>
      <c r="X577" s="1282"/>
      <c r="Y577" s="1282"/>
      <c r="Z577" s="1282"/>
      <c r="AA577" s="1282"/>
      <c r="AB577" s="1283"/>
      <c r="AC577" s="1281" t="s">
        <v>1507</v>
      </c>
      <c r="AD577" s="1282"/>
      <c r="AE577" s="1282"/>
      <c r="AF577" s="1282"/>
      <c r="AG577" s="1282"/>
      <c r="AH577" s="1283"/>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7"/>
      <c r="F578" s="1888"/>
      <c r="G578" s="1888"/>
      <c r="H578" s="1888"/>
      <c r="I578" s="1888"/>
      <c r="J578" s="1889"/>
      <c r="K578" s="1887"/>
      <c r="L578" s="1888"/>
      <c r="M578" s="1888"/>
      <c r="N578" s="1888"/>
      <c r="O578" s="1888"/>
      <c r="P578" s="1889"/>
      <c r="Q578" s="1284"/>
      <c r="R578" s="1285"/>
      <c r="S578" s="1285"/>
      <c r="T578" s="1285"/>
      <c r="U578" s="1285"/>
      <c r="V578" s="1286"/>
      <c r="W578" s="1284"/>
      <c r="X578" s="1285"/>
      <c r="Y578" s="1285"/>
      <c r="Z578" s="1285"/>
      <c r="AA578" s="1285"/>
      <c r="AB578" s="1286"/>
      <c r="AC578" s="1284"/>
      <c r="AD578" s="1285"/>
      <c r="AE578" s="1285"/>
      <c r="AF578" s="1285"/>
      <c r="AG578" s="1285"/>
      <c r="AH578" s="1286"/>
      <c r="AN578" s="281"/>
    </row>
    <row r="579" spans="5:96" s="4" customFormat="1" ht="12.75" customHeight="1">
      <c r="E579" s="1887"/>
      <c r="F579" s="1888"/>
      <c r="G579" s="1888"/>
      <c r="H579" s="1888"/>
      <c r="I579" s="1888"/>
      <c r="J579" s="1889"/>
      <c r="K579" s="1887"/>
      <c r="L579" s="1888"/>
      <c r="M579" s="1888"/>
      <c r="N579" s="1888"/>
      <c r="O579" s="1888"/>
      <c r="P579" s="1889"/>
      <c r="Q579" s="1284"/>
      <c r="R579" s="1285"/>
      <c r="S579" s="1285"/>
      <c r="T579" s="1285"/>
      <c r="U579" s="1285"/>
      <c r="V579" s="1286"/>
      <c r="W579" s="1284"/>
      <c r="X579" s="1285"/>
      <c r="Y579" s="1285"/>
      <c r="Z579" s="1285"/>
      <c r="AA579" s="1285"/>
      <c r="AB579" s="1286"/>
      <c r="AC579" s="1284"/>
      <c r="AD579" s="1285"/>
      <c r="AE579" s="1285"/>
      <c r="AF579" s="1285"/>
      <c r="AG579" s="1285"/>
      <c r="AH579" s="1286"/>
      <c r="AN579" s="281"/>
    </row>
    <row r="580" spans="5:96" s="4" customFormat="1" ht="12.75" customHeight="1">
      <c r="E580" s="1887"/>
      <c r="F580" s="1888"/>
      <c r="G580" s="1888"/>
      <c r="H580" s="1888"/>
      <c r="I580" s="1888"/>
      <c r="J580" s="1889"/>
      <c r="K580" s="1887"/>
      <c r="L580" s="1888"/>
      <c r="M580" s="1888"/>
      <c r="N580" s="1888"/>
      <c r="O580" s="1888"/>
      <c r="P580" s="1889"/>
      <c r="Q580" s="1284"/>
      <c r="R580" s="1285"/>
      <c r="S580" s="1285"/>
      <c r="T580" s="1285"/>
      <c r="U580" s="1285"/>
      <c r="V580" s="1286"/>
      <c r="W580" s="1284"/>
      <c r="X580" s="1285"/>
      <c r="Y580" s="1285"/>
      <c r="Z580" s="1285"/>
      <c r="AA580" s="1285"/>
      <c r="AB580" s="1286"/>
      <c r="AC580" s="1284"/>
      <c r="AD580" s="1285"/>
      <c r="AE580" s="1285"/>
      <c r="AF580" s="1285"/>
      <c r="AG580" s="1285"/>
      <c r="AH580" s="1286"/>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15</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21.12676056338028</v>
      </c>
      <c r="R582" s="1665"/>
      <c r="S582" s="1665"/>
      <c r="T582" s="1665"/>
      <c r="U582" s="1665"/>
      <c r="V582" s="1666"/>
      <c r="W582" s="1667">
        <f>IF(FLOOR(Q582,5)&gt;80,80,FLOOR(Q582,5))</f>
        <v>20</v>
      </c>
      <c r="X582" s="1668"/>
      <c r="Y582" s="1668"/>
      <c r="Z582" s="1668"/>
      <c r="AA582" s="1668"/>
      <c r="AB582" s="1669"/>
      <c r="AC582" s="1667">
        <f t="shared" si="4"/>
        <v>30</v>
      </c>
      <c r="AD582" s="1668"/>
      <c r="AE582" s="1668"/>
      <c r="AF582" s="1668"/>
      <c r="AG582" s="1668"/>
      <c r="AH582" s="1669"/>
      <c r="AN582" s="281"/>
      <c r="AO582" s="4">
        <v>4</v>
      </c>
      <c r="AP582" s="1661">
        <f t="shared" si="5"/>
        <v>0</v>
      </c>
      <c r="AQ582" s="1662"/>
      <c r="AR582" s="1662"/>
      <c r="AS582" s="1662"/>
      <c r="AT582" s="1663"/>
      <c r="AX582" s="1769" t="s">
        <v>616</v>
      </c>
      <c r="AY582" s="1770"/>
      <c r="AZ582" s="1074" t="s">
        <v>616</v>
      </c>
      <c r="BA582" s="1075"/>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c r="F584" s="1646"/>
      <c r="G584" s="1646"/>
      <c r="H584" s="1646"/>
      <c r="I584" s="1646"/>
      <c r="J584" s="1647"/>
      <c r="K584" s="1661">
        <v>40</v>
      </c>
      <c r="L584" s="1662"/>
      <c r="M584" s="1662"/>
      <c r="N584" s="1662"/>
      <c r="O584" s="1662"/>
      <c r="P584" s="1663"/>
      <c r="Q584" s="1664">
        <f t="shared" si="6"/>
        <v>0</v>
      </c>
      <c r="R584" s="1665"/>
      <c r="S584" s="1665"/>
      <c r="T584" s="1665"/>
      <c r="U584" s="1665"/>
      <c r="V584" s="1666"/>
      <c r="W584" s="1667">
        <f t="shared" si="7"/>
        <v>0</v>
      </c>
      <c r="X584" s="1668"/>
      <c r="Y584" s="1668"/>
      <c r="Z584" s="1668"/>
      <c r="AA584" s="1668"/>
      <c r="AB584" s="1669"/>
      <c r="AC584" s="1667">
        <f t="shared" si="4"/>
        <v>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0</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t="str">
        <f>IF(OR(Application!D211="Rural",Application!D211="Rural apportionment (Section 514)",Application!D211="Rural apportionment (Section 515)",Application!D211="Rural apportionment (CDBG-DR)",Application!D211="Rural apportionment (HOME)",Application!D211="Rural (Native American apportionment)"),"",50)</f>
        <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v>29</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2312</v>
      </c>
      <c r="N587" s="1736"/>
      <c r="O587" s="1736"/>
      <c r="P587" s="1737"/>
      <c r="Q587" s="1664">
        <f t="shared" si="6"/>
        <v>40.845070422535215</v>
      </c>
      <c r="R587" s="1665"/>
      <c r="S587" s="1665"/>
      <c r="T587" s="1665"/>
      <c r="U587" s="1665"/>
      <c r="V587" s="1666"/>
      <c r="W587" s="1667">
        <f>IF(FLOOR(Q587,5)&gt;50,50,FLOOR(Q587,5))</f>
        <v>40</v>
      </c>
      <c r="X587" s="1668"/>
      <c r="Y587" s="1668"/>
      <c r="Z587" s="1668"/>
      <c r="AA587" s="1668"/>
      <c r="AB587" s="1669"/>
      <c r="AC587" s="1667">
        <f>IFERROR(IF(W587&gt;0,INDEX($AT$507:$BA$521,MATCH(W587,$AS$507:$AS$521,0),MATCH(K587,$AT$506:$BA$506,0)),0),0)</f>
        <v>20</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2312</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45">
        <v>27</v>
      </c>
      <c r="F589" s="1646"/>
      <c r="G589" s="1646"/>
      <c r="H589" s="1646"/>
      <c r="I589" s="1646"/>
      <c r="J589" s="1647"/>
      <c r="K589" s="1661" t="s">
        <v>2128</v>
      </c>
      <c r="L589" s="1662"/>
      <c r="M589" s="1662"/>
      <c r="N589" s="1662"/>
      <c r="O589" s="1662"/>
      <c r="P589" s="1663"/>
      <c r="Q589" s="1664">
        <f t="shared" si="6"/>
        <v>38.028169014084504</v>
      </c>
      <c r="R589" s="1665"/>
      <c r="S589" s="1665"/>
      <c r="T589" s="1665"/>
      <c r="U589" s="1665"/>
      <c r="V589" s="1666"/>
      <c r="W589" s="1667">
        <f t="shared" si="7"/>
        <v>35</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2129</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0</v>
      </c>
      <c r="BK590" s="1765"/>
      <c r="BL590" s="1765"/>
      <c r="BM590" s="1766"/>
      <c r="BN590"/>
      <c r="BO590"/>
      <c r="BP590"/>
      <c r="BQ590"/>
    </row>
    <row r="591" spans="5:96" s="4" customFormat="1" ht="12.75" customHeight="1">
      <c r="E591" s="1645"/>
      <c r="F591" s="1646"/>
      <c r="G591" s="1646"/>
      <c r="H591" s="1646"/>
      <c r="I591" s="1646"/>
      <c r="J591" s="1647"/>
      <c r="K591" s="1661" t="s">
        <v>2130</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71</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690" t="s">
        <v>103</v>
      </c>
      <c r="AH596" s="1690"/>
      <c r="AI596" s="1690"/>
      <c r="AJ596" s="1690"/>
      <c r="AK596" s="5"/>
      <c r="AL596" s="5"/>
      <c r="AM596" s="5"/>
      <c r="AN596" s="281"/>
    </row>
    <row r="597" spans="1:64" s="4" customFormat="1" ht="12.75" customHeight="1">
      <c r="B597" s="1873" t="s">
        <v>2118</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1" t="s">
        <v>1505</v>
      </c>
      <c r="P604" s="1282"/>
      <c r="Q604" s="1282"/>
      <c r="R604" s="1282"/>
      <c r="S604" s="1283"/>
      <c r="T604" s="1281" t="s">
        <v>1768</v>
      </c>
      <c r="U604" s="1282"/>
      <c r="V604" s="1282"/>
      <c r="W604" s="1282"/>
      <c r="X604" s="1283"/>
      <c r="Y604" s="1281" t="s">
        <v>1506</v>
      </c>
      <c r="Z604" s="1282"/>
      <c r="AA604" s="1282"/>
      <c r="AB604" s="1282"/>
      <c r="AC604" s="1283"/>
      <c r="AF604"/>
      <c r="AG604"/>
      <c r="AH604"/>
      <c r="AI604"/>
      <c r="AJ604"/>
    </row>
    <row r="605" spans="1:64">
      <c r="D605"/>
      <c r="E605"/>
      <c r="F605"/>
      <c r="G605"/>
      <c r="H605"/>
      <c r="I605"/>
      <c r="J605" s="1810"/>
      <c r="K605" s="1811"/>
      <c r="L605" s="1811"/>
      <c r="M605" s="1811"/>
      <c r="N605" s="1812"/>
      <c r="O605" s="1284"/>
      <c r="P605" s="1285"/>
      <c r="Q605" s="1285"/>
      <c r="R605" s="1285"/>
      <c r="S605" s="1286"/>
      <c r="T605" s="1284"/>
      <c r="U605" s="1285"/>
      <c r="V605" s="1285"/>
      <c r="W605" s="1285"/>
      <c r="X605" s="1286"/>
      <c r="Y605" s="1284"/>
      <c r="Z605" s="1285"/>
      <c r="AA605" s="1285"/>
      <c r="AB605" s="1285"/>
      <c r="AC605" s="1286"/>
      <c r="AF605"/>
      <c r="AG605"/>
      <c r="AH605"/>
      <c r="AI605"/>
      <c r="AJ605"/>
      <c r="AO605" s="38" t="s">
        <v>2227</v>
      </c>
      <c r="AR605" s="21" t="b">
        <f>$Y$614&gt;=10%</f>
        <v>1</v>
      </c>
    </row>
    <row r="606" spans="1:64">
      <c r="I606"/>
      <c r="J606" s="1810"/>
      <c r="K606" s="1811"/>
      <c r="L606" s="1811"/>
      <c r="M606" s="1811"/>
      <c r="N606" s="1812"/>
      <c r="O606" s="1284"/>
      <c r="P606" s="1285"/>
      <c r="Q606" s="1285"/>
      <c r="R606" s="1285"/>
      <c r="S606" s="1286"/>
      <c r="T606" s="1284"/>
      <c r="U606" s="1285"/>
      <c r="V606" s="1285"/>
      <c r="W606" s="1285"/>
      <c r="X606" s="1286"/>
      <c r="Y606" s="1284"/>
      <c r="Z606" s="1285"/>
      <c r="AA606" s="1285"/>
      <c r="AB606" s="1285"/>
      <c r="AC606" s="1286"/>
      <c r="AD606"/>
      <c r="AF606"/>
      <c r="AG606"/>
      <c r="AH606"/>
      <c r="AI606"/>
      <c r="AJ606"/>
      <c r="AO606" s="38" t="s">
        <v>2228</v>
      </c>
      <c r="AR606" s="954">
        <f>ROUNDUP(($O$614*10%),0)</f>
        <v>8</v>
      </c>
    </row>
    <row r="607" spans="1:64">
      <c r="D607"/>
      <c r="E607"/>
      <c r="F607"/>
      <c r="G607"/>
      <c r="H607"/>
      <c r="I607"/>
      <c r="J607" s="1810"/>
      <c r="K607" s="1811"/>
      <c r="L607" s="1811"/>
      <c r="M607" s="1811"/>
      <c r="N607" s="1812"/>
      <c r="O607" s="1284"/>
      <c r="P607" s="1285"/>
      <c r="Q607" s="1285"/>
      <c r="R607" s="1285"/>
      <c r="S607" s="1286"/>
      <c r="T607" s="1284"/>
      <c r="U607" s="1285"/>
      <c r="V607" s="1285"/>
      <c r="W607" s="1285"/>
      <c r="X607" s="1286"/>
      <c r="Y607" s="1284"/>
      <c r="Z607" s="1285"/>
      <c r="AA607" s="1285"/>
      <c r="AB607" s="1285"/>
      <c r="AC607" s="1286"/>
      <c r="AD607"/>
      <c r="AF607"/>
      <c r="AG607"/>
      <c r="AH607"/>
      <c r="AI607"/>
      <c r="AJ607"/>
      <c r="AO607" s="38" t="s">
        <v>2229</v>
      </c>
      <c r="AR607" s="21" t="s">
        <v>2230</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4">
        <f>ROUNDUP((O608*10%),0)</f>
        <v>0</v>
      </c>
      <c r="AP608" s="206"/>
      <c r="AR608" s="955"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4">
        <f t="shared" ref="AO609:AO613" si="9">ROUNDUP((O609*10%),0)</f>
        <v>0</v>
      </c>
      <c r="AP609" s="206"/>
      <c r="AR609" s="955" t="b">
        <f>OR(SUM($T$608:T609)&gt;=$AR$606,T609&gt;=AO609)</f>
        <v>1</v>
      </c>
    </row>
    <row r="610" spans="1:60">
      <c r="D610"/>
      <c r="E610"/>
      <c r="F610"/>
      <c r="G610"/>
      <c r="H610"/>
      <c r="I610"/>
      <c r="J610" s="1722" t="s">
        <v>265</v>
      </c>
      <c r="K610" s="1723"/>
      <c r="L610" s="1723"/>
      <c r="M610" s="1723"/>
      <c r="N610" s="1724"/>
      <c r="O610" s="1661">
        <f>Application!CC626</f>
        <v>18</v>
      </c>
      <c r="P610" s="1662"/>
      <c r="Q610" s="1662"/>
      <c r="R610" s="1662"/>
      <c r="S610" s="1663"/>
      <c r="T610" s="1661">
        <f>Application!DH627</f>
        <v>5</v>
      </c>
      <c r="U610" s="1662"/>
      <c r="V610" s="1662"/>
      <c r="W610" s="1662"/>
      <c r="X610" s="1663"/>
      <c r="Y610" s="1725">
        <f t="shared" si="8"/>
        <v>0.27777777777777779</v>
      </c>
      <c r="Z610" s="1726"/>
      <c r="AA610" s="1726"/>
      <c r="AB610" s="1726"/>
      <c r="AC610" s="1727"/>
      <c r="AD610"/>
      <c r="AF610"/>
      <c r="AG610"/>
      <c r="AH610"/>
      <c r="AI610"/>
      <c r="AJ610"/>
      <c r="AO610" s="954">
        <f t="shared" si="9"/>
        <v>2</v>
      </c>
      <c r="AP610" s="206"/>
      <c r="AR610" s="955" t="b">
        <f>OR(SUM($T$608:T610)&gt;=$AR$606,T610&gt;=AO610)</f>
        <v>1</v>
      </c>
    </row>
    <row r="611" spans="1:60">
      <c r="D611"/>
      <c r="E611"/>
      <c r="F611"/>
      <c r="G611"/>
      <c r="H611"/>
      <c r="I611"/>
      <c r="J611" s="1722" t="s">
        <v>264</v>
      </c>
      <c r="K611" s="1723"/>
      <c r="L611" s="1723"/>
      <c r="M611" s="1723"/>
      <c r="N611" s="1724"/>
      <c r="O611" s="1661">
        <f>Application!BX626</f>
        <v>29</v>
      </c>
      <c r="P611" s="1662"/>
      <c r="Q611" s="1662"/>
      <c r="R611" s="1662"/>
      <c r="S611" s="1663"/>
      <c r="T611" s="1661">
        <f>Application!DC627</f>
        <v>5</v>
      </c>
      <c r="U611" s="1662"/>
      <c r="V611" s="1662"/>
      <c r="W611" s="1662"/>
      <c r="X611" s="1663"/>
      <c r="Y611" s="1725">
        <f t="shared" si="8"/>
        <v>0.17241379310344829</v>
      </c>
      <c r="Z611" s="1726"/>
      <c r="AA611" s="1726"/>
      <c r="AB611" s="1726"/>
      <c r="AC611" s="1727"/>
      <c r="AD611"/>
      <c r="AF611"/>
      <c r="AG611"/>
      <c r="AH611"/>
      <c r="AI611"/>
      <c r="AJ611"/>
      <c r="AO611" s="954">
        <f t="shared" si="9"/>
        <v>3</v>
      </c>
      <c r="AP611" s="206"/>
      <c r="AR611" s="955" t="b">
        <f>OR(SUM($T$608:T611)&gt;=$AR$606,T611&gt;=AO611)</f>
        <v>1</v>
      </c>
    </row>
    <row r="612" spans="1:60">
      <c r="D612"/>
      <c r="E612"/>
      <c r="F612"/>
      <c r="G612"/>
      <c r="H612"/>
      <c r="I612"/>
      <c r="J612" s="1722" t="s">
        <v>263</v>
      </c>
      <c r="K612" s="1723"/>
      <c r="L612" s="1723"/>
      <c r="M612" s="1723"/>
      <c r="N612" s="1724"/>
      <c r="O612" s="1661">
        <f>Application!BS626</f>
        <v>24</v>
      </c>
      <c r="P612" s="1662"/>
      <c r="Q612" s="1662"/>
      <c r="R612" s="1662"/>
      <c r="S612" s="1663"/>
      <c r="T612" s="1661">
        <f>Application!CX627</f>
        <v>5</v>
      </c>
      <c r="U612" s="1662"/>
      <c r="V612" s="1662"/>
      <c r="W612" s="1662"/>
      <c r="X612" s="1663"/>
      <c r="Y612" s="1725">
        <f t="shared" si="8"/>
        <v>0.20833333333333334</v>
      </c>
      <c r="Z612" s="1726"/>
      <c r="AA612" s="1726"/>
      <c r="AB612" s="1726"/>
      <c r="AC612" s="1727"/>
      <c r="AD612"/>
      <c r="AF612"/>
      <c r="AG612"/>
      <c r="AH612"/>
      <c r="AI612"/>
      <c r="AJ612"/>
      <c r="AO612" s="954">
        <f t="shared" si="9"/>
        <v>3</v>
      </c>
      <c r="AP612" s="206"/>
      <c r="AR612" s="955"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4">
        <f t="shared" si="9"/>
        <v>0</v>
      </c>
      <c r="AP613" s="206"/>
      <c r="AR613" s="955" t="b">
        <f>OR(SUM($T$608:T613)&gt;=$AR$606,T613&gt;=AO613)</f>
        <v>1</v>
      </c>
    </row>
    <row r="614" spans="1:60">
      <c r="D614"/>
      <c r="E614"/>
      <c r="F614"/>
      <c r="G614"/>
      <c r="H614"/>
      <c r="I614"/>
      <c r="J614" s="1561" t="s">
        <v>876</v>
      </c>
      <c r="K614" s="1562"/>
      <c r="L614" s="1562"/>
      <c r="M614" s="1562"/>
      <c r="N614" s="1563"/>
      <c r="O614" s="1814">
        <f>SUM(O608:S613)</f>
        <v>71</v>
      </c>
      <c r="P614" s="1815"/>
      <c r="Q614" s="1815"/>
      <c r="R614" s="1815"/>
      <c r="S614" s="1816"/>
      <c r="T614" s="1814">
        <f>SUM(T608:X613)</f>
        <v>15</v>
      </c>
      <c r="U614" s="1815"/>
      <c r="V614" s="1815"/>
      <c r="W614" s="1815"/>
      <c r="X614" s="1816"/>
      <c r="Y614" s="1804">
        <f>IF(T614&gt;0,T614/O614,0)</f>
        <v>0.21126760563380281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68">
        <f>IF($E$592=Application!G730,$AC$592+$AJ$617,0)</f>
        <v>52</v>
      </c>
      <c r="AL619" s="1069"/>
      <c r="AM619" s="10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8" t="s">
        <v>2220</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0" t="s">
        <v>938</v>
      </c>
      <c r="AH627" s="1010"/>
      <c r="AI627" s="1010"/>
      <c r="AJ627" s="1010"/>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65"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44" t="s">
        <v>2225</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65"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65"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65"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65"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65"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65"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5"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124</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108</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4" t="s">
        <v>2212</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1941</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1942</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7"/>
      <c r="AG699" s="1827"/>
      <c r="AH699" s="1827"/>
      <c r="AI699" s="1827"/>
      <c r="AJ699" s="1827"/>
      <c r="AK699" s="1827"/>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7"/>
      <c r="AG700" s="1827"/>
      <c r="AH700" s="1827"/>
      <c r="AI700" s="1827"/>
      <c r="AJ700" s="1827"/>
      <c r="AK700" s="1827"/>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19</v>
      </c>
      <c r="U703" s="1721"/>
      <c r="V703" s="1721"/>
      <c r="W703" s="1721"/>
      <c r="X703" s="1721"/>
      <c r="Y703" s="1721"/>
      <c r="Z703" s="1745">
        <v>15</v>
      </c>
      <c r="AA703" s="1745"/>
      <c r="AB703" s="1745"/>
      <c r="AC703" s="1745"/>
      <c r="AD703" s="1745"/>
      <c r="AE703" s="1745"/>
      <c r="AF703" s="1827"/>
      <c r="AG703" s="1827"/>
      <c r="AH703" s="1827"/>
      <c r="AI703" s="1827"/>
      <c r="AJ703" s="1827"/>
      <c r="AK703" s="1827"/>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7"/>
      <c r="AG704" s="1827"/>
      <c r="AH704" s="1827"/>
      <c r="AI704" s="1827"/>
      <c r="AJ704" s="1827"/>
      <c r="AK704" s="1827"/>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5"/>
      <c r="AA705" s="1225"/>
      <c r="AB705" s="1225"/>
      <c r="AC705" s="1225"/>
      <c r="AD705" s="1225"/>
      <c r="AE705" s="1225"/>
      <c r="AF705" s="1225"/>
      <c r="AG705" s="1225"/>
      <c r="AH705" s="1225"/>
      <c r="AI705" s="1225"/>
      <c r="AJ705" s="1225"/>
      <c r="AK705" s="1225"/>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2217</v>
      </c>
      <c r="E707" s="1719" t="s">
        <v>183</v>
      </c>
      <c r="F707" s="1719"/>
      <c r="G707" s="1719"/>
      <c r="H707" s="1719"/>
      <c r="I707" s="1719"/>
      <c r="J707" s="1719"/>
      <c r="K707" s="1719"/>
      <c r="L707" s="1719"/>
      <c r="M707" s="1719"/>
      <c r="N707" s="1719"/>
      <c r="O707" s="1719"/>
      <c r="P707" s="1719"/>
      <c r="Q707" s="1719"/>
      <c r="R707" s="1719"/>
      <c r="S707" s="1720"/>
      <c r="T707" s="1742">
        <f>AC592</f>
        <v>50</v>
      </c>
      <c r="U707" s="1743"/>
      <c r="V707" s="1743"/>
      <c r="W707" s="1743"/>
      <c r="X707" s="1743"/>
      <c r="Y707" s="1744"/>
      <c r="Z707" s="1742">
        <v>50</v>
      </c>
      <c r="AA707" s="1743"/>
      <c r="AB707" s="1743"/>
      <c r="AC707" s="1743"/>
      <c r="AD707" s="1743"/>
      <c r="AE707" s="1744"/>
      <c r="AF707" s="1822"/>
      <c r="AG707" s="1823"/>
      <c r="AH707" s="1823"/>
      <c r="AI707" s="1823"/>
      <c r="AJ707" s="1823"/>
      <c r="AK707" s="1824"/>
      <c r="AL707" s="778"/>
      <c r="AM707" s="4"/>
    </row>
    <row r="708" spans="1:39">
      <c r="A708" s="623"/>
      <c r="B708" s="615"/>
      <c r="C708" s="615"/>
      <c r="D708" s="306" t="s">
        <v>2218</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68">
        <v>2</v>
      </c>
      <c r="AA708" s="1069"/>
      <c r="AB708" s="1069"/>
      <c r="AC708" s="1069"/>
      <c r="AD708" s="1069"/>
      <c r="AE708" s="1071"/>
      <c r="AF708" s="1838"/>
      <c r="AG708" s="1839"/>
      <c r="AH708" s="1839"/>
      <c r="AI708" s="1839"/>
      <c r="AJ708" s="1839"/>
      <c r="AK708" s="1840"/>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5">
        <v>10</v>
      </c>
      <c r="AA709" s="1225"/>
      <c r="AB709" s="1225"/>
      <c r="AC709" s="1225"/>
      <c r="AD709" s="1225"/>
      <c r="AE709" s="1225"/>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9">
        <f>IF(AK688&gt;2,2,AK688)</f>
        <v>2</v>
      </c>
      <c r="U710" s="1820"/>
      <c r="V710" s="1820"/>
      <c r="W710" s="1820"/>
      <c r="X710" s="1820"/>
      <c r="Y710" s="1821"/>
      <c r="Z710" s="1422">
        <v>2</v>
      </c>
      <c r="AA710" s="1423"/>
      <c r="AB710" s="1423"/>
      <c r="AC710" s="1423"/>
      <c r="AD710" s="1423"/>
      <c r="AE710" s="1424"/>
      <c r="AF710" s="1422">
        <f>IF(T710&gt;Z710,Z710,T710)</f>
        <v>2</v>
      </c>
      <c r="AG710" s="1836"/>
      <c r="AH710" s="1836"/>
      <c r="AI710" s="1836"/>
      <c r="AJ710" s="1836"/>
      <c r="AK710" s="1837"/>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6">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8">
        <f>SUM(AF698:AK710)-AF711</f>
        <v>109</v>
      </c>
      <c r="AG712" s="1829"/>
      <c r="AH712" s="1829"/>
      <c r="AI712" s="1829"/>
      <c r="AJ712" s="1829"/>
      <c r="AK712" s="1830"/>
      <c r="AL712" s="779"/>
      <c r="AM712" s="4"/>
    </row>
    <row r="713" spans="1:39" ht="12.45"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1"/>
      <c r="AG713" s="1832"/>
      <c r="AH713" s="1832"/>
      <c r="AI713" s="1832"/>
      <c r="AJ713" s="1832"/>
      <c r="AK713" s="1833"/>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3"/>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3"/>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3"/>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2" t="s">
        <v>2034</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7"/>
      <c r="B3" s="897"/>
      <c r="I3" s="898"/>
      <c r="K3" s="899"/>
    </row>
    <row r="4" spans="1:57" ht="14.25" customHeight="1">
      <c r="A4" s="1901" t="s">
        <v>2035</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7"/>
      <c r="B5" s="897"/>
      <c r="I5" s="898"/>
      <c r="K5" s="899"/>
    </row>
    <row r="6" spans="1:57">
      <c r="A6" s="897"/>
      <c r="B6" s="897"/>
      <c r="D6" s="895" t="s">
        <v>2038</v>
      </c>
      <c r="I6" s="898"/>
      <c r="K6" s="899"/>
      <c r="U6" s="1900"/>
      <c r="V6" s="1900"/>
      <c r="W6" s="1900"/>
      <c r="BC6" s="895" t="s">
        <v>2036</v>
      </c>
    </row>
    <row r="7" spans="1:57">
      <c r="A7" s="897"/>
      <c r="B7" s="897"/>
      <c r="D7" s="501" t="s">
        <v>2039</v>
      </c>
      <c r="I7" s="898"/>
      <c r="K7" s="899"/>
      <c r="BC7" s="895" t="s">
        <v>2037</v>
      </c>
    </row>
    <row r="8" spans="1:57">
      <c r="A8" s="897"/>
      <c r="B8" s="897"/>
      <c r="D8" s="501"/>
      <c r="E8" s="895" t="s">
        <v>2051</v>
      </c>
      <c r="BC8" s="895" t="s">
        <v>2040</v>
      </c>
    </row>
    <row r="9" spans="1:57">
      <c r="A9" s="897"/>
      <c r="B9" s="897"/>
      <c r="E9" s="895" t="s">
        <v>2050</v>
      </c>
      <c r="I9" s="898"/>
      <c r="K9" s="899"/>
      <c r="P9" s="1908"/>
      <c r="Q9" s="1908"/>
      <c r="R9" s="1908"/>
      <c r="S9" s="1908"/>
      <c r="T9" s="1908"/>
    </row>
    <row r="10" spans="1:57">
      <c r="A10" s="897"/>
      <c r="B10" s="897"/>
      <c r="I10" s="898"/>
      <c r="K10" s="899"/>
    </row>
    <row r="11" spans="1:57">
      <c r="A11" s="1901" t="s">
        <v>2041</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5" t="s">
        <v>108</v>
      </c>
    </row>
    <row r="12" spans="1:57">
      <c r="A12" s="897"/>
      <c r="B12" s="897"/>
      <c r="I12" s="898"/>
      <c r="K12" s="899"/>
      <c r="BC12" s="895" t="s">
        <v>482</v>
      </c>
    </row>
    <row r="13" spans="1:57">
      <c r="A13" s="897"/>
      <c r="B13" s="897"/>
      <c r="D13" s="895" t="s">
        <v>2042</v>
      </c>
      <c r="I13" s="898"/>
      <c r="K13" s="899"/>
      <c r="T13" s="1900"/>
      <c r="U13" s="1900"/>
      <c r="V13" s="1900"/>
    </row>
    <row r="14" spans="1:57">
      <c r="A14" s="897"/>
      <c r="B14" s="897"/>
      <c r="E14" s="895" t="s">
        <v>2049</v>
      </c>
      <c r="I14" s="898"/>
      <c r="K14" s="899"/>
      <c r="N14" s="1906"/>
      <c r="O14" s="1906"/>
      <c r="P14" s="1906"/>
      <c r="Q14" s="1906"/>
      <c r="R14" s="1906"/>
      <c r="S14" s="1906"/>
      <c r="T14" s="1906"/>
      <c r="U14" s="1906"/>
      <c r="V14" s="1906"/>
      <c r="W14" s="1906"/>
      <c r="X14" s="1906"/>
      <c r="Y14" s="1906"/>
      <c r="Z14" s="1906"/>
      <c r="AA14" s="1906"/>
      <c r="AB14" s="1906"/>
      <c r="AC14" s="1906"/>
      <c r="AD14" s="1906"/>
      <c r="AE14" s="1906"/>
    </row>
    <row r="15" spans="1:57">
      <c r="A15" s="897"/>
      <c r="B15" s="897"/>
      <c r="E15" s="895" t="s">
        <v>2043</v>
      </c>
      <c r="I15" s="898"/>
      <c r="K15" s="899"/>
      <c r="N15" s="916"/>
      <c r="O15" s="916"/>
      <c r="P15" s="916"/>
      <c r="Q15" s="916"/>
      <c r="R15" s="916"/>
      <c r="S15" s="916"/>
      <c r="T15" s="916"/>
      <c r="U15" s="916"/>
      <c r="V15" s="916"/>
      <c r="W15" s="916"/>
      <c r="X15" s="916"/>
      <c r="Y15" s="916"/>
      <c r="Z15" s="916"/>
      <c r="AA15" s="916"/>
      <c r="AB15" s="916"/>
      <c r="AC15" s="916"/>
      <c r="AD15" s="916"/>
      <c r="AE15" s="916"/>
      <c r="BC15" s="895" t="s">
        <v>2052</v>
      </c>
      <c r="BE15" s="895">
        <f>'Basis &amp; Credits'!AB55</f>
        <v>2500000</v>
      </c>
    </row>
    <row r="16" spans="1:57">
      <c r="A16" s="897"/>
      <c r="B16" s="897"/>
      <c r="BC16" s="895" t="s">
        <v>2053</v>
      </c>
      <c r="BE16" s="895">
        <f>'Basis &amp; Credits'!T11+'Basis &amp; Credits'!AD11</f>
        <v>38228848.879999995</v>
      </c>
    </row>
    <row r="17" spans="1:43">
      <c r="A17" s="897"/>
      <c r="B17" s="897"/>
      <c r="D17" s="895" t="s">
        <v>2044</v>
      </c>
      <c r="I17" s="898"/>
      <c r="K17" s="899"/>
      <c r="U17" s="1907" t="str">
        <f>IF(T13="yes",(BE15/BE16)," ")</f>
        <v xml:space="preserve"> </v>
      </c>
      <c r="V17" s="1907"/>
      <c r="W17" s="1907"/>
      <c r="X17" s="1907"/>
      <c r="Y17" s="1907"/>
    </row>
    <row r="18" spans="1:43">
      <c r="A18" s="897"/>
      <c r="B18" s="897"/>
      <c r="I18" s="898"/>
      <c r="K18" s="899"/>
    </row>
    <row r="19" spans="1:43">
      <c r="A19" s="1901" t="s">
        <v>2046</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7"/>
      <c r="D20" s="897"/>
      <c r="K20" s="898"/>
      <c r="M20" s="899"/>
    </row>
    <row r="21" spans="1:43">
      <c r="C21" s="897"/>
      <c r="D21" s="897"/>
      <c r="K21" s="898"/>
      <c r="M21" s="899"/>
    </row>
    <row r="22" spans="1:43">
      <c r="C22" s="900" t="s">
        <v>728</v>
      </c>
      <c r="D22" s="900"/>
      <c r="E22" s="895" t="s">
        <v>2047</v>
      </c>
      <c r="H22" s="901"/>
      <c r="K22" s="895"/>
      <c r="Q22" s="1909">
        <f>ROUND('Basis &amp; Credits'!AB55,0)</f>
        <v>2500000</v>
      </c>
      <c r="R22" s="1909"/>
      <c r="S22" s="1909"/>
      <c r="T22" s="1909"/>
      <c r="U22" s="1909"/>
      <c r="V22" s="1909"/>
      <c r="W22" s="1909"/>
      <c r="X22" s="1909"/>
      <c r="Y22" s="915"/>
    </row>
    <row r="23" spans="1:43">
      <c r="C23" s="897"/>
      <c r="D23" s="897"/>
      <c r="G23" s="902"/>
      <c r="H23" s="902"/>
      <c r="I23" s="903"/>
      <c r="J23" s="903"/>
      <c r="K23" s="902"/>
      <c r="M23" s="896"/>
    </row>
    <row r="24" spans="1:43">
      <c r="C24" s="904"/>
      <c r="D24" s="904"/>
      <c r="E24" s="905"/>
      <c r="J24" s="903"/>
      <c r="K24" s="895"/>
      <c r="L24" s="1912" t="s">
        <v>2024</v>
      </c>
      <c r="M24" s="1912"/>
      <c r="N24" s="1912"/>
      <c r="P24" s="1897" t="s">
        <v>2025</v>
      </c>
      <c r="Q24" s="1897"/>
      <c r="R24" s="1897"/>
      <c r="S24" s="1897"/>
      <c r="T24" s="1897"/>
      <c r="V24" s="1897" t="s">
        <v>2026</v>
      </c>
      <c r="W24" s="1897"/>
      <c r="X24" s="1897"/>
    </row>
    <row r="25" spans="1:43">
      <c r="C25" s="900" t="s">
        <v>190</v>
      </c>
      <c r="D25" s="900"/>
      <c r="E25" s="895" t="s">
        <v>986</v>
      </c>
      <c r="J25" s="903"/>
      <c r="L25" s="1898" t="s">
        <v>2027</v>
      </c>
      <c r="M25" s="1898"/>
      <c r="N25" s="1898"/>
      <c r="P25" s="1898" t="s">
        <v>2028</v>
      </c>
      <c r="Q25" s="1898"/>
      <c r="R25" s="1898"/>
      <c r="S25" s="1898"/>
      <c r="T25" s="1898"/>
      <c r="V25" s="1898" t="s">
        <v>2027</v>
      </c>
      <c r="W25" s="1898"/>
      <c r="X25" s="1898"/>
    </row>
    <row r="26" spans="1:43">
      <c r="C26" s="897"/>
      <c r="D26" s="897"/>
      <c r="E26" s="906" t="s">
        <v>2029</v>
      </c>
      <c r="F26" s="906"/>
      <c r="J26" s="907"/>
      <c r="L26" s="1910">
        <f>Application!BN626</f>
        <v>0</v>
      </c>
      <c r="M26" s="1910"/>
      <c r="N26" s="1910"/>
      <c r="P26" s="1899">
        <v>0.9</v>
      </c>
      <c r="Q26" s="1899"/>
      <c r="R26" s="1899"/>
      <c r="S26" s="1899"/>
      <c r="T26" s="1899"/>
      <c r="V26" s="1899">
        <f>L26*P26</f>
        <v>0</v>
      </c>
      <c r="W26" s="1899"/>
      <c r="X26" s="1899"/>
    </row>
    <row r="27" spans="1:43">
      <c r="C27" s="897"/>
      <c r="D27" s="897"/>
      <c r="E27" s="895" t="s">
        <v>2030</v>
      </c>
      <c r="J27" s="907"/>
      <c r="L27" s="1890">
        <f>Application!BS626</f>
        <v>24</v>
      </c>
      <c r="M27" s="1890">
        <f>Application!BS634+Application!BS643+Application!CX657</f>
        <v>0</v>
      </c>
      <c r="N27" s="1890"/>
      <c r="P27" s="1895">
        <v>1</v>
      </c>
      <c r="Q27" s="1895"/>
      <c r="R27" s="1895"/>
      <c r="S27" s="1895"/>
      <c r="T27" s="1895"/>
      <c r="V27" s="1895">
        <f>L27*P27</f>
        <v>24</v>
      </c>
      <c r="W27" s="1895"/>
      <c r="X27" s="1895"/>
    </row>
    <row r="28" spans="1:43">
      <c r="C28" s="897"/>
      <c r="D28" s="897"/>
      <c r="E28" s="895" t="s">
        <v>2031</v>
      </c>
      <c r="J28" s="907"/>
      <c r="L28" s="1890">
        <f>Application!BX626</f>
        <v>29</v>
      </c>
      <c r="M28" s="1890">
        <f>Application!BX634+Application!BX643+Application!DC657</f>
        <v>0</v>
      </c>
      <c r="N28" s="1890"/>
      <c r="P28" s="1895">
        <v>1.25</v>
      </c>
      <c r="Q28" s="1895"/>
      <c r="R28" s="1895"/>
      <c r="S28" s="1895"/>
      <c r="T28" s="1895"/>
      <c r="V28" s="1895">
        <f>L28*P28</f>
        <v>36.25</v>
      </c>
      <c r="W28" s="1895"/>
      <c r="X28" s="1895"/>
    </row>
    <row r="29" spans="1:43">
      <c r="C29" s="897"/>
      <c r="D29" s="897"/>
      <c r="E29" s="895" t="s">
        <v>2032</v>
      </c>
      <c r="J29" s="907"/>
      <c r="L29" s="1890">
        <f>Application!CC626</f>
        <v>18</v>
      </c>
      <c r="M29" s="1890">
        <f>Application!CC634+Application!CC643+Application!DH657</f>
        <v>0</v>
      </c>
      <c r="N29" s="1890"/>
      <c r="P29" s="1895">
        <v>1.5</v>
      </c>
      <c r="Q29" s="1895"/>
      <c r="R29" s="1895"/>
      <c r="S29" s="1895"/>
      <c r="T29" s="1895"/>
      <c r="V29" s="1895">
        <f>L29*P29</f>
        <v>27</v>
      </c>
      <c r="W29" s="1895"/>
      <c r="X29" s="1895"/>
    </row>
    <row r="30" spans="1:43">
      <c r="C30" s="897"/>
      <c r="D30" s="897"/>
      <c r="E30" s="895" t="s">
        <v>2033</v>
      </c>
      <c r="J30" s="907"/>
      <c r="L30" s="1891">
        <f>Application!CH626+Application!CM626</f>
        <v>0</v>
      </c>
      <c r="M30" s="1891"/>
      <c r="N30" s="1891"/>
      <c r="P30" s="1895">
        <v>1.75</v>
      </c>
      <c r="Q30" s="1895"/>
      <c r="R30" s="1895">
        <f>1.75+0.25*0</f>
        <v>1.75</v>
      </c>
      <c r="S30" s="1895"/>
      <c r="T30" s="1895"/>
      <c r="V30" s="1896">
        <f>L30*P30</f>
        <v>0</v>
      </c>
      <c r="W30" s="1896"/>
      <c r="X30" s="1896"/>
    </row>
    <row r="31" spans="1:43">
      <c r="C31" s="897"/>
      <c r="D31" s="897"/>
      <c r="L31" s="1910">
        <f>SUM(L26:N30)</f>
        <v>71</v>
      </c>
      <c r="M31" s="1911"/>
      <c r="N31" s="1911"/>
      <c r="V31" s="1899">
        <f>SUM(V26:X30)</f>
        <v>87.25</v>
      </c>
      <c r="W31" s="1899"/>
      <c r="X31" s="1899"/>
    </row>
    <row r="32" spans="1:43">
      <c r="C32" s="897"/>
      <c r="D32" s="897"/>
      <c r="K32" s="908"/>
    </row>
    <row r="33" spans="1:27">
      <c r="C33" s="900" t="s">
        <v>191</v>
      </c>
      <c r="D33" s="900"/>
      <c r="E33" s="897" t="s">
        <v>2048</v>
      </c>
      <c r="H33" s="909"/>
      <c r="I33" s="910"/>
      <c r="J33" s="911"/>
      <c r="K33" s="908"/>
      <c r="M33" s="896"/>
      <c r="V33" s="1892">
        <f>IF(V31&gt;0,V31/Q22," ")</f>
        <v>3.4900000000000001E-5</v>
      </c>
      <c r="W33" s="1893"/>
      <c r="X33" s="1893"/>
      <c r="Y33" s="1893"/>
      <c r="Z33" s="1893"/>
      <c r="AA33" s="1894"/>
    </row>
    <row r="34" spans="1:27">
      <c r="K34" s="895"/>
      <c r="M34" s="896"/>
    </row>
    <row r="35" spans="1:27">
      <c r="E35" s="897" t="s">
        <v>2054</v>
      </c>
      <c r="F35" s="897"/>
      <c r="G35" s="897"/>
      <c r="H35" s="897"/>
      <c r="I35" s="897"/>
      <c r="J35" s="897"/>
      <c r="K35" s="897"/>
      <c r="L35" s="897"/>
      <c r="M35" s="917"/>
      <c r="N35" s="897"/>
      <c r="O35" s="897"/>
      <c r="P35" s="897"/>
      <c r="Q35" s="897"/>
      <c r="R35" s="897"/>
      <c r="V35" s="1903">
        <f>IF(V31&gt;0,1/V33," ")</f>
        <v>28653.295128939826</v>
      </c>
      <c r="W35" s="1904"/>
      <c r="X35" s="1904"/>
      <c r="Y35" s="1904"/>
      <c r="Z35" s="1904"/>
      <c r="AA35" s="1905"/>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2024-06-04T21:27:30Z</cp:lastPrinted>
  <dcterms:created xsi:type="dcterms:W3CDTF">2007-12-27T18:26:28Z</dcterms:created>
  <dcterms:modified xsi:type="dcterms:W3CDTF">2024-07-03T20:52:57Z</dcterms:modified>
</cp:coreProperties>
</file>